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3"/>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17" documentId="13_ncr:1_{287BEBB4-2541-4AB7-B694-A1111E3E07A7}" xr6:coauthVersionLast="47" xr6:coauthVersionMax="47" xr10:uidLastSave="{8169F5DA-0D76-48C2-A24B-E13B3A69DA8A}"/>
  <bookViews>
    <workbookView xWindow="28680" yWindow="-120" windowWidth="29040" windowHeight="15720" firstSheet="50" activeTab="50"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MAIN EoL" sheetId="63" r:id="rId7"/>
    <sheet name="Power elec EoL LCI" sheetId="64" r:id="rId8"/>
    <sheet name="motors and drives EoL LCI" sheetId="65" r:id="rId9"/>
    <sheet name="powerplant EoL LCI" sheetId="66" r:id="rId10"/>
    <sheet name="airframe EoL LCI" sheetId="67" r:id="rId11"/>
    <sheet name="H2 storage EoL " sheetId="68" r:id="rId12"/>
    <sheet name="SOFC EoL" sheetId="69" r:id="rId13"/>
    <sheet name="SAF" sheetId="70" r:id="rId14"/>
    <sheet name="PP processes" sheetId="71" r:id="rId15"/>
    <sheet name="PP treatment processes" sheetId="72" r:id="rId16"/>
    <sheet name="production of battery Li-S" sheetId="73" r:id="rId17"/>
    <sheet name="battery EoL Li-ion" sheetId="74" r:id="rId18"/>
    <sheet name="SOFC" sheetId="75" r:id="rId19"/>
    <sheet name="H2_storage" sheetId="76" r:id="rId20"/>
    <sheet name="1. MOTORS AND DRIVES" sheetId="77" r:id="rId21"/>
    <sheet name="2.POWER ELECTRONICS" sheetId="78" r:id="rId22"/>
    <sheet name="2. ALL Waste processes" sheetId="79" r:id="rId23"/>
    <sheet name="2. ALL Driver Board" sheetId="80" r:id="rId24"/>
    <sheet name="2. ALL Logic Board" sheetId="81" r:id="rId25"/>
    <sheet name="2A. DCAC GRID INVERTER" sheetId="82" r:id="rId26"/>
    <sheet name="2A. Reusable" sheetId="83" r:id="rId27"/>
    <sheet name="2A. Cable glands" sheetId="84" r:id="rId28"/>
    <sheet name="2A. Machined casing" sheetId="85" r:id="rId29"/>
    <sheet name="2A. IGBT power module" sheetId="86" r:id="rId30"/>
    <sheet name="2B. ISOLATING DCDC CONVERTER" sheetId="87" r:id="rId31"/>
    <sheet name="2B. Reusable" sheetId="88" r:id="rId32"/>
    <sheet name="2B. Cable glands" sheetId="89" r:id="rId33"/>
    <sheet name="2B. Machined casing" sheetId="90" r:id="rId34"/>
    <sheet name="2B. IGBT power module" sheetId="91" r:id="rId35"/>
    <sheet name="2C. N-ISOLATING DCDC CONVERTER" sheetId="92" r:id="rId36"/>
    <sheet name="2C. Reusable" sheetId="93" r:id="rId37"/>
    <sheet name="2C. Cable glands" sheetId="94" r:id="rId38"/>
    <sheet name="2C. Machined casing" sheetId="95" r:id="rId39"/>
    <sheet name="2C. IGBT power module" sheetId="96" r:id="rId40"/>
    <sheet name="2D. MOTOR DRIVE INVERTER" sheetId="97" r:id="rId41"/>
    <sheet name="2D. Reusable" sheetId="98" r:id="rId42"/>
    <sheet name="2D. Cable glands" sheetId="99" r:id="rId43"/>
    <sheet name="2D. Machined casing" sheetId="100" r:id="rId44"/>
    <sheet name="2D. IGBT power module" sheetId="101" r:id="rId45"/>
    <sheet name="2E. BATTERY DCDC CONVERTER" sheetId="102" r:id="rId46"/>
    <sheet name="2E. Reusable" sheetId="103" r:id="rId47"/>
    <sheet name="2E. Cable glands" sheetId="104" r:id="rId48"/>
    <sheet name="2E. Machined casing" sheetId="105" r:id="rId49"/>
    <sheet name="2E. IGBT power module" sheetId="106" r:id="rId50"/>
    <sheet name="H2_production" sheetId="56" r:id="rId51"/>
    <sheet name="Electrolyzer_construction" sheetId="57" r:id="rId52"/>
    <sheet name="Electrolyzer EoL" sheetId="58" r:id="rId53"/>
    <sheet name="Liquefaction_system_constructio" sheetId="59" r:id="rId54"/>
    <sheet name="Liq_sys_Eol" sheetId="60" r:id="rId55"/>
    <sheet name="H2_transport" sheetId="61" r:id="rId56"/>
    <sheet name="H2_storage_tank_EoL" sheetId="62" r:id="rId57"/>
    <sheet name="Airprot_use" sheetId="36" r:id="rId58"/>
    <sheet name="Airport_construction" sheetId="37" r:id="rId59"/>
    <sheet name="Airport_decommission " sheetId="38" r:id="rId60"/>
    <sheet name="Main_b_charging_station" sheetId="53" r:id="rId61"/>
    <sheet name="converters_b_charging_station" sheetId="54" r:id="rId62"/>
    <sheet name="rests_b_charging_station" sheetId="55" r:id="rId63"/>
    <sheet name="charging station" sheetId="39" r:id="rId64"/>
    <sheet name="A&amp;B Same Processes" sheetId="40" r:id="rId65"/>
    <sheet name="A&amp;B Driver Board " sheetId="41" r:id="rId66"/>
    <sheet name="A&amp;B Logic board" sheetId="42" r:id="rId67"/>
    <sheet name="A. ACDC POWER MODULE " sheetId="43" r:id="rId68"/>
    <sheet name="A.Reused" sheetId="44" r:id="rId69"/>
    <sheet name="A. Cable glands" sheetId="45" r:id="rId70"/>
    <sheet name="A. Machined casing" sheetId="46" r:id="rId71"/>
    <sheet name="A. IGBT power module" sheetId="47" r:id="rId72"/>
    <sheet name="B. DCDC POWER MODULE " sheetId="48" r:id="rId73"/>
    <sheet name="B.Reused" sheetId="49" r:id="rId74"/>
    <sheet name="B. Cable glands" sheetId="50" r:id="rId75"/>
    <sheet name="B. Machined casing" sheetId="51" r:id="rId76"/>
    <sheet name="B. IGBT power module" sheetId="52" r:id="rId77"/>
  </sheets>
  <externalReferences>
    <externalReference r:id="rId78"/>
    <externalReference r:id="rId79"/>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4" i="82" l="1"/>
  <c r="I15" i="82"/>
  <c r="I16" i="82"/>
  <c r="I17" i="82"/>
  <c r="I18" i="82"/>
  <c r="I19" i="82"/>
  <c r="I20" i="82"/>
  <c r="I21" i="82"/>
  <c r="I22" i="82"/>
  <c r="I23" i="82"/>
  <c r="I24" i="82"/>
  <c r="I25" i="82"/>
  <c r="I26" i="82"/>
  <c r="I27" i="82"/>
  <c r="I28" i="82"/>
  <c r="I29" i="82"/>
  <c r="I13" i="82"/>
  <c r="I14" i="87"/>
  <c r="I15" i="87"/>
  <c r="I16" i="87"/>
  <c r="I17" i="87"/>
  <c r="I18" i="87"/>
  <c r="I19" i="87"/>
  <c r="I20" i="87"/>
  <c r="I21" i="87"/>
  <c r="I22" i="87"/>
  <c r="I23" i="87"/>
  <c r="I24" i="87"/>
  <c r="I25" i="87"/>
  <c r="I26" i="87"/>
  <c r="I27" i="87"/>
  <c r="I28" i="87"/>
  <c r="I29" i="87"/>
  <c r="I30" i="87"/>
  <c r="I13" i="87"/>
  <c r="I14" i="92"/>
  <c r="I15" i="92"/>
  <c r="I16" i="92"/>
  <c r="I17" i="92"/>
  <c r="I18" i="92"/>
  <c r="I19" i="92"/>
  <c r="I20" i="92"/>
  <c r="I21" i="92"/>
  <c r="I22" i="92"/>
  <c r="I23" i="92"/>
  <c r="I24" i="92"/>
  <c r="I25" i="92"/>
  <c r="I26" i="92"/>
  <c r="I27" i="92"/>
  <c r="I28" i="92"/>
  <c r="I29" i="92"/>
  <c r="I30" i="92"/>
  <c r="I13" i="92"/>
  <c r="I14" i="97"/>
  <c r="I15" i="97"/>
  <c r="I16" i="97"/>
  <c r="I17" i="97"/>
  <c r="I18" i="97"/>
  <c r="I19" i="97"/>
  <c r="I20" i="97"/>
  <c r="I21" i="97"/>
  <c r="I22" i="97"/>
  <c r="I23" i="97"/>
  <c r="I24" i="97"/>
  <c r="I25" i="97"/>
  <c r="I26" i="97"/>
  <c r="I27" i="97"/>
  <c r="I28" i="97"/>
  <c r="I29" i="97"/>
  <c r="I30" i="97"/>
  <c r="I13" i="97"/>
  <c r="I14" i="102"/>
  <c r="I15" i="102"/>
  <c r="I16" i="102"/>
  <c r="I17" i="102"/>
  <c r="I18" i="102"/>
  <c r="I19" i="102"/>
  <c r="I20" i="102"/>
  <c r="I21" i="102"/>
  <c r="I22" i="102"/>
  <c r="I23" i="102"/>
  <c r="I24" i="102"/>
  <c r="I25" i="102"/>
  <c r="I26" i="102"/>
  <c r="I27" i="102"/>
  <c r="I28" i="102"/>
  <c r="I29" i="102"/>
  <c r="I30" i="102"/>
  <c r="I13" i="102"/>
  <c r="I14" i="43"/>
  <c r="I15" i="43"/>
  <c r="I16" i="43"/>
  <c r="I17" i="43"/>
  <c r="I18" i="43"/>
  <c r="I19" i="43"/>
  <c r="I20" i="43"/>
  <c r="I21" i="43"/>
  <c r="I22" i="43"/>
  <c r="I23" i="43"/>
  <c r="I24" i="43"/>
  <c r="I25" i="43"/>
  <c r="I26" i="43"/>
  <c r="I27" i="43"/>
  <c r="I28" i="43"/>
  <c r="I29" i="43"/>
  <c r="I30" i="43"/>
  <c r="I13" i="43"/>
  <c r="I14" i="48"/>
  <c r="I15" i="48"/>
  <c r="I16" i="48"/>
  <c r="I17" i="48"/>
  <c r="I18" i="48"/>
  <c r="I19" i="48"/>
  <c r="I20" i="48"/>
  <c r="I21" i="48"/>
  <c r="I22" i="48"/>
  <c r="I23" i="48"/>
  <c r="I24" i="48"/>
  <c r="I25" i="48"/>
  <c r="I26" i="48"/>
  <c r="I27" i="48"/>
  <c r="I28" i="48"/>
  <c r="I29" i="48"/>
  <c r="I30" i="48"/>
  <c r="I13" i="48"/>
  <c r="N105" i="74" l="1"/>
  <c r="M105" i="74"/>
  <c r="N44" i="74"/>
  <c r="M44" i="74"/>
  <c r="N43" i="74"/>
  <c r="M43" i="74"/>
  <c r="N40" i="74"/>
  <c r="M40" i="74"/>
  <c r="I362" i="106"/>
  <c r="B362" i="106"/>
  <c r="R361" i="106"/>
  <c r="B361" i="106"/>
  <c r="I361" i="106" s="1"/>
  <c r="R360" i="106"/>
  <c r="B360" i="106" s="1"/>
  <c r="I360" i="106" s="1"/>
  <c r="R359" i="106"/>
  <c r="B359" i="106" s="1"/>
  <c r="I359" i="106" s="1"/>
  <c r="R358" i="106"/>
  <c r="I358" i="106"/>
  <c r="B358" i="106"/>
  <c r="I357" i="106"/>
  <c r="B357" i="106"/>
  <c r="I356" i="106"/>
  <c r="B356" i="106"/>
  <c r="I355" i="106"/>
  <c r="B355" i="106"/>
  <c r="R354" i="106"/>
  <c r="B354" i="106"/>
  <c r="I354" i="106" s="1"/>
  <c r="B353" i="106"/>
  <c r="I353" i="106" s="1"/>
  <c r="I352" i="106"/>
  <c r="B352" i="106"/>
  <c r="B351" i="106"/>
  <c r="I351" i="106" s="1"/>
  <c r="I340" i="106"/>
  <c r="B340" i="106"/>
  <c r="I339" i="106"/>
  <c r="B339" i="106"/>
  <c r="R338" i="106"/>
  <c r="B338" i="106"/>
  <c r="I338" i="106" s="1"/>
  <c r="R337" i="106"/>
  <c r="B337" i="106" s="1"/>
  <c r="I337" i="106" s="1"/>
  <c r="I336" i="106"/>
  <c r="B336" i="106"/>
  <c r="R335" i="106"/>
  <c r="B335" i="106"/>
  <c r="I335" i="106" s="1"/>
  <c r="B334" i="106"/>
  <c r="I334" i="106" s="1"/>
  <c r="B333" i="106"/>
  <c r="I333" i="106" s="1"/>
  <c r="I332" i="106"/>
  <c r="B332" i="106"/>
  <c r="R331" i="106"/>
  <c r="I331" i="106"/>
  <c r="B331" i="106"/>
  <c r="I330" i="106"/>
  <c r="B330" i="106"/>
  <c r="I329" i="106"/>
  <c r="B329" i="106"/>
  <c r="B324" i="106" s="1"/>
  <c r="B318" i="106"/>
  <c r="I318" i="106" s="1"/>
  <c r="B317" i="106"/>
  <c r="I317" i="106" s="1"/>
  <c r="B316" i="106"/>
  <c r="I316" i="106" s="1"/>
  <c r="I315" i="106"/>
  <c r="B315" i="106"/>
  <c r="B314" i="106"/>
  <c r="I314" i="106" s="1"/>
  <c r="B313" i="106"/>
  <c r="I313" i="106" s="1"/>
  <c r="B312" i="106"/>
  <c r="I312" i="106" s="1"/>
  <c r="I311" i="106"/>
  <c r="B311" i="106"/>
  <c r="B310" i="106"/>
  <c r="I310" i="106" s="1"/>
  <c r="P309" i="106"/>
  <c r="B309" i="106" s="1"/>
  <c r="I309" i="106"/>
  <c r="P308" i="106"/>
  <c r="B308" i="106" s="1"/>
  <c r="R297" i="106"/>
  <c r="B297" i="106"/>
  <c r="I297" i="106" s="1"/>
  <c r="R296" i="106"/>
  <c r="I296" i="106"/>
  <c r="B296" i="106"/>
  <c r="I295" i="106"/>
  <c r="B295" i="106"/>
  <c r="P293" i="106"/>
  <c r="I293" i="106"/>
  <c r="P292" i="106"/>
  <c r="I292" i="106"/>
  <c r="S290" i="106"/>
  <c r="S291" i="106" s="1"/>
  <c r="T294" i="106" s="1"/>
  <c r="B294" i="106" s="1"/>
  <c r="I294" i="106" s="1"/>
  <c r="B287" i="106"/>
  <c r="R281" i="106"/>
  <c r="B281" i="106" s="1"/>
  <c r="I281" i="106" s="1"/>
  <c r="R280" i="106"/>
  <c r="B280" i="106" s="1"/>
  <c r="I280" i="106" s="1"/>
  <c r="R279" i="106"/>
  <c r="B279" i="106"/>
  <c r="I279" i="106" s="1"/>
  <c r="P278" i="106"/>
  <c r="I278" i="106"/>
  <c r="B278" i="106"/>
  <c r="I277" i="106"/>
  <c r="B277" i="106"/>
  <c r="I276" i="106"/>
  <c r="B276" i="106"/>
  <c r="B271" i="106"/>
  <c r="R265" i="106"/>
  <c r="I265" i="106"/>
  <c r="B265" i="106"/>
  <c r="R264" i="106"/>
  <c r="B264" i="106"/>
  <c r="I264" i="106" s="1"/>
  <c r="R263" i="106"/>
  <c r="B263" i="106" s="1"/>
  <c r="I263" i="106"/>
  <c r="R262" i="106"/>
  <c r="B262" i="106" s="1"/>
  <c r="I262" i="106" s="1"/>
  <c r="R261" i="106"/>
  <c r="I261" i="106"/>
  <c r="B261" i="106"/>
  <c r="I260" i="106"/>
  <c r="B260" i="106"/>
  <c r="I259" i="106"/>
  <c r="B259" i="106"/>
  <c r="B254" i="106" s="1"/>
  <c r="B234" i="106" s="1"/>
  <c r="I234" i="106" s="1"/>
  <c r="S248" i="106"/>
  <c r="I248" i="106"/>
  <c r="B248" i="106"/>
  <c r="S247" i="106"/>
  <c r="B247" i="106" s="1"/>
  <c r="I236" i="106"/>
  <c r="B236" i="106"/>
  <c r="I233" i="106"/>
  <c r="B233" i="106"/>
  <c r="B228" i="106" s="1"/>
  <c r="P153" i="106" s="1"/>
  <c r="B153" i="106" s="1"/>
  <c r="I153" i="106" s="1"/>
  <c r="R222" i="106"/>
  <c r="I222" i="106"/>
  <c r="B222" i="106"/>
  <c r="R221" i="106"/>
  <c r="B221" i="106" s="1"/>
  <c r="I221" i="106" s="1"/>
  <c r="R220" i="106"/>
  <c r="B220" i="106" s="1"/>
  <c r="I220" i="106" s="1"/>
  <c r="R219" i="106"/>
  <c r="B219" i="106"/>
  <c r="I219" i="106" s="1"/>
  <c r="B218" i="106"/>
  <c r="I218" i="106" s="1"/>
  <c r="B216" i="106"/>
  <c r="I216" i="106" s="1"/>
  <c r="R205" i="106"/>
  <c r="B205" i="106" s="1"/>
  <c r="I205" i="106" s="1"/>
  <c r="R204" i="106"/>
  <c r="B204" i="106" s="1"/>
  <c r="I204" i="106" s="1"/>
  <c r="I203" i="106"/>
  <c r="B203" i="106"/>
  <c r="P201" i="106"/>
  <c r="I201" i="106"/>
  <c r="P200" i="106"/>
  <c r="I200" i="106"/>
  <c r="S196" i="106"/>
  <c r="S197" i="106" s="1"/>
  <c r="T200" i="106" s="1"/>
  <c r="B202" i="106" s="1"/>
  <c r="I202" i="106" s="1"/>
  <c r="B195" i="106"/>
  <c r="R189" i="106"/>
  <c r="B189" i="106" s="1"/>
  <c r="I189" i="106" s="1"/>
  <c r="R188" i="106"/>
  <c r="I188" i="106"/>
  <c r="B188" i="106"/>
  <c r="R187" i="106"/>
  <c r="B187" i="106" s="1"/>
  <c r="I187" i="106" s="1"/>
  <c r="P186" i="106"/>
  <c r="B186" i="106" s="1"/>
  <c r="I186" i="106" s="1"/>
  <c r="I185" i="106"/>
  <c r="I184" i="106"/>
  <c r="B179" i="106"/>
  <c r="R173" i="106"/>
  <c r="I173" i="106"/>
  <c r="B173" i="106"/>
  <c r="R172" i="106"/>
  <c r="B172" i="106"/>
  <c r="I172" i="106" s="1"/>
  <c r="R171" i="106"/>
  <c r="B171" i="106" s="1"/>
  <c r="I171" i="106" s="1"/>
  <c r="R170" i="106"/>
  <c r="B170" i="106" s="1"/>
  <c r="I170" i="106" s="1"/>
  <c r="R169" i="106"/>
  <c r="I169" i="106"/>
  <c r="B169" i="106"/>
  <c r="I168" i="106"/>
  <c r="B168" i="106"/>
  <c r="I167" i="106"/>
  <c r="B167" i="106"/>
  <c r="B162" i="106" s="1"/>
  <c r="P154" i="106" s="1"/>
  <c r="B154" i="106" s="1"/>
  <c r="I154" i="106" s="1"/>
  <c r="B156" i="106"/>
  <c r="I156" i="106" s="1"/>
  <c r="R155" i="106"/>
  <c r="I155" i="106"/>
  <c r="B155" i="106"/>
  <c r="R141" i="106"/>
  <c r="B141" i="106"/>
  <c r="I141" i="106" s="1"/>
  <c r="R140" i="106"/>
  <c r="B140" i="106" s="1"/>
  <c r="I140" i="106"/>
  <c r="I139" i="106"/>
  <c r="B139" i="106"/>
  <c r="I138" i="106"/>
  <c r="B138" i="106"/>
  <c r="B133" i="106"/>
  <c r="B109" i="106" s="1"/>
  <c r="I109" i="106" s="1"/>
  <c r="R127" i="106"/>
  <c r="B127" i="106" s="1"/>
  <c r="I127" i="106" s="1"/>
  <c r="R126" i="106"/>
  <c r="B126" i="106" s="1"/>
  <c r="I126" i="106" s="1"/>
  <c r="R125" i="106"/>
  <c r="I125" i="106"/>
  <c r="B125" i="106"/>
  <c r="R124" i="106"/>
  <c r="B124" i="106" s="1"/>
  <c r="I124" i="106" s="1"/>
  <c r="R112" i="106"/>
  <c r="B112" i="106" s="1"/>
  <c r="I112" i="106" s="1"/>
  <c r="I111" i="106"/>
  <c r="I110" i="106"/>
  <c r="R97" i="106"/>
  <c r="I97" i="106"/>
  <c r="B97" i="106"/>
  <c r="I84" i="106"/>
  <c r="I83" i="106"/>
  <c r="I82" i="106"/>
  <c r="B77" i="106"/>
  <c r="R71" i="106"/>
  <c r="B71" i="106"/>
  <c r="I71" i="106" s="1"/>
  <c r="B69" i="106"/>
  <c r="I69" i="106" s="1"/>
  <c r="R57" i="106"/>
  <c r="I57" i="106"/>
  <c r="B57" i="106"/>
  <c r="R56" i="106"/>
  <c r="B56" i="106"/>
  <c r="I56" i="106" s="1"/>
  <c r="R55" i="106"/>
  <c r="I55" i="106"/>
  <c r="B55" i="106"/>
  <c r="B50" i="106"/>
  <c r="R44" i="106"/>
  <c r="B44" i="106" s="1"/>
  <c r="I44" i="106" s="1"/>
  <c r="I42" i="106"/>
  <c r="B42" i="106"/>
  <c r="R30" i="106"/>
  <c r="B30" i="106" s="1"/>
  <c r="I30" i="106" s="1"/>
  <c r="R29" i="106"/>
  <c r="B29" i="106" s="1"/>
  <c r="I29" i="106" s="1"/>
  <c r="R28" i="106"/>
  <c r="B28" i="106"/>
  <c r="I28" i="106" s="1"/>
  <c r="B27" i="106"/>
  <c r="I27" i="106" s="1"/>
  <c r="R15" i="106"/>
  <c r="B15" i="106" s="1"/>
  <c r="I15" i="106" s="1"/>
  <c r="J57" i="105"/>
  <c r="B57" i="105"/>
  <c r="J56" i="105"/>
  <c r="B56" i="105"/>
  <c r="J55" i="105"/>
  <c r="B55" i="105"/>
  <c r="S54" i="105"/>
  <c r="B54" i="105"/>
  <c r="J54" i="105" s="1"/>
  <c r="S53" i="105"/>
  <c r="J53" i="105"/>
  <c r="B53" i="105"/>
  <c r="S52" i="105"/>
  <c r="B52" i="105"/>
  <c r="J52" i="105" s="1"/>
  <c r="B51" i="105"/>
  <c r="J51" i="105" s="1"/>
  <c r="S50" i="105"/>
  <c r="J50" i="105"/>
  <c r="B50" i="105"/>
  <c r="J49" i="105"/>
  <c r="B49" i="105"/>
  <c r="J48" i="105"/>
  <c r="B48" i="105"/>
  <c r="B43" i="105"/>
  <c r="B12" i="105" s="1"/>
  <c r="S37" i="105"/>
  <c r="J37" i="105"/>
  <c r="B37" i="105"/>
  <c r="S36" i="105"/>
  <c r="B36" i="105"/>
  <c r="J36" i="105" s="1"/>
  <c r="S35" i="105"/>
  <c r="B35" i="105" s="1"/>
  <c r="J35" i="105"/>
  <c r="J34" i="105"/>
  <c r="B34" i="105"/>
  <c r="J33" i="105"/>
  <c r="B33" i="105"/>
  <c r="S32" i="105"/>
  <c r="B32" i="105"/>
  <c r="J32" i="105" s="1"/>
  <c r="B31" i="105"/>
  <c r="J31" i="105" s="1"/>
  <c r="J30" i="105"/>
  <c r="B19" i="105"/>
  <c r="S18" i="105"/>
  <c r="J18" i="105"/>
  <c r="B18" i="105"/>
  <c r="J17" i="105"/>
  <c r="B17" i="105"/>
  <c r="S16" i="105"/>
  <c r="B16" i="105" s="1"/>
  <c r="J16" i="105" s="1"/>
  <c r="B15" i="105"/>
  <c r="J15" i="105" s="1"/>
  <c r="B14" i="105"/>
  <c r="J14" i="105" s="1"/>
  <c r="B9" i="105"/>
  <c r="I47" i="104"/>
  <c r="I46" i="104"/>
  <c r="B45" i="104"/>
  <c r="R34" i="104"/>
  <c r="B34" i="104" s="1"/>
  <c r="I34" i="104" s="1"/>
  <c r="R33" i="104"/>
  <c r="I33" i="104"/>
  <c r="B33" i="104"/>
  <c r="R32" i="104"/>
  <c r="B32" i="104" s="1"/>
  <c r="I32" i="104" s="1"/>
  <c r="R31" i="104"/>
  <c r="B31" i="104" s="1"/>
  <c r="I31" i="104" s="1"/>
  <c r="I30" i="104"/>
  <c r="B30" i="104"/>
  <c r="I29" i="104"/>
  <c r="P28" i="104"/>
  <c r="I28" i="104"/>
  <c r="B23" i="104"/>
  <c r="Q17" i="104"/>
  <c r="B17" i="104"/>
  <c r="I17" i="104" s="1"/>
  <c r="Q16" i="104"/>
  <c r="B16" i="104" s="1"/>
  <c r="I16" i="104"/>
  <c r="U15" i="104"/>
  <c r="B14" i="104" s="1"/>
  <c r="I14" i="104" s="1"/>
  <c r="Q15" i="104"/>
  <c r="B15" i="104" s="1"/>
  <c r="I15" i="104" s="1"/>
  <c r="P13" i="104"/>
  <c r="B13" i="104"/>
  <c r="B12" i="104" s="1"/>
  <c r="B7" i="104" s="1"/>
  <c r="T12" i="104"/>
  <c r="T11" i="104"/>
  <c r="I104" i="103"/>
  <c r="I103" i="103"/>
  <c r="I102" i="103"/>
  <c r="I101" i="103"/>
  <c r="B101" i="103"/>
  <c r="B100" i="103" s="1"/>
  <c r="I89" i="103"/>
  <c r="I88" i="103"/>
  <c r="I87" i="103"/>
  <c r="I86" i="103"/>
  <c r="B81" i="103"/>
  <c r="I75" i="103"/>
  <c r="I74" i="103"/>
  <c r="I73" i="103"/>
  <c r="B68" i="103"/>
  <c r="I62" i="103"/>
  <c r="B61" i="103"/>
  <c r="I61" i="103" s="1"/>
  <c r="R60" i="103"/>
  <c r="B60" i="103" s="1"/>
  <c r="I60" i="103" s="1"/>
  <c r="I59" i="103"/>
  <c r="B59" i="103"/>
  <c r="B54" i="103"/>
  <c r="R48" i="103"/>
  <c r="I48" i="103"/>
  <c r="B48" i="103"/>
  <c r="I47" i="103"/>
  <c r="B47" i="103"/>
  <c r="R46" i="103"/>
  <c r="B46" i="103" s="1"/>
  <c r="I46" i="103" s="1"/>
  <c r="R45" i="103"/>
  <c r="I45" i="103"/>
  <c r="B45" i="103"/>
  <c r="I44" i="103"/>
  <c r="B44" i="103"/>
  <c r="I43" i="103"/>
  <c r="B43" i="103"/>
  <c r="I42" i="103"/>
  <c r="B37" i="103"/>
  <c r="T36" i="103"/>
  <c r="O36" i="103"/>
  <c r="Q108" i="106" s="1"/>
  <c r="R110" i="106" s="1"/>
  <c r="B110" i="106" s="1"/>
  <c r="R31" i="103"/>
  <c r="B31" i="103"/>
  <c r="I31" i="103" s="1"/>
  <c r="B30" i="103"/>
  <c r="I30" i="103" s="1"/>
  <c r="R29" i="103"/>
  <c r="I29" i="103"/>
  <c r="B29" i="103"/>
  <c r="I28" i="103"/>
  <c r="B23" i="103"/>
  <c r="Q17" i="103"/>
  <c r="B17" i="103"/>
  <c r="I17" i="103" s="1"/>
  <c r="Q16" i="103"/>
  <c r="I16" i="103"/>
  <c r="B16" i="103"/>
  <c r="I15" i="103"/>
  <c r="B15" i="103"/>
  <c r="I14" i="103"/>
  <c r="O13" i="103"/>
  <c r="Q13" i="103" s="1"/>
  <c r="B13" i="103"/>
  <c r="I13" i="103" s="1"/>
  <c r="I12" i="103"/>
  <c r="B7" i="103"/>
  <c r="B28" i="102"/>
  <c r="Z27" i="102"/>
  <c r="B27" i="102"/>
  <c r="Z26" i="102"/>
  <c r="B26" i="102"/>
  <c r="Z25" i="102"/>
  <c r="B25" i="102" s="1"/>
  <c r="Z24" i="102"/>
  <c r="Z23" i="102"/>
  <c r="B23" i="102"/>
  <c r="Z22" i="102"/>
  <c r="B22" i="102"/>
  <c r="Z21" i="102"/>
  <c r="B21" i="102" s="1"/>
  <c r="Z20" i="102"/>
  <c r="B20" i="102"/>
  <c r="Z19" i="102"/>
  <c r="B19" i="102"/>
  <c r="Z18" i="102"/>
  <c r="B18" i="102"/>
  <c r="AB17" i="102"/>
  <c r="Z17" i="102" s="1"/>
  <c r="B17" i="102" s="1"/>
  <c r="Z16" i="102"/>
  <c r="B16" i="102" s="1"/>
  <c r="B12" i="106" s="1"/>
  <c r="B7" i="106" s="1"/>
  <c r="Z15" i="102"/>
  <c r="B15" i="102" s="1"/>
  <c r="Z14" i="102"/>
  <c r="B14" i="102" s="1"/>
  <c r="Z13" i="102"/>
  <c r="B13" i="102" s="1"/>
  <c r="N1" i="102"/>
  <c r="B362" i="101"/>
  <c r="I362" i="101" s="1"/>
  <c r="R361" i="101"/>
  <c r="I361" i="101"/>
  <c r="B361" i="101"/>
  <c r="R360" i="101"/>
  <c r="B360" i="101"/>
  <c r="I360" i="101" s="1"/>
  <c r="R359" i="101"/>
  <c r="B359" i="101" s="1"/>
  <c r="I359" i="101" s="1"/>
  <c r="R358" i="101"/>
  <c r="B358" i="101" s="1"/>
  <c r="I358" i="101" s="1"/>
  <c r="B357" i="101"/>
  <c r="I357" i="101" s="1"/>
  <c r="B356" i="101"/>
  <c r="I356" i="101" s="1"/>
  <c r="B355" i="101"/>
  <c r="I355" i="101" s="1"/>
  <c r="R354" i="101"/>
  <c r="B354" i="101" s="1"/>
  <c r="I354" i="101" s="1"/>
  <c r="I353" i="101"/>
  <c r="B353" i="101"/>
  <c r="I352" i="101"/>
  <c r="B352" i="101"/>
  <c r="I351" i="101"/>
  <c r="B351" i="101"/>
  <c r="B346" i="101" s="1"/>
  <c r="B340" i="101"/>
  <c r="I340" i="101" s="1"/>
  <c r="B339" i="101"/>
  <c r="I339" i="101" s="1"/>
  <c r="R338" i="101"/>
  <c r="I338" i="101"/>
  <c r="B338" i="101"/>
  <c r="R337" i="101"/>
  <c r="B337" i="101"/>
  <c r="I337" i="101" s="1"/>
  <c r="B336" i="101"/>
  <c r="I336" i="101" s="1"/>
  <c r="R335" i="101"/>
  <c r="I335" i="101"/>
  <c r="B335" i="101"/>
  <c r="I334" i="101"/>
  <c r="B334" i="101"/>
  <c r="I333" i="101"/>
  <c r="B333" i="101"/>
  <c r="I332" i="101"/>
  <c r="B332" i="101"/>
  <c r="R331" i="101"/>
  <c r="B331" i="101" s="1"/>
  <c r="I331" i="101" s="1"/>
  <c r="B330" i="101"/>
  <c r="I330" i="101" s="1"/>
  <c r="B329" i="101"/>
  <c r="I318" i="101"/>
  <c r="B318" i="101"/>
  <c r="I317" i="101"/>
  <c r="B317" i="101"/>
  <c r="I316" i="101"/>
  <c r="B316" i="101"/>
  <c r="I315" i="101"/>
  <c r="B315" i="101"/>
  <c r="I314" i="101"/>
  <c r="B314" i="101"/>
  <c r="I313" i="101"/>
  <c r="B313" i="101"/>
  <c r="I312" i="101"/>
  <c r="B312" i="101"/>
  <c r="I311" i="101"/>
  <c r="B311" i="101"/>
  <c r="I310" i="101"/>
  <c r="B310" i="101"/>
  <c r="I309" i="101"/>
  <c r="B309" i="101"/>
  <c r="I308" i="101"/>
  <c r="B308" i="101"/>
  <c r="B303" i="101"/>
  <c r="R297" i="101"/>
  <c r="I297" i="101"/>
  <c r="B297" i="101"/>
  <c r="R296" i="101"/>
  <c r="B296" i="101"/>
  <c r="I296" i="101" s="1"/>
  <c r="B295" i="101"/>
  <c r="I295" i="101" s="1"/>
  <c r="P293" i="101"/>
  <c r="I293" i="101"/>
  <c r="P292" i="101"/>
  <c r="I292" i="101"/>
  <c r="S291" i="101"/>
  <c r="T294" i="101" s="1"/>
  <c r="B294" i="101" s="1"/>
  <c r="I294" i="101" s="1"/>
  <c r="S290" i="101"/>
  <c r="B287" i="101"/>
  <c r="R281" i="101"/>
  <c r="B281" i="101" s="1"/>
  <c r="I281" i="101" s="1"/>
  <c r="R280" i="101"/>
  <c r="B280" i="101"/>
  <c r="I280" i="101" s="1"/>
  <c r="R279" i="101"/>
  <c r="I279" i="101"/>
  <c r="B279" i="101"/>
  <c r="P278" i="101"/>
  <c r="B278" i="101"/>
  <c r="I278" i="101" s="1"/>
  <c r="B277" i="101"/>
  <c r="I277" i="101" s="1"/>
  <c r="B276" i="101"/>
  <c r="R265" i="101"/>
  <c r="B265" i="101"/>
  <c r="I265" i="101" s="1"/>
  <c r="R264" i="101"/>
  <c r="I264" i="101"/>
  <c r="B264" i="101"/>
  <c r="R263" i="101"/>
  <c r="B263" i="101" s="1"/>
  <c r="I263" i="101" s="1"/>
  <c r="R262" i="101"/>
  <c r="B262" i="101" s="1"/>
  <c r="I262" i="101" s="1"/>
  <c r="R261" i="101"/>
  <c r="B261" i="101" s="1"/>
  <c r="I261" i="101" s="1"/>
  <c r="I260" i="101"/>
  <c r="B260" i="101"/>
  <c r="B259" i="101"/>
  <c r="S248" i="101"/>
  <c r="B248" i="101"/>
  <c r="I248" i="101" s="1"/>
  <c r="S247" i="101"/>
  <c r="B247" i="101" s="1"/>
  <c r="I247" i="101" s="1"/>
  <c r="B242" i="101"/>
  <c r="B235" i="101" s="1"/>
  <c r="I235" i="101" s="1"/>
  <c r="B236" i="101"/>
  <c r="I236" i="101" s="1"/>
  <c r="R222" i="101"/>
  <c r="B222" i="101"/>
  <c r="I222" i="101" s="1"/>
  <c r="R221" i="101"/>
  <c r="B221" i="101" s="1"/>
  <c r="I221" i="101" s="1"/>
  <c r="R220" i="101"/>
  <c r="B220" i="101"/>
  <c r="I220" i="101" s="1"/>
  <c r="R219" i="101"/>
  <c r="I219" i="101"/>
  <c r="B219" i="101"/>
  <c r="I218" i="101"/>
  <c r="B218" i="101"/>
  <c r="B217" i="101"/>
  <c r="I217" i="101" s="1"/>
  <c r="I216" i="101"/>
  <c r="B216" i="101"/>
  <c r="B211" i="101"/>
  <c r="R205" i="101"/>
  <c r="B205" i="101" s="1"/>
  <c r="I205" i="101" s="1"/>
  <c r="R204" i="101"/>
  <c r="B204" i="101"/>
  <c r="I204" i="101" s="1"/>
  <c r="B203" i="101"/>
  <c r="I203" i="101" s="1"/>
  <c r="I201" i="101"/>
  <c r="S200" i="101"/>
  <c r="B202" i="101" s="1"/>
  <c r="I202" i="101" s="1"/>
  <c r="I200" i="101"/>
  <c r="R197" i="101"/>
  <c r="R196" i="101"/>
  <c r="B195" i="101"/>
  <c r="R189" i="101"/>
  <c r="B189" i="101" s="1"/>
  <c r="I189" i="101" s="1"/>
  <c r="R188" i="101"/>
  <c r="B188" i="101" s="1"/>
  <c r="I188" i="101" s="1"/>
  <c r="R187" i="101"/>
  <c r="I187" i="101"/>
  <c r="B187" i="101"/>
  <c r="P186" i="101"/>
  <c r="B186" i="101"/>
  <c r="I186" i="101" s="1"/>
  <c r="B185" i="101"/>
  <c r="I185" i="101" s="1"/>
  <c r="B184" i="101"/>
  <c r="R173" i="101"/>
  <c r="B173" i="101"/>
  <c r="I173" i="101" s="1"/>
  <c r="R172" i="101"/>
  <c r="B172" i="101" s="1"/>
  <c r="I172" i="101" s="1"/>
  <c r="R171" i="101"/>
  <c r="B171" i="101" s="1"/>
  <c r="I171" i="101" s="1"/>
  <c r="R170" i="101"/>
  <c r="I170" i="101"/>
  <c r="B170" i="101"/>
  <c r="R169" i="101"/>
  <c r="B169" i="101"/>
  <c r="I169" i="101" s="1"/>
  <c r="B168" i="101"/>
  <c r="I168" i="101" s="1"/>
  <c r="B167" i="101"/>
  <c r="I156" i="101"/>
  <c r="B156" i="101"/>
  <c r="R155" i="101"/>
  <c r="B155" i="101"/>
  <c r="I155" i="101" s="1"/>
  <c r="B154" i="101"/>
  <c r="I154" i="101" s="1"/>
  <c r="B153" i="101"/>
  <c r="I153" i="101" s="1"/>
  <c r="B152" i="101"/>
  <c r="R141" i="101"/>
  <c r="B141" i="101"/>
  <c r="I141" i="101" s="1"/>
  <c r="R140" i="101"/>
  <c r="B140" i="101" s="1"/>
  <c r="I140" i="101"/>
  <c r="R127" i="101"/>
  <c r="I127" i="101"/>
  <c r="B127" i="101"/>
  <c r="R126" i="101"/>
  <c r="B126" i="101"/>
  <c r="I126" i="101" s="1"/>
  <c r="R125" i="101"/>
  <c r="B125" i="101" s="1"/>
  <c r="I125" i="101" s="1"/>
  <c r="R124" i="101"/>
  <c r="B124" i="101" s="1"/>
  <c r="I124" i="101" s="1"/>
  <c r="I123" i="101"/>
  <c r="R112" i="101"/>
  <c r="B112" i="101"/>
  <c r="I112" i="101" s="1"/>
  <c r="I111" i="101"/>
  <c r="R110" i="101"/>
  <c r="B110" i="101" s="1"/>
  <c r="I110" i="101" s="1"/>
  <c r="Q109" i="101"/>
  <c r="I108" i="101"/>
  <c r="R97" i="101"/>
  <c r="B97" i="101" s="1"/>
  <c r="I97" i="101" s="1"/>
  <c r="I96" i="101"/>
  <c r="I95" i="101"/>
  <c r="I84" i="101"/>
  <c r="I83" i="101"/>
  <c r="I82" i="101"/>
  <c r="B77" i="101"/>
  <c r="R71" i="101"/>
  <c r="B71" i="101" s="1"/>
  <c r="I71" i="101" s="1"/>
  <c r="I70" i="101"/>
  <c r="I69" i="101"/>
  <c r="B69" i="101"/>
  <c r="I68" i="101"/>
  <c r="R57" i="101"/>
  <c r="B57" i="101" s="1"/>
  <c r="I57" i="101" s="1"/>
  <c r="R56" i="101"/>
  <c r="B56" i="101"/>
  <c r="I56" i="101" s="1"/>
  <c r="R55" i="101"/>
  <c r="I55" i="101"/>
  <c r="B50" i="101"/>
  <c r="R44" i="101"/>
  <c r="B44" i="101" s="1"/>
  <c r="I44" i="101" s="1"/>
  <c r="I43" i="101"/>
  <c r="I42" i="101"/>
  <c r="B42" i="101"/>
  <c r="I41" i="101"/>
  <c r="R30" i="101"/>
  <c r="B30" i="101" s="1"/>
  <c r="I30" i="101"/>
  <c r="R29" i="101"/>
  <c r="B29" i="101"/>
  <c r="I29" i="101" s="1"/>
  <c r="R28" i="101"/>
  <c r="B28" i="101" s="1"/>
  <c r="I28" i="101" s="1"/>
  <c r="I27" i="101"/>
  <c r="B27" i="101"/>
  <c r="I26" i="101"/>
  <c r="R15" i="101"/>
  <c r="B15" i="101" s="1"/>
  <c r="I15" i="101" s="1"/>
  <c r="I14" i="101"/>
  <c r="I13" i="101"/>
  <c r="B57" i="100"/>
  <c r="J57" i="100" s="1"/>
  <c r="J56" i="100"/>
  <c r="B56" i="100"/>
  <c r="J55" i="100"/>
  <c r="B55" i="100"/>
  <c r="S54" i="100"/>
  <c r="B54" i="100" s="1"/>
  <c r="J54" i="100" s="1"/>
  <c r="S53" i="100"/>
  <c r="B53" i="100" s="1"/>
  <c r="J53" i="100" s="1"/>
  <c r="S52" i="100"/>
  <c r="B52" i="100" s="1"/>
  <c r="J52" i="100" s="1"/>
  <c r="B51" i="100"/>
  <c r="J51" i="100" s="1"/>
  <c r="S50" i="100"/>
  <c r="B50" i="100" s="1"/>
  <c r="J50" i="100" s="1"/>
  <c r="J49" i="100"/>
  <c r="B49" i="100"/>
  <c r="J48" i="100"/>
  <c r="B48" i="100"/>
  <c r="B43" i="100"/>
  <c r="S37" i="100"/>
  <c r="B37" i="100" s="1"/>
  <c r="J37" i="100"/>
  <c r="S36" i="100"/>
  <c r="B36" i="100"/>
  <c r="J36" i="100" s="1"/>
  <c r="S35" i="100"/>
  <c r="B35" i="100"/>
  <c r="J35" i="100" s="1"/>
  <c r="J34" i="100"/>
  <c r="B34" i="100"/>
  <c r="J33" i="100"/>
  <c r="B33" i="100"/>
  <c r="S32" i="100"/>
  <c r="B32" i="100" s="1"/>
  <c r="J32" i="100" s="1"/>
  <c r="B31" i="100"/>
  <c r="J31" i="100" s="1"/>
  <c r="B30" i="100"/>
  <c r="J30" i="100" s="1"/>
  <c r="J29" i="100"/>
  <c r="B19" i="100"/>
  <c r="S18" i="100"/>
  <c r="B18" i="100"/>
  <c r="J18" i="100" s="1"/>
  <c r="J17" i="100"/>
  <c r="B17" i="100"/>
  <c r="S16" i="100"/>
  <c r="B16" i="100"/>
  <c r="J16" i="100" s="1"/>
  <c r="B15" i="100"/>
  <c r="J15" i="100" s="1"/>
  <c r="B14" i="100"/>
  <c r="J14" i="100" s="1"/>
  <c r="J13" i="100"/>
  <c r="J12" i="100"/>
  <c r="B12" i="100"/>
  <c r="B7" i="100" s="1"/>
  <c r="B24" i="97" s="1"/>
  <c r="B9" i="100"/>
  <c r="I47" i="99"/>
  <c r="I46" i="99"/>
  <c r="I45" i="99"/>
  <c r="B45" i="99"/>
  <c r="B40" i="99"/>
  <c r="R34" i="99"/>
  <c r="B34" i="99" s="1"/>
  <c r="I34" i="99"/>
  <c r="R33" i="99"/>
  <c r="B33" i="99"/>
  <c r="I33" i="99" s="1"/>
  <c r="R32" i="99"/>
  <c r="B32" i="99" s="1"/>
  <c r="I32" i="99" s="1"/>
  <c r="R31" i="99"/>
  <c r="B31" i="99" s="1"/>
  <c r="I31" i="99" s="1"/>
  <c r="B30" i="99"/>
  <c r="I30" i="99" s="1"/>
  <c r="I29" i="99"/>
  <c r="P28" i="99"/>
  <c r="I28" i="99"/>
  <c r="B23" i="99"/>
  <c r="Q17" i="99"/>
  <c r="B17" i="99"/>
  <c r="I17" i="99" s="1"/>
  <c r="Q16" i="99"/>
  <c r="B16" i="99"/>
  <c r="I16" i="99" s="1"/>
  <c r="Q15" i="99"/>
  <c r="B15" i="99" s="1"/>
  <c r="I15" i="99"/>
  <c r="I13" i="99"/>
  <c r="B13" i="99"/>
  <c r="P13" i="99" s="1"/>
  <c r="I12" i="99"/>
  <c r="S9" i="99"/>
  <c r="S10" i="99" s="1"/>
  <c r="T13" i="99" s="1"/>
  <c r="B14" i="99" s="1"/>
  <c r="I14" i="99" s="1"/>
  <c r="B7" i="99"/>
  <c r="I104" i="98"/>
  <c r="I103" i="98"/>
  <c r="I102" i="98"/>
  <c r="B101" i="98"/>
  <c r="I89" i="98"/>
  <c r="I88" i="98"/>
  <c r="I87" i="98"/>
  <c r="I86" i="98"/>
  <c r="B81" i="98"/>
  <c r="I75" i="98"/>
  <c r="I74" i="98"/>
  <c r="I73" i="98"/>
  <c r="B68" i="98"/>
  <c r="B217" i="106" s="1"/>
  <c r="I217" i="106" s="1"/>
  <c r="R62" i="98"/>
  <c r="B62" i="98" s="1"/>
  <c r="I62" i="98"/>
  <c r="I61" i="98"/>
  <c r="B61" i="98"/>
  <c r="R60" i="98"/>
  <c r="B60" i="98"/>
  <c r="I60" i="98" s="1"/>
  <c r="B59" i="98"/>
  <c r="R48" i="98"/>
  <c r="B48" i="98" s="1"/>
  <c r="I48" i="98" s="1"/>
  <c r="B47" i="98"/>
  <c r="I47" i="98" s="1"/>
  <c r="R46" i="98"/>
  <c r="B46" i="98" s="1"/>
  <c r="I46" i="98"/>
  <c r="R45" i="98"/>
  <c r="B45" i="98" s="1"/>
  <c r="I45" i="98" s="1"/>
  <c r="B44" i="98"/>
  <c r="I44" i="98" s="1"/>
  <c r="R43" i="98"/>
  <c r="I42" i="98"/>
  <c r="B42" i="98"/>
  <c r="B37" i="98" s="1"/>
  <c r="T36" i="98"/>
  <c r="R31" i="98"/>
  <c r="B31" i="98" s="1"/>
  <c r="I31" i="98" s="1"/>
  <c r="B30" i="98"/>
  <c r="I30" i="98" s="1"/>
  <c r="R29" i="98"/>
  <c r="B29" i="98" s="1"/>
  <c r="I29" i="98" s="1"/>
  <c r="I28" i="98"/>
  <c r="B23" i="98"/>
  <c r="Q17" i="98"/>
  <c r="B17" i="98"/>
  <c r="I17" i="98" s="1"/>
  <c r="Q16" i="98"/>
  <c r="B16" i="98" s="1"/>
  <c r="I16" i="98" s="1"/>
  <c r="I15" i="98"/>
  <c r="B15" i="98"/>
  <c r="I14" i="98"/>
  <c r="O13" i="98"/>
  <c r="Q13" i="98" s="1"/>
  <c r="B13" i="98" s="1"/>
  <c r="I13" i="98" s="1"/>
  <c r="I12" i="98"/>
  <c r="B7" i="98"/>
  <c r="B28" i="97"/>
  <c r="Z27" i="97"/>
  <c r="B27" i="97"/>
  <c r="Z26" i="97"/>
  <c r="B26" i="97" s="1"/>
  <c r="Z25" i="97"/>
  <c r="B25" i="97"/>
  <c r="Z24" i="97"/>
  <c r="Z23" i="97"/>
  <c r="B23" i="97"/>
  <c r="Z22" i="97"/>
  <c r="B22" i="97" s="1"/>
  <c r="Z21" i="97"/>
  <c r="B21" i="97"/>
  <c r="Z20" i="97"/>
  <c r="B20" i="97"/>
  <c r="Z19" i="97"/>
  <c r="B19" i="97"/>
  <c r="Z18" i="97"/>
  <c r="B18" i="97" s="1"/>
  <c r="AB17" i="97"/>
  <c r="Z17" i="97"/>
  <c r="B17" i="97" s="1"/>
  <c r="Z16" i="97"/>
  <c r="B16" i="97" s="1"/>
  <c r="B12" i="101" s="1"/>
  <c r="B7" i="101" s="1"/>
  <c r="Z15" i="97"/>
  <c r="B15" i="97" s="1"/>
  <c r="Z14" i="97"/>
  <c r="B14" i="97"/>
  <c r="Z13" i="97"/>
  <c r="B13" i="97" s="1"/>
  <c r="N1" i="97"/>
  <c r="B362" i="96"/>
  <c r="I362" i="96" s="1"/>
  <c r="R361" i="96"/>
  <c r="B361" i="96"/>
  <c r="I361" i="96" s="1"/>
  <c r="R360" i="96"/>
  <c r="B360" i="96"/>
  <c r="I360" i="96" s="1"/>
  <c r="R359" i="96"/>
  <c r="B359" i="96" s="1"/>
  <c r="I359" i="96"/>
  <c r="R358" i="96"/>
  <c r="B358" i="96"/>
  <c r="I358" i="96" s="1"/>
  <c r="B357" i="96"/>
  <c r="I357" i="96" s="1"/>
  <c r="B356" i="96"/>
  <c r="I356" i="96" s="1"/>
  <c r="B355" i="96"/>
  <c r="I355" i="96" s="1"/>
  <c r="R354" i="96"/>
  <c r="B354" i="96" s="1"/>
  <c r="I354" i="96" s="1"/>
  <c r="I353" i="96"/>
  <c r="B353" i="96"/>
  <c r="I352" i="96"/>
  <c r="B352" i="96"/>
  <c r="B351" i="96"/>
  <c r="I351" i="96" s="1"/>
  <c r="B346" i="96"/>
  <c r="B340" i="96"/>
  <c r="I340" i="96" s="1"/>
  <c r="B339" i="96"/>
  <c r="I339" i="96" s="1"/>
  <c r="R338" i="96"/>
  <c r="B338" i="96"/>
  <c r="I338" i="96" s="1"/>
  <c r="R337" i="96"/>
  <c r="B337" i="96"/>
  <c r="I337" i="96" s="1"/>
  <c r="B336" i="96"/>
  <c r="I336" i="96" s="1"/>
  <c r="R335" i="96"/>
  <c r="B335" i="96"/>
  <c r="I335" i="96" s="1"/>
  <c r="I334" i="96"/>
  <c r="B334" i="96"/>
  <c r="I333" i="96"/>
  <c r="B333" i="96"/>
  <c r="I332" i="96"/>
  <c r="B332" i="96"/>
  <c r="R331" i="96"/>
  <c r="B331" i="96"/>
  <c r="I331" i="96" s="1"/>
  <c r="B330" i="96"/>
  <c r="I330" i="96" s="1"/>
  <c r="B329" i="96"/>
  <c r="B318" i="96"/>
  <c r="I318" i="96" s="1"/>
  <c r="I317" i="96"/>
  <c r="B317" i="96"/>
  <c r="I316" i="96"/>
  <c r="B316" i="96"/>
  <c r="I315" i="96"/>
  <c r="B315" i="96"/>
  <c r="B314" i="96"/>
  <c r="I314" i="96" s="1"/>
  <c r="I313" i="96"/>
  <c r="B313" i="96"/>
  <c r="I312" i="96"/>
  <c r="B312" i="96"/>
  <c r="I311" i="96"/>
  <c r="B311" i="96"/>
  <c r="I310" i="96"/>
  <c r="B310" i="96"/>
  <c r="I309" i="96"/>
  <c r="B309" i="96"/>
  <c r="I308" i="96"/>
  <c r="B308" i="96"/>
  <c r="B303" i="96"/>
  <c r="R297" i="96"/>
  <c r="B297" i="96" s="1"/>
  <c r="I297" i="96" s="1"/>
  <c r="R296" i="96"/>
  <c r="B296" i="96"/>
  <c r="I296" i="96" s="1"/>
  <c r="B295" i="96"/>
  <c r="I295" i="96" s="1"/>
  <c r="P293" i="96"/>
  <c r="I293" i="96"/>
  <c r="P292" i="96"/>
  <c r="I292" i="96"/>
  <c r="S291" i="96"/>
  <c r="T294" i="96" s="1"/>
  <c r="B294" i="96" s="1"/>
  <c r="I294" i="96" s="1"/>
  <c r="S290" i="96"/>
  <c r="B287" i="96"/>
  <c r="R281" i="96"/>
  <c r="B281" i="96" s="1"/>
  <c r="I281" i="96" s="1"/>
  <c r="R280" i="96"/>
  <c r="B280" i="96" s="1"/>
  <c r="I280" i="96" s="1"/>
  <c r="R279" i="96"/>
  <c r="I279" i="96"/>
  <c r="B279" i="96"/>
  <c r="P278" i="96"/>
  <c r="B278" i="96"/>
  <c r="I278" i="96" s="1"/>
  <c r="B277" i="96"/>
  <c r="I277" i="96" s="1"/>
  <c r="B276" i="96"/>
  <c r="I276" i="96" s="1"/>
  <c r="R265" i="96"/>
  <c r="B265" i="96"/>
  <c r="I265" i="96" s="1"/>
  <c r="R264" i="96"/>
  <c r="B264" i="96" s="1"/>
  <c r="I264" i="96" s="1"/>
  <c r="R263" i="96"/>
  <c r="B263" i="96"/>
  <c r="I263" i="96" s="1"/>
  <c r="R262" i="96"/>
  <c r="B262" i="96" s="1"/>
  <c r="I262" i="96"/>
  <c r="R261" i="96"/>
  <c r="B261" i="96" s="1"/>
  <c r="I261" i="96" s="1"/>
  <c r="B260" i="96"/>
  <c r="I260" i="96" s="1"/>
  <c r="B259" i="96"/>
  <c r="S248" i="96"/>
  <c r="B248" i="96" s="1"/>
  <c r="I248" i="96" s="1"/>
  <c r="S247" i="96"/>
  <c r="B247" i="96" s="1"/>
  <c r="B242" i="96" s="1"/>
  <c r="I247" i="96"/>
  <c r="B236" i="96"/>
  <c r="I236" i="96" s="1"/>
  <c r="I233" i="96"/>
  <c r="B233" i="96"/>
  <c r="B228" i="96"/>
  <c r="R222" i="96"/>
  <c r="B222" i="96" s="1"/>
  <c r="I222" i="96" s="1"/>
  <c r="R221" i="96"/>
  <c r="B221" i="96" s="1"/>
  <c r="I221" i="96" s="1"/>
  <c r="R220" i="96"/>
  <c r="B220" i="96" s="1"/>
  <c r="I220" i="96" s="1"/>
  <c r="R219" i="96"/>
  <c r="B219" i="96"/>
  <c r="I219" i="96" s="1"/>
  <c r="B218" i="96"/>
  <c r="I218" i="96" s="1"/>
  <c r="B217" i="96"/>
  <c r="I217" i="96" s="1"/>
  <c r="I216" i="96"/>
  <c r="B211" i="96"/>
  <c r="R205" i="96"/>
  <c r="B205" i="96" s="1"/>
  <c r="I205" i="96" s="1"/>
  <c r="R204" i="96"/>
  <c r="B204" i="96"/>
  <c r="I204" i="96" s="1"/>
  <c r="I203" i="96"/>
  <c r="B203" i="96"/>
  <c r="T202" i="96"/>
  <c r="B202" i="96" s="1"/>
  <c r="I202" i="96" s="1"/>
  <c r="P201" i="96"/>
  <c r="I201" i="96"/>
  <c r="P200" i="96"/>
  <c r="I200" i="96"/>
  <c r="S198" i="96"/>
  <c r="B195" i="96"/>
  <c r="R189" i="96"/>
  <c r="B189" i="96" s="1"/>
  <c r="I189" i="96" s="1"/>
  <c r="R188" i="96"/>
  <c r="I188" i="96"/>
  <c r="B188" i="96"/>
  <c r="R187" i="96"/>
  <c r="B187" i="96"/>
  <c r="I187" i="96" s="1"/>
  <c r="P186" i="96"/>
  <c r="I186" i="96"/>
  <c r="B186" i="96"/>
  <c r="I185" i="96"/>
  <c r="I184" i="96"/>
  <c r="B179" i="96"/>
  <c r="R173" i="96"/>
  <c r="B173" i="96" s="1"/>
  <c r="I173" i="96" s="1"/>
  <c r="R172" i="96"/>
  <c r="B172" i="96"/>
  <c r="I172" i="96" s="1"/>
  <c r="R171" i="96"/>
  <c r="B171" i="96" s="1"/>
  <c r="I171" i="96" s="1"/>
  <c r="R170" i="96"/>
  <c r="B170" i="96" s="1"/>
  <c r="I170" i="96" s="1"/>
  <c r="R169" i="96"/>
  <c r="I169" i="96"/>
  <c r="B169" i="96"/>
  <c r="B168" i="96"/>
  <c r="I168" i="96" s="1"/>
  <c r="B167" i="96"/>
  <c r="I167" i="96" s="1"/>
  <c r="B156" i="96"/>
  <c r="I156" i="96" s="1"/>
  <c r="R155" i="96"/>
  <c r="B155" i="96"/>
  <c r="I155" i="96" s="1"/>
  <c r="B154" i="96"/>
  <c r="I154" i="96" s="1"/>
  <c r="B153" i="96"/>
  <c r="I153" i="96" s="1"/>
  <c r="I152" i="96"/>
  <c r="B152" i="96"/>
  <c r="B147" i="96"/>
  <c r="R141" i="96"/>
  <c r="B141" i="96" s="1"/>
  <c r="I141" i="96" s="1"/>
  <c r="R140" i="96"/>
  <c r="B140" i="96"/>
  <c r="I140" i="96" s="1"/>
  <c r="B139" i="96"/>
  <c r="I139" i="96" s="1"/>
  <c r="I138" i="96"/>
  <c r="B138" i="96"/>
  <c r="B133" i="96"/>
  <c r="B109" i="96" s="1"/>
  <c r="R127" i="96"/>
  <c r="B127" i="96"/>
  <c r="I127" i="96" s="1"/>
  <c r="R126" i="96"/>
  <c r="I126" i="96"/>
  <c r="B126" i="96"/>
  <c r="R125" i="96"/>
  <c r="B125" i="96" s="1"/>
  <c r="I125" i="96" s="1"/>
  <c r="R124" i="96"/>
  <c r="B124" i="96" s="1"/>
  <c r="I124" i="96" s="1"/>
  <c r="I123" i="96"/>
  <c r="R112" i="96"/>
  <c r="B112" i="96" s="1"/>
  <c r="I112" i="96" s="1"/>
  <c r="I111" i="96"/>
  <c r="I109" i="96"/>
  <c r="I108" i="96"/>
  <c r="R97" i="96"/>
  <c r="B97" i="96"/>
  <c r="I97" i="96" s="1"/>
  <c r="I96" i="96"/>
  <c r="I95" i="96"/>
  <c r="I84" i="96"/>
  <c r="I83" i="96"/>
  <c r="I82" i="96"/>
  <c r="B77" i="96"/>
  <c r="R71" i="96"/>
  <c r="B71" i="96" s="1"/>
  <c r="I71" i="96" s="1"/>
  <c r="I70" i="96"/>
  <c r="I69" i="96"/>
  <c r="B69" i="96"/>
  <c r="I68" i="96"/>
  <c r="R57" i="96"/>
  <c r="B57" i="96"/>
  <c r="I57" i="96" s="1"/>
  <c r="R56" i="96"/>
  <c r="B56" i="96"/>
  <c r="I56" i="96" s="1"/>
  <c r="R55" i="96"/>
  <c r="I55" i="96"/>
  <c r="B55" i="96"/>
  <c r="B50" i="96"/>
  <c r="R44" i="96"/>
  <c r="B44" i="96"/>
  <c r="I44" i="96" s="1"/>
  <c r="I43" i="96"/>
  <c r="B42" i="96"/>
  <c r="I42" i="96" s="1"/>
  <c r="I41" i="96"/>
  <c r="R30" i="96"/>
  <c r="B30" i="96" s="1"/>
  <c r="I30" i="96" s="1"/>
  <c r="R29" i="96"/>
  <c r="B29" i="96" s="1"/>
  <c r="I29" i="96" s="1"/>
  <c r="R28" i="96"/>
  <c r="B28" i="96" s="1"/>
  <c r="I28" i="96" s="1"/>
  <c r="I27" i="96"/>
  <c r="B27" i="96"/>
  <c r="I26" i="96"/>
  <c r="R15" i="96"/>
  <c r="B15" i="96" s="1"/>
  <c r="I15" i="96" s="1"/>
  <c r="I14" i="96"/>
  <c r="I13" i="96"/>
  <c r="B57" i="95"/>
  <c r="J57" i="95" s="1"/>
  <c r="B56" i="95"/>
  <c r="J56" i="95" s="1"/>
  <c r="S54" i="95"/>
  <c r="B54" i="95"/>
  <c r="J54" i="95" s="1"/>
  <c r="S53" i="95"/>
  <c r="B53" i="95" s="1"/>
  <c r="J53" i="95" s="1"/>
  <c r="S52" i="95"/>
  <c r="B52" i="95"/>
  <c r="J52" i="95" s="1"/>
  <c r="B51" i="95"/>
  <c r="J51" i="95" s="1"/>
  <c r="S50" i="95"/>
  <c r="B50" i="95" s="1"/>
  <c r="J50" i="95" s="1"/>
  <c r="B49" i="95"/>
  <c r="J49" i="95" s="1"/>
  <c r="J48" i="95"/>
  <c r="B48" i="95"/>
  <c r="B43" i="95"/>
  <c r="B12" i="95" s="1"/>
  <c r="J12" i="95" s="1"/>
  <c r="S37" i="95"/>
  <c r="B37" i="95" s="1"/>
  <c r="J37" i="95" s="1"/>
  <c r="S36" i="95"/>
  <c r="B36" i="95"/>
  <c r="J36" i="95" s="1"/>
  <c r="S35" i="95"/>
  <c r="B35" i="95"/>
  <c r="J35" i="95" s="1"/>
  <c r="B34" i="95"/>
  <c r="J34" i="95" s="1"/>
  <c r="B33" i="95"/>
  <c r="J33" i="95" s="1"/>
  <c r="S32" i="95"/>
  <c r="B32" i="95"/>
  <c r="J32" i="95" s="1"/>
  <c r="J31" i="95"/>
  <c r="B31" i="95"/>
  <c r="J30" i="95"/>
  <c r="B30" i="95"/>
  <c r="J29" i="95"/>
  <c r="B19" i="95"/>
  <c r="S18" i="95"/>
  <c r="J18" i="95"/>
  <c r="B18" i="95"/>
  <c r="B17" i="95"/>
  <c r="J17" i="95" s="1"/>
  <c r="S16" i="95"/>
  <c r="B16" i="95"/>
  <c r="J16" i="95" s="1"/>
  <c r="B15" i="95"/>
  <c r="J15" i="95" s="1"/>
  <c r="J14" i="95"/>
  <c r="B14" i="95"/>
  <c r="J13" i="95"/>
  <c r="B7" i="95"/>
  <c r="I47" i="94"/>
  <c r="I46" i="94"/>
  <c r="I45" i="94"/>
  <c r="B45" i="94"/>
  <c r="B12" i="94" s="1"/>
  <c r="I12" i="94" s="1"/>
  <c r="B40" i="94"/>
  <c r="R34" i="94"/>
  <c r="B34" i="94"/>
  <c r="I34" i="94" s="1"/>
  <c r="R33" i="94"/>
  <c r="I33" i="94"/>
  <c r="B33" i="94"/>
  <c r="R32" i="94"/>
  <c r="B32" i="94" s="1"/>
  <c r="I32" i="94" s="1"/>
  <c r="R31" i="94"/>
  <c r="B31" i="94" s="1"/>
  <c r="I31" i="94" s="1"/>
  <c r="B30" i="94"/>
  <c r="I30" i="94" s="1"/>
  <c r="I29" i="94"/>
  <c r="P28" i="94"/>
  <c r="I28" i="94"/>
  <c r="B23" i="94"/>
  <c r="Q17" i="94"/>
  <c r="B17" i="94"/>
  <c r="I17" i="94" s="1"/>
  <c r="Q16" i="94"/>
  <c r="B16" i="94" s="1"/>
  <c r="I16" i="94" s="1"/>
  <c r="Q15" i="94"/>
  <c r="B15" i="94"/>
  <c r="I15" i="94" s="1"/>
  <c r="B14" i="94"/>
  <c r="I14" i="94" s="1"/>
  <c r="P13" i="94"/>
  <c r="I13" i="94"/>
  <c r="B13" i="94"/>
  <c r="S10" i="94"/>
  <c r="S11" i="94" s="1"/>
  <c r="T14" i="94" s="1"/>
  <c r="B7" i="94"/>
  <c r="I104" i="93"/>
  <c r="I103" i="93"/>
  <c r="I102" i="93"/>
  <c r="B100" i="93"/>
  <c r="I100" i="93" s="1"/>
  <c r="B95" i="93"/>
  <c r="I89" i="93"/>
  <c r="I88" i="93"/>
  <c r="I87" i="93"/>
  <c r="I86" i="93"/>
  <c r="B81" i="93"/>
  <c r="B101" i="93" s="1"/>
  <c r="I101" i="93" s="1"/>
  <c r="I75" i="93"/>
  <c r="I74" i="93"/>
  <c r="I73" i="93"/>
  <c r="B68" i="93"/>
  <c r="I62" i="93"/>
  <c r="B61" i="93"/>
  <c r="I61" i="93" s="1"/>
  <c r="R60" i="93"/>
  <c r="B60" i="93"/>
  <c r="I60" i="93" s="1"/>
  <c r="I59" i="93"/>
  <c r="B54" i="93"/>
  <c r="R48" i="93"/>
  <c r="B48" i="93" s="1"/>
  <c r="I48" i="93" s="1"/>
  <c r="I47" i="93"/>
  <c r="B47" i="93"/>
  <c r="R46" i="93"/>
  <c r="B46" i="93" s="1"/>
  <c r="I46" i="93" s="1"/>
  <c r="R45" i="93"/>
  <c r="B45" i="93" s="1"/>
  <c r="I45" i="93" s="1"/>
  <c r="I44" i="93"/>
  <c r="B44" i="93"/>
  <c r="B43" i="93"/>
  <c r="I43" i="93" s="1"/>
  <c r="I42" i="93"/>
  <c r="P38" i="93"/>
  <c r="Q110" i="96" s="1"/>
  <c r="S110" i="96" s="1"/>
  <c r="B110" i="96" s="1"/>
  <c r="I110" i="96" s="1"/>
  <c r="R31" i="93"/>
  <c r="B31" i="93"/>
  <c r="I31" i="93" s="1"/>
  <c r="B30" i="93"/>
  <c r="I30" i="93" s="1"/>
  <c r="R29" i="93"/>
  <c r="B29" i="93" s="1"/>
  <c r="I29" i="93" s="1"/>
  <c r="I28" i="93"/>
  <c r="B23" i="93"/>
  <c r="Q17" i="93"/>
  <c r="B17" i="93"/>
  <c r="I17" i="93" s="1"/>
  <c r="Q16" i="93"/>
  <c r="B16" i="93" s="1"/>
  <c r="I16" i="93" s="1"/>
  <c r="B15" i="93"/>
  <c r="I15" i="93" s="1"/>
  <c r="I14" i="93"/>
  <c r="O13" i="93"/>
  <c r="Q13" i="93" s="1"/>
  <c r="B13" i="93" s="1"/>
  <c r="I13" i="93"/>
  <c r="I12" i="93"/>
  <c r="B7" i="93"/>
  <c r="B28" i="92"/>
  <c r="Z27" i="92"/>
  <c r="B27" i="92"/>
  <c r="Z26" i="92"/>
  <c r="B26" i="92" s="1"/>
  <c r="Z25" i="92"/>
  <c r="B25" i="92" s="1"/>
  <c r="Z24" i="92"/>
  <c r="B24" i="92"/>
  <c r="Z23" i="92"/>
  <c r="B23" i="92"/>
  <c r="Z22" i="92"/>
  <c r="B22" i="92" s="1"/>
  <c r="Z21" i="92"/>
  <c r="B21" i="92" s="1"/>
  <c r="Z20" i="92"/>
  <c r="B20" i="92"/>
  <c r="Z19" i="92"/>
  <c r="B19" i="92"/>
  <c r="Z18" i="92"/>
  <c r="B18" i="92" s="1"/>
  <c r="AB17" i="92"/>
  <c r="Z17" i="92" s="1"/>
  <c r="B17" i="92" s="1"/>
  <c r="O32" i="92" s="1"/>
  <c r="Z16" i="92"/>
  <c r="B16" i="92" s="1"/>
  <c r="B12" i="96" s="1"/>
  <c r="B7" i="96" s="1"/>
  <c r="Z15" i="92"/>
  <c r="B15" i="92"/>
  <c r="Z14" i="92"/>
  <c r="B14" i="92"/>
  <c r="Z13" i="92"/>
  <c r="B13" i="92"/>
  <c r="N1" i="92"/>
  <c r="B361" i="91"/>
  <c r="I361" i="91" s="1"/>
  <c r="R360" i="91"/>
  <c r="B360" i="91" s="1"/>
  <c r="I360" i="91" s="1"/>
  <c r="R359" i="91"/>
  <c r="B359" i="91"/>
  <c r="I359" i="91" s="1"/>
  <c r="R358" i="91"/>
  <c r="B358" i="91"/>
  <c r="I358" i="91" s="1"/>
  <c r="R357" i="91"/>
  <c r="B357" i="91" s="1"/>
  <c r="I357" i="91" s="1"/>
  <c r="B356" i="91"/>
  <c r="I356" i="91" s="1"/>
  <c r="B355" i="91"/>
  <c r="I355" i="91" s="1"/>
  <c r="I354" i="91"/>
  <c r="B354" i="91"/>
  <c r="R353" i="91"/>
  <c r="B353" i="91" s="1"/>
  <c r="I353" i="91" s="1"/>
  <c r="I352" i="91"/>
  <c r="B352" i="91"/>
  <c r="I351" i="91"/>
  <c r="B351" i="91"/>
  <c r="I350" i="91"/>
  <c r="I339" i="91"/>
  <c r="B339" i="91"/>
  <c r="B338" i="91"/>
  <c r="I338" i="91" s="1"/>
  <c r="R337" i="91"/>
  <c r="I337" i="91"/>
  <c r="B337" i="91"/>
  <c r="R336" i="91"/>
  <c r="B336" i="91" s="1"/>
  <c r="I336" i="91"/>
  <c r="B335" i="91"/>
  <c r="I335" i="91" s="1"/>
  <c r="R334" i="91"/>
  <c r="B334" i="91"/>
  <c r="I334" i="91" s="1"/>
  <c r="I333" i="91"/>
  <c r="B333" i="91"/>
  <c r="B332" i="91"/>
  <c r="I332" i="91" s="1"/>
  <c r="I331" i="91"/>
  <c r="B331" i="91"/>
  <c r="R330" i="91"/>
  <c r="B330" i="91"/>
  <c r="I330" i="91" s="1"/>
  <c r="I329" i="91"/>
  <c r="B329" i="91"/>
  <c r="B328" i="91"/>
  <c r="I328" i="91" s="1"/>
  <c r="I317" i="91"/>
  <c r="B317" i="91"/>
  <c r="B316" i="91"/>
  <c r="I316" i="91" s="1"/>
  <c r="B315" i="91"/>
  <c r="I315" i="91" s="1"/>
  <c r="I314" i="91"/>
  <c r="B314" i="91"/>
  <c r="B313" i="91"/>
  <c r="I313" i="91" s="1"/>
  <c r="B312" i="91"/>
  <c r="I312" i="91" s="1"/>
  <c r="B311" i="91"/>
  <c r="I311" i="91" s="1"/>
  <c r="I310" i="91"/>
  <c r="B310" i="91"/>
  <c r="I309" i="91"/>
  <c r="B309" i="91"/>
  <c r="I308" i="91"/>
  <c r="B308" i="91"/>
  <c r="B307" i="91"/>
  <c r="I307" i="91" s="1"/>
  <c r="B302" i="91"/>
  <c r="R296" i="91"/>
  <c r="I296" i="91"/>
  <c r="B296" i="91"/>
  <c r="R295" i="91"/>
  <c r="B295" i="91" s="1"/>
  <c r="I295" i="91"/>
  <c r="B294" i="91"/>
  <c r="I294" i="91" s="1"/>
  <c r="T292" i="91"/>
  <c r="B293" i="91" s="1"/>
  <c r="I293" i="91" s="1"/>
  <c r="P292" i="91"/>
  <c r="I292" i="91"/>
  <c r="P291" i="91"/>
  <c r="I291" i="91"/>
  <c r="S289" i="91"/>
  <c r="S288" i="91"/>
  <c r="B286" i="91"/>
  <c r="R280" i="91"/>
  <c r="B280" i="91"/>
  <c r="I280" i="91" s="1"/>
  <c r="R279" i="91"/>
  <c r="B279" i="91"/>
  <c r="I279" i="91" s="1"/>
  <c r="R278" i="91"/>
  <c r="B278" i="91"/>
  <c r="I278" i="91" s="1"/>
  <c r="P277" i="91"/>
  <c r="B277" i="91" s="1"/>
  <c r="I277" i="91"/>
  <c r="B276" i="91"/>
  <c r="I276" i="91" s="1"/>
  <c r="I275" i="91"/>
  <c r="B270" i="91"/>
  <c r="R264" i="91"/>
  <c r="B264" i="91" s="1"/>
  <c r="I264" i="91" s="1"/>
  <c r="R263" i="91"/>
  <c r="B263" i="91"/>
  <c r="I263" i="91" s="1"/>
  <c r="R262" i="91"/>
  <c r="I262" i="91"/>
  <c r="B262" i="91"/>
  <c r="R261" i="91"/>
  <c r="B261" i="91" s="1"/>
  <c r="I261" i="91" s="1"/>
  <c r="R260" i="91"/>
  <c r="B260" i="91" s="1"/>
  <c r="I260" i="91" s="1"/>
  <c r="B259" i="91"/>
  <c r="I259" i="91" s="1"/>
  <c r="I258" i="91"/>
  <c r="B258" i="91"/>
  <c r="B253" i="91" s="1"/>
  <c r="B233" i="91" s="1"/>
  <c r="I233" i="91" s="1"/>
  <c r="B247" i="91"/>
  <c r="I247" i="91" s="1"/>
  <c r="B246" i="91"/>
  <c r="I246" i="91" s="1"/>
  <c r="B241" i="91"/>
  <c r="B234" i="91" s="1"/>
  <c r="I234" i="91" s="1"/>
  <c r="B235" i="91"/>
  <c r="I235" i="91" s="1"/>
  <c r="I232" i="91"/>
  <c r="B227" i="91"/>
  <c r="R221" i="91"/>
  <c r="B221" i="91" s="1"/>
  <c r="I221" i="91" s="1"/>
  <c r="R220" i="91"/>
  <c r="B220" i="91" s="1"/>
  <c r="I220" i="91" s="1"/>
  <c r="R219" i="91"/>
  <c r="B219" i="91"/>
  <c r="I219" i="91" s="1"/>
  <c r="R218" i="91"/>
  <c r="B218" i="91" s="1"/>
  <c r="I218" i="91" s="1"/>
  <c r="I217" i="91"/>
  <c r="B217" i="91"/>
  <c r="B216" i="91"/>
  <c r="I216" i="91" s="1"/>
  <c r="P215" i="91"/>
  <c r="I215" i="91"/>
  <c r="B210" i="91"/>
  <c r="B204" i="91"/>
  <c r="I204" i="91" s="1"/>
  <c r="I203" i="91"/>
  <c r="P201" i="91"/>
  <c r="I201" i="91"/>
  <c r="P200" i="91"/>
  <c r="I200" i="91"/>
  <c r="R195" i="91"/>
  <c r="R196" i="91" s="1"/>
  <c r="S199" i="91" s="1"/>
  <c r="B202" i="91" s="1"/>
  <c r="I202" i="91" s="1"/>
  <c r="B195" i="91"/>
  <c r="R189" i="91"/>
  <c r="B189" i="91" s="1"/>
  <c r="I189" i="91" s="1"/>
  <c r="R188" i="91"/>
  <c r="B188" i="91" s="1"/>
  <c r="I188" i="91" s="1"/>
  <c r="R187" i="91"/>
  <c r="B187" i="91"/>
  <c r="I187" i="91" s="1"/>
  <c r="P186" i="91"/>
  <c r="B186" i="91" s="1"/>
  <c r="I186" i="91" s="1"/>
  <c r="I185" i="91"/>
  <c r="I184" i="91"/>
  <c r="B179" i="91"/>
  <c r="R173" i="91"/>
  <c r="B173" i="91" s="1"/>
  <c r="I173" i="91" s="1"/>
  <c r="R172" i="91"/>
  <c r="B172" i="91"/>
  <c r="I172" i="91" s="1"/>
  <c r="R171" i="91"/>
  <c r="I171" i="91"/>
  <c r="B171" i="91"/>
  <c r="R170" i="91"/>
  <c r="B170" i="91" s="1"/>
  <c r="I170" i="91" s="1"/>
  <c r="R169" i="91"/>
  <c r="B169" i="91" s="1"/>
  <c r="I169" i="91" s="1"/>
  <c r="I168" i="91"/>
  <c r="I167" i="91"/>
  <c r="B162" i="91"/>
  <c r="I156" i="91"/>
  <c r="B156" i="91"/>
  <c r="R155" i="91"/>
  <c r="I155" i="91"/>
  <c r="B155" i="91"/>
  <c r="I154" i="91"/>
  <c r="I153" i="91"/>
  <c r="I152" i="91"/>
  <c r="B147" i="91"/>
  <c r="R141" i="91"/>
  <c r="B141" i="91"/>
  <c r="I141" i="91" s="1"/>
  <c r="R140" i="91"/>
  <c r="B140" i="91"/>
  <c r="I140" i="91" s="1"/>
  <c r="I139" i="91"/>
  <c r="I138" i="91"/>
  <c r="B133" i="91"/>
  <c r="R127" i="91"/>
  <c r="B127" i="91" s="1"/>
  <c r="I127" i="91" s="1"/>
  <c r="R126" i="91"/>
  <c r="B126" i="91" s="1"/>
  <c r="I126" i="91" s="1"/>
  <c r="R125" i="91"/>
  <c r="B125" i="91" s="1"/>
  <c r="I125" i="91" s="1"/>
  <c r="I124" i="91"/>
  <c r="B124" i="91"/>
  <c r="I123" i="91"/>
  <c r="R112" i="91"/>
  <c r="B112" i="91" s="1"/>
  <c r="I112" i="91" s="1"/>
  <c r="I111" i="91"/>
  <c r="R110" i="91"/>
  <c r="B110" i="91" s="1"/>
  <c r="I110" i="91" s="1"/>
  <c r="B109" i="91"/>
  <c r="I109" i="91" s="1"/>
  <c r="I108" i="91"/>
  <c r="R97" i="91"/>
  <c r="B97" i="91" s="1"/>
  <c r="I97" i="91" s="1"/>
  <c r="I96" i="91"/>
  <c r="I95" i="91"/>
  <c r="I84" i="91"/>
  <c r="I83" i="91"/>
  <c r="I82" i="91"/>
  <c r="B77" i="91"/>
  <c r="B69" i="91" s="1"/>
  <c r="I69" i="91" s="1"/>
  <c r="R71" i="91"/>
  <c r="B71" i="91"/>
  <c r="I71" i="91" s="1"/>
  <c r="I70" i="91"/>
  <c r="I68" i="91"/>
  <c r="R57" i="91"/>
  <c r="B57" i="91" s="1"/>
  <c r="I57" i="91" s="1"/>
  <c r="R56" i="91"/>
  <c r="B56" i="91"/>
  <c r="I56" i="91" s="1"/>
  <c r="R55" i="91"/>
  <c r="I55" i="91"/>
  <c r="B55" i="91"/>
  <c r="B50" i="91" s="1"/>
  <c r="R44" i="91"/>
  <c r="B44" i="91" s="1"/>
  <c r="I44" i="91" s="1"/>
  <c r="I43" i="91"/>
  <c r="R42" i="91"/>
  <c r="I42" i="91"/>
  <c r="B42" i="91"/>
  <c r="I41" i="91"/>
  <c r="R30" i="91"/>
  <c r="B30" i="91" s="1"/>
  <c r="I30" i="91" s="1"/>
  <c r="R29" i="91"/>
  <c r="B29" i="91"/>
  <c r="I29" i="91" s="1"/>
  <c r="R28" i="91"/>
  <c r="B28" i="91" s="1"/>
  <c r="I28" i="91" s="1"/>
  <c r="I27" i="91"/>
  <c r="I26" i="91"/>
  <c r="R15" i="91"/>
  <c r="B15" i="91" s="1"/>
  <c r="I15" i="91" s="1"/>
  <c r="I14" i="91"/>
  <c r="I13" i="91"/>
  <c r="B57" i="90"/>
  <c r="J57" i="90" s="1"/>
  <c r="J56" i="90"/>
  <c r="B56" i="90"/>
  <c r="J55" i="90"/>
  <c r="B55" i="90"/>
  <c r="S54" i="90"/>
  <c r="B54" i="90" s="1"/>
  <c r="J54" i="90"/>
  <c r="S53" i="90"/>
  <c r="J53" i="90"/>
  <c r="B53" i="90"/>
  <c r="S52" i="90"/>
  <c r="B52" i="90" s="1"/>
  <c r="J52" i="90" s="1"/>
  <c r="J51" i="90"/>
  <c r="B51" i="90"/>
  <c r="S50" i="90"/>
  <c r="B50" i="90"/>
  <c r="J50" i="90" s="1"/>
  <c r="J49" i="90"/>
  <c r="B49" i="90"/>
  <c r="B48" i="90"/>
  <c r="S37" i="90"/>
  <c r="B37" i="90" s="1"/>
  <c r="J37" i="90" s="1"/>
  <c r="S36" i="90"/>
  <c r="B36" i="90" s="1"/>
  <c r="J36" i="90" s="1"/>
  <c r="S35" i="90"/>
  <c r="B35" i="90"/>
  <c r="J35" i="90" s="1"/>
  <c r="J34" i="90"/>
  <c r="B33" i="90"/>
  <c r="J33" i="90" s="1"/>
  <c r="S32" i="90"/>
  <c r="B32" i="90"/>
  <c r="J32" i="90" s="1"/>
  <c r="B31" i="90"/>
  <c r="J31" i="90" s="1"/>
  <c r="B30" i="90"/>
  <c r="B12" i="90" s="1"/>
  <c r="J29" i="90"/>
  <c r="B19" i="90"/>
  <c r="S18" i="90"/>
  <c r="B18" i="90" s="1"/>
  <c r="J18" i="90" s="1"/>
  <c r="B17" i="90"/>
  <c r="J17" i="90" s="1"/>
  <c r="S16" i="90"/>
  <c r="B16" i="90" s="1"/>
  <c r="J16" i="90"/>
  <c r="B15" i="90"/>
  <c r="J15" i="90" s="1"/>
  <c r="B14" i="90"/>
  <c r="J14" i="90" s="1"/>
  <c r="J13" i="90"/>
  <c r="B9" i="90"/>
  <c r="I47" i="89"/>
  <c r="I46" i="89"/>
  <c r="I45" i="89"/>
  <c r="B45" i="89"/>
  <c r="B40" i="89"/>
  <c r="R34" i="89"/>
  <c r="B34" i="89" s="1"/>
  <c r="I34" i="89" s="1"/>
  <c r="R33" i="89"/>
  <c r="B33" i="89"/>
  <c r="I33" i="89" s="1"/>
  <c r="R32" i="89"/>
  <c r="I32" i="89"/>
  <c r="B32" i="89"/>
  <c r="R31" i="89"/>
  <c r="B31" i="89"/>
  <c r="I31" i="89" s="1"/>
  <c r="B30" i="89"/>
  <c r="I30" i="89" s="1"/>
  <c r="I29" i="89"/>
  <c r="P28" i="89"/>
  <c r="I28" i="89"/>
  <c r="Q17" i="89"/>
  <c r="B17" i="89"/>
  <c r="I17" i="89" s="1"/>
  <c r="Q16" i="89"/>
  <c r="I16" i="89"/>
  <c r="B16" i="89"/>
  <c r="Q15" i="89"/>
  <c r="B15" i="89" s="1"/>
  <c r="I15" i="89"/>
  <c r="I14" i="89"/>
  <c r="P13" i="89"/>
  <c r="I13" i="89"/>
  <c r="P12" i="89"/>
  <c r="I12" i="89"/>
  <c r="S10" i="89"/>
  <c r="S11" i="89" s="1"/>
  <c r="T14" i="89" s="1"/>
  <c r="B14" i="89" s="1"/>
  <c r="B7" i="89"/>
  <c r="I104" i="88"/>
  <c r="I103" i="88"/>
  <c r="I102" i="88"/>
  <c r="I101" i="88"/>
  <c r="I100" i="88"/>
  <c r="B95" i="88"/>
  <c r="I89" i="88"/>
  <c r="I88" i="88"/>
  <c r="I87" i="88"/>
  <c r="I86" i="88"/>
  <c r="I75" i="88"/>
  <c r="B75" i="88"/>
  <c r="I74" i="88"/>
  <c r="I73" i="88"/>
  <c r="B62" i="88"/>
  <c r="I62" i="88" s="1"/>
  <c r="I61" i="88"/>
  <c r="R60" i="88"/>
  <c r="B60" i="88"/>
  <c r="I60" i="88" s="1"/>
  <c r="I59" i="88"/>
  <c r="B59" i="88"/>
  <c r="B54" i="88"/>
  <c r="R48" i="88"/>
  <c r="B48" i="88"/>
  <c r="I48" i="88" s="1"/>
  <c r="B47" i="88"/>
  <c r="I47" i="88" s="1"/>
  <c r="R46" i="88"/>
  <c r="B46" i="88" s="1"/>
  <c r="I46" i="88" s="1"/>
  <c r="R45" i="88"/>
  <c r="B45" i="88" s="1"/>
  <c r="I45" i="88" s="1"/>
  <c r="I44" i="88"/>
  <c r="B44" i="88"/>
  <c r="I43" i="88"/>
  <c r="I42" i="88"/>
  <c r="O37" i="88"/>
  <c r="B37" i="88"/>
  <c r="R31" i="88"/>
  <c r="B31" i="88"/>
  <c r="I31" i="88" s="1"/>
  <c r="B30" i="88"/>
  <c r="I30" i="88" s="1"/>
  <c r="R29" i="88"/>
  <c r="B29" i="88"/>
  <c r="I29" i="88" s="1"/>
  <c r="I28" i="88"/>
  <c r="B23" i="88"/>
  <c r="Q17" i="88"/>
  <c r="I17" i="88"/>
  <c r="B17" i="88"/>
  <c r="Q16" i="88"/>
  <c r="B16" i="88"/>
  <c r="I16" i="88" s="1"/>
  <c r="B15" i="88"/>
  <c r="I15" i="88" s="1"/>
  <c r="I14" i="88"/>
  <c r="Q13" i="88"/>
  <c r="B13" i="88" s="1"/>
  <c r="I13" i="88" s="1"/>
  <c r="I12" i="88"/>
  <c r="B7" i="88"/>
  <c r="Z27" i="87"/>
  <c r="B27" i="87"/>
  <c r="Z26" i="87"/>
  <c r="B26" i="87"/>
  <c r="Z25" i="87"/>
  <c r="B25" i="87" s="1"/>
  <c r="Z24" i="87"/>
  <c r="Z23" i="87"/>
  <c r="B23" i="87" s="1"/>
  <c r="Z22" i="87"/>
  <c r="B22" i="87"/>
  <c r="Z21" i="87"/>
  <c r="B21" i="87" s="1"/>
  <c r="Z20" i="87"/>
  <c r="B20" i="87" s="1"/>
  <c r="Z19" i="87"/>
  <c r="B19" i="87" s="1"/>
  <c r="Z18" i="87"/>
  <c r="B18" i="87" s="1"/>
  <c r="AB17" i="87"/>
  <c r="Z17" i="87" s="1"/>
  <c r="B17" i="87"/>
  <c r="Z16" i="87"/>
  <c r="B16" i="87"/>
  <c r="B12" i="91" s="1"/>
  <c r="B7" i="91" s="1"/>
  <c r="Z15" i="87"/>
  <c r="B15" i="87" s="1"/>
  <c r="Z14" i="87"/>
  <c r="B14" i="87" s="1"/>
  <c r="Z13" i="87"/>
  <c r="B13" i="87"/>
  <c r="N1" i="87"/>
  <c r="B362" i="86"/>
  <c r="I362" i="86" s="1"/>
  <c r="R361" i="86"/>
  <c r="B361" i="86" s="1"/>
  <c r="I361" i="86" s="1"/>
  <c r="R360" i="86"/>
  <c r="I360" i="86"/>
  <c r="B360" i="86"/>
  <c r="R359" i="86"/>
  <c r="B359" i="86"/>
  <c r="I359" i="86" s="1"/>
  <c r="R358" i="86"/>
  <c r="B358" i="86" s="1"/>
  <c r="I358" i="86" s="1"/>
  <c r="I357" i="86"/>
  <c r="B357" i="86"/>
  <c r="B356" i="86"/>
  <c r="I356" i="86" s="1"/>
  <c r="B355" i="86"/>
  <c r="I355" i="86" s="1"/>
  <c r="R354" i="86"/>
  <c r="B354" i="86"/>
  <c r="I354" i="86" s="1"/>
  <c r="B353" i="86"/>
  <c r="I353" i="86" s="1"/>
  <c r="I352" i="86"/>
  <c r="B352" i="86"/>
  <c r="I351" i="86"/>
  <c r="B351" i="86"/>
  <c r="B346" i="86" s="1"/>
  <c r="I340" i="86"/>
  <c r="B340" i="86"/>
  <c r="I339" i="86"/>
  <c r="B339" i="86"/>
  <c r="R338" i="86"/>
  <c r="B338" i="86" s="1"/>
  <c r="I338" i="86" s="1"/>
  <c r="R337" i="86"/>
  <c r="I337" i="86"/>
  <c r="B337" i="86"/>
  <c r="I336" i="86"/>
  <c r="B336" i="86"/>
  <c r="R335" i="86"/>
  <c r="B335" i="86" s="1"/>
  <c r="I335" i="86"/>
  <c r="B334" i="86"/>
  <c r="I334" i="86" s="1"/>
  <c r="B333" i="86"/>
  <c r="I333" i="86" s="1"/>
  <c r="B332" i="86"/>
  <c r="I332" i="86" s="1"/>
  <c r="R331" i="86"/>
  <c r="B331" i="86" s="1"/>
  <c r="I331" i="86" s="1"/>
  <c r="I330" i="86"/>
  <c r="B330" i="86"/>
  <c r="I329" i="86"/>
  <c r="B329" i="86"/>
  <c r="B324" i="86"/>
  <c r="I318" i="86"/>
  <c r="B318" i="86"/>
  <c r="B317" i="86"/>
  <c r="I317" i="86" s="1"/>
  <c r="B316" i="86"/>
  <c r="I316" i="86" s="1"/>
  <c r="B315" i="86"/>
  <c r="I315" i="86" s="1"/>
  <c r="I314" i="86"/>
  <c r="B314" i="86"/>
  <c r="B313" i="86"/>
  <c r="I313" i="86" s="1"/>
  <c r="B312" i="86"/>
  <c r="I312" i="86" s="1"/>
  <c r="I311" i="86"/>
  <c r="B311" i="86"/>
  <c r="I310" i="86"/>
  <c r="B310" i="86"/>
  <c r="I309" i="86"/>
  <c r="I308" i="86"/>
  <c r="B308" i="86"/>
  <c r="B303" i="86"/>
  <c r="B276" i="86" s="1"/>
  <c r="I276" i="86" s="1"/>
  <c r="I297" i="86"/>
  <c r="I296" i="86"/>
  <c r="I295" i="86"/>
  <c r="P293" i="86"/>
  <c r="I293" i="86"/>
  <c r="P292" i="86"/>
  <c r="I292" i="86"/>
  <c r="S290" i="86"/>
  <c r="T293" i="86" s="1"/>
  <c r="B294" i="86" s="1"/>
  <c r="I294" i="86" s="1"/>
  <c r="S289" i="86"/>
  <c r="B287" i="86"/>
  <c r="R281" i="86"/>
  <c r="B281" i="86" s="1"/>
  <c r="I281" i="86" s="1"/>
  <c r="R280" i="86"/>
  <c r="B280" i="86"/>
  <c r="I280" i="86" s="1"/>
  <c r="R279" i="86"/>
  <c r="B279" i="86"/>
  <c r="I279" i="86" s="1"/>
  <c r="P278" i="86"/>
  <c r="I278" i="86"/>
  <c r="B278" i="86"/>
  <c r="B271" i="86"/>
  <c r="B260" i="86" s="1"/>
  <c r="I260" i="86" s="1"/>
  <c r="R265" i="86"/>
  <c r="I265" i="86"/>
  <c r="B265" i="86"/>
  <c r="R264" i="86"/>
  <c r="B264" i="86" s="1"/>
  <c r="I264" i="86" s="1"/>
  <c r="R263" i="86"/>
  <c r="I263" i="86"/>
  <c r="B263" i="86"/>
  <c r="R262" i="86"/>
  <c r="B262" i="86" s="1"/>
  <c r="I262" i="86" s="1"/>
  <c r="R261" i="86"/>
  <c r="B261" i="86" s="1"/>
  <c r="I261" i="86" s="1"/>
  <c r="R248" i="86"/>
  <c r="B248" i="86" s="1"/>
  <c r="I236" i="86"/>
  <c r="R222" i="86"/>
  <c r="B222" i="86" s="1"/>
  <c r="I222" i="86" s="1"/>
  <c r="R221" i="86"/>
  <c r="B221" i="86"/>
  <c r="I221" i="86" s="1"/>
  <c r="R220" i="86"/>
  <c r="B220" i="86"/>
  <c r="I220" i="86" s="1"/>
  <c r="R219" i="86"/>
  <c r="B219" i="86" s="1"/>
  <c r="I219" i="86" s="1"/>
  <c r="B218" i="86"/>
  <c r="I218" i="86" s="1"/>
  <c r="B217" i="86"/>
  <c r="I217" i="86" s="1"/>
  <c r="B216" i="86"/>
  <c r="P216" i="86" s="1"/>
  <c r="I205" i="86"/>
  <c r="B205" i="86"/>
  <c r="I204" i="86"/>
  <c r="B204" i="86"/>
  <c r="I203" i="86"/>
  <c r="P201" i="86"/>
  <c r="I201" i="86"/>
  <c r="P200" i="86"/>
  <c r="I200" i="86"/>
  <c r="S199" i="86"/>
  <c r="T202" i="86" s="1"/>
  <c r="B202" i="86" s="1"/>
  <c r="I202" i="86" s="1"/>
  <c r="S198" i="86"/>
  <c r="B195" i="86"/>
  <c r="R189" i="86"/>
  <c r="B189" i="86" s="1"/>
  <c r="I189" i="86" s="1"/>
  <c r="R188" i="86"/>
  <c r="B188" i="86"/>
  <c r="I188" i="86" s="1"/>
  <c r="R187" i="86"/>
  <c r="B187" i="86" s="1"/>
  <c r="I187" i="86" s="1"/>
  <c r="P186" i="86"/>
  <c r="B186" i="86"/>
  <c r="I186" i="86" s="1"/>
  <c r="I185" i="86"/>
  <c r="I184" i="86"/>
  <c r="B179" i="86"/>
  <c r="R173" i="86"/>
  <c r="B173" i="86" s="1"/>
  <c r="I173" i="86" s="1"/>
  <c r="R172" i="86"/>
  <c r="I172" i="86"/>
  <c r="B172" i="86"/>
  <c r="R171" i="86"/>
  <c r="B171" i="86"/>
  <c r="I171" i="86" s="1"/>
  <c r="R170" i="86"/>
  <c r="B170" i="86" s="1"/>
  <c r="I170" i="86" s="1"/>
  <c r="R169" i="86"/>
  <c r="B169" i="86"/>
  <c r="I169" i="86" s="1"/>
  <c r="B168" i="86"/>
  <c r="I156" i="86"/>
  <c r="R155" i="86"/>
  <c r="I155" i="86"/>
  <c r="B155" i="86"/>
  <c r="R141" i="86"/>
  <c r="I141" i="86"/>
  <c r="B141" i="86"/>
  <c r="R140" i="86"/>
  <c r="B140" i="86"/>
  <c r="I140" i="86" s="1"/>
  <c r="I139" i="86"/>
  <c r="I138" i="86"/>
  <c r="B133" i="86"/>
  <c r="R127" i="86"/>
  <c r="B127" i="86" s="1"/>
  <c r="I127" i="86"/>
  <c r="R126" i="86"/>
  <c r="I126" i="86"/>
  <c r="B126" i="86"/>
  <c r="R125" i="86"/>
  <c r="B125" i="86"/>
  <c r="I125" i="86" s="1"/>
  <c r="I124" i="86"/>
  <c r="I123" i="86"/>
  <c r="R112" i="86"/>
  <c r="I112" i="86"/>
  <c r="B112" i="86"/>
  <c r="I111" i="86"/>
  <c r="B109" i="86"/>
  <c r="I109" i="86" s="1"/>
  <c r="I108" i="86"/>
  <c r="R97" i="86"/>
  <c r="I97" i="86"/>
  <c r="B97" i="86"/>
  <c r="I96" i="86"/>
  <c r="I95" i="86"/>
  <c r="I84" i="86"/>
  <c r="I83" i="86"/>
  <c r="I82" i="86"/>
  <c r="R71" i="86"/>
  <c r="I71" i="86"/>
  <c r="B71" i="86"/>
  <c r="I70" i="86"/>
  <c r="I69" i="86"/>
  <c r="I68" i="86"/>
  <c r="R57" i="86"/>
  <c r="B57" i="86" s="1"/>
  <c r="I57" i="86" s="1"/>
  <c r="R56" i="86"/>
  <c r="I56" i="86"/>
  <c r="B56" i="86"/>
  <c r="R55" i="86"/>
  <c r="I55" i="86"/>
  <c r="R44" i="86"/>
  <c r="B44" i="86"/>
  <c r="I44" i="86" s="1"/>
  <c r="I43" i="86"/>
  <c r="R42" i="86"/>
  <c r="I42" i="86"/>
  <c r="I41" i="86"/>
  <c r="R30" i="86"/>
  <c r="I30" i="86"/>
  <c r="B30" i="86"/>
  <c r="R29" i="86"/>
  <c r="B29" i="86" s="1"/>
  <c r="I29" i="86" s="1"/>
  <c r="R28" i="86"/>
  <c r="B28" i="86" s="1"/>
  <c r="I28" i="86" s="1"/>
  <c r="I27" i="86"/>
  <c r="R15" i="86"/>
  <c r="B15" i="86"/>
  <c r="I15" i="86" s="1"/>
  <c r="B12" i="86"/>
  <c r="J57" i="85"/>
  <c r="B57" i="85"/>
  <c r="B56" i="85"/>
  <c r="J56" i="85" s="1"/>
  <c r="S55" i="85"/>
  <c r="B55" i="85"/>
  <c r="J55" i="85" s="1"/>
  <c r="S54" i="85"/>
  <c r="B54" i="85" s="1"/>
  <c r="J54" i="85"/>
  <c r="S53" i="85"/>
  <c r="B53" i="85"/>
  <c r="J53" i="85" s="1"/>
  <c r="S52" i="85"/>
  <c r="B52" i="85"/>
  <c r="J52" i="85" s="1"/>
  <c r="J51" i="85"/>
  <c r="B51" i="85"/>
  <c r="S50" i="85"/>
  <c r="B50" i="85"/>
  <c r="J50" i="85" s="1"/>
  <c r="B49" i="85"/>
  <c r="J49" i="85" s="1"/>
  <c r="J48" i="85"/>
  <c r="S37" i="85"/>
  <c r="B37" i="85" s="1"/>
  <c r="J37" i="85" s="1"/>
  <c r="S36" i="85"/>
  <c r="B36" i="85" s="1"/>
  <c r="J36" i="85" s="1"/>
  <c r="S35" i="85"/>
  <c r="B34" i="85" s="1"/>
  <c r="J34" i="85" s="1"/>
  <c r="B33" i="85"/>
  <c r="J33" i="85" s="1"/>
  <c r="S32" i="85"/>
  <c r="B32" i="85" s="1"/>
  <c r="J32" i="85" s="1"/>
  <c r="J31" i="85"/>
  <c r="B31" i="85"/>
  <c r="J30" i="85"/>
  <c r="J29" i="85"/>
  <c r="B19" i="85"/>
  <c r="S18" i="85"/>
  <c r="B18" i="85" s="1"/>
  <c r="J18" i="85" s="1"/>
  <c r="J17" i="85"/>
  <c r="B17" i="85"/>
  <c r="S16" i="85"/>
  <c r="B16" i="85"/>
  <c r="J16" i="85" s="1"/>
  <c r="J15" i="85"/>
  <c r="B15" i="85"/>
  <c r="B14" i="85"/>
  <c r="J14" i="85" s="1"/>
  <c r="B12" i="85"/>
  <c r="J12" i="85" s="1"/>
  <c r="B7" i="85"/>
  <c r="I47" i="84"/>
  <c r="I46" i="84"/>
  <c r="I45" i="84"/>
  <c r="B45" i="84"/>
  <c r="B40" i="84" s="1"/>
  <c r="B34" i="84"/>
  <c r="I34" i="84" s="1"/>
  <c r="B33" i="84"/>
  <c r="I33" i="84" s="1"/>
  <c r="R32" i="84"/>
  <c r="B32" i="84"/>
  <c r="I32" i="84" s="1"/>
  <c r="R31" i="84"/>
  <c r="B31" i="84" s="1"/>
  <c r="I31" i="84" s="1"/>
  <c r="I30" i="84"/>
  <c r="B30" i="84"/>
  <c r="I29" i="84"/>
  <c r="P28" i="84"/>
  <c r="I28" i="84"/>
  <c r="B23" i="84"/>
  <c r="B13" i="84" s="1"/>
  <c r="I17" i="84"/>
  <c r="B17" i="84"/>
  <c r="I15" i="84"/>
  <c r="I14" i="84"/>
  <c r="P12" i="84"/>
  <c r="I12" i="84"/>
  <c r="S9" i="84"/>
  <c r="S10" i="84" s="1"/>
  <c r="T13" i="84" s="1"/>
  <c r="B16" i="84" s="1"/>
  <c r="I16" i="84" s="1"/>
  <c r="B7" i="84"/>
  <c r="I104" i="83"/>
  <c r="I103" i="83"/>
  <c r="I102" i="83"/>
  <c r="I101" i="83"/>
  <c r="I100" i="83"/>
  <c r="B95" i="83"/>
  <c r="I89" i="83"/>
  <c r="I88" i="83"/>
  <c r="I87" i="83"/>
  <c r="I86" i="83"/>
  <c r="B81" i="83"/>
  <c r="I75" i="83"/>
  <c r="B75" i="83"/>
  <c r="I74" i="83"/>
  <c r="I73" i="83"/>
  <c r="I62" i="83"/>
  <c r="I61" i="83"/>
  <c r="B61" i="83"/>
  <c r="R60" i="83"/>
  <c r="B60" i="83" s="1"/>
  <c r="I60" i="83" s="1"/>
  <c r="I59" i="83"/>
  <c r="R48" i="83"/>
  <c r="B48" i="83"/>
  <c r="I48" i="83" s="1"/>
  <c r="I47" i="83"/>
  <c r="B47" i="83"/>
  <c r="R46" i="83"/>
  <c r="B46" i="83" s="1"/>
  <c r="I46" i="83" s="1"/>
  <c r="R45" i="83"/>
  <c r="B45" i="83"/>
  <c r="I45" i="83" s="1"/>
  <c r="I44" i="83"/>
  <c r="B44" i="83"/>
  <c r="I43" i="83"/>
  <c r="B43" i="83"/>
  <c r="I42" i="83"/>
  <c r="O37" i="83"/>
  <c r="Q13" i="83" s="1"/>
  <c r="S13" i="83" s="1"/>
  <c r="B37" i="83"/>
  <c r="R31" i="83"/>
  <c r="B31" i="83" s="1"/>
  <c r="I31" i="83" s="1"/>
  <c r="I30" i="83"/>
  <c r="B30" i="83"/>
  <c r="R29" i="83"/>
  <c r="B29" i="83"/>
  <c r="I29" i="83" s="1"/>
  <c r="I28" i="83"/>
  <c r="B23" i="83"/>
  <c r="Q17" i="83"/>
  <c r="B17" i="83" s="1"/>
  <c r="I17" i="83" s="1"/>
  <c r="Q16" i="83"/>
  <c r="B16" i="83"/>
  <c r="I16" i="83" s="1"/>
  <c r="I15" i="83"/>
  <c r="B15" i="83"/>
  <c r="I14" i="83"/>
  <c r="I13" i="83"/>
  <c r="I12" i="83"/>
  <c r="B7" i="83"/>
  <c r="O31" i="82"/>
  <c r="R27" i="82"/>
  <c r="B27" i="82"/>
  <c r="S26" i="82"/>
  <c r="R26" i="82"/>
  <c r="S25" i="82"/>
  <c r="R25" i="82"/>
  <c r="S24" i="82"/>
  <c r="R24" i="82"/>
  <c r="S23" i="82"/>
  <c r="R23" i="82"/>
  <c r="B23" i="82"/>
  <c r="S22" i="82"/>
  <c r="R22" i="82"/>
  <c r="S21" i="82"/>
  <c r="R21" i="82"/>
  <c r="S20" i="82"/>
  <c r="R20" i="82"/>
  <c r="S19" i="82"/>
  <c r="R19" i="82"/>
  <c r="S18" i="82"/>
  <c r="R18" i="82"/>
  <c r="T17" i="82"/>
  <c r="S17" i="82"/>
  <c r="R17" i="82"/>
  <c r="B17" i="82"/>
  <c r="S16" i="82"/>
  <c r="R16" i="82"/>
  <c r="S15" i="82"/>
  <c r="R15" i="82"/>
  <c r="S14" i="82"/>
  <c r="R14" i="82"/>
  <c r="S13" i="82"/>
  <c r="R13" i="82"/>
  <c r="T70" i="81"/>
  <c r="B70" i="81" s="1"/>
  <c r="J70" i="81" s="1"/>
  <c r="T69" i="81"/>
  <c r="B69" i="81"/>
  <c r="J69" i="81" s="1"/>
  <c r="T68" i="81"/>
  <c r="B68" i="81" s="1"/>
  <c r="J68" i="81" s="1"/>
  <c r="T67" i="81"/>
  <c r="B67" i="81" s="1"/>
  <c r="J67" i="81" s="1"/>
  <c r="T66" i="81"/>
  <c r="B66" i="81"/>
  <c r="J66" i="81" s="1"/>
  <c r="T65" i="81"/>
  <c r="B65" i="81" s="1"/>
  <c r="J65" i="81" s="1"/>
  <c r="T64" i="81"/>
  <c r="B64" i="81"/>
  <c r="J64" i="81" s="1"/>
  <c r="T63" i="81"/>
  <c r="J63" i="81"/>
  <c r="B63" i="81"/>
  <c r="T62" i="81"/>
  <c r="J62" i="81"/>
  <c r="B62" i="81"/>
  <c r="T61" i="81"/>
  <c r="B61" i="81"/>
  <c r="J61" i="81" s="1"/>
  <c r="T60" i="81"/>
  <c r="B60" i="81" s="1"/>
  <c r="J60" i="81" s="1"/>
  <c r="T59" i="81"/>
  <c r="B59" i="81" s="1"/>
  <c r="J59" i="81" s="1"/>
  <c r="T58" i="81"/>
  <c r="B58" i="81"/>
  <c r="J58" i="81" s="1"/>
  <c r="T57" i="81"/>
  <c r="B57" i="81" s="1"/>
  <c r="J57" i="81" s="1"/>
  <c r="J56" i="81"/>
  <c r="J45" i="81"/>
  <c r="J44" i="81"/>
  <c r="J43" i="81"/>
  <c r="J42" i="81"/>
  <c r="J41" i="81"/>
  <c r="J40" i="81"/>
  <c r="J39" i="81"/>
  <c r="J38" i="81"/>
  <c r="J37" i="81"/>
  <c r="J36" i="81"/>
  <c r="B35" i="81"/>
  <c r="J35" i="81" s="1"/>
  <c r="J34" i="81"/>
  <c r="B34" i="81"/>
  <c r="J33" i="81"/>
  <c r="B33" i="81"/>
  <c r="J32" i="81"/>
  <c r="J31" i="81"/>
  <c r="J30" i="81"/>
  <c r="S19" i="81"/>
  <c r="B19" i="81" s="1"/>
  <c r="J19" i="81" s="1"/>
  <c r="S18" i="81"/>
  <c r="B18" i="81" s="1"/>
  <c r="J18" i="81" s="1"/>
  <c r="S17" i="81"/>
  <c r="B17" i="81"/>
  <c r="J17" i="81" s="1"/>
  <c r="S16" i="81"/>
  <c r="B16" i="81" s="1"/>
  <c r="J16" i="81" s="1"/>
  <c r="S15" i="81"/>
  <c r="B15" i="81"/>
  <c r="J15" i="81" s="1"/>
  <c r="S14" i="81"/>
  <c r="J14" i="81"/>
  <c r="B14" i="81"/>
  <c r="S13" i="81"/>
  <c r="B13" i="81" s="1"/>
  <c r="J13" i="81" s="1"/>
  <c r="J12" i="81"/>
  <c r="T50" i="80"/>
  <c r="B50" i="80"/>
  <c r="J50" i="80" s="1"/>
  <c r="T49" i="80"/>
  <c r="B49" i="80" s="1"/>
  <c r="J49" i="80" s="1"/>
  <c r="T48" i="80"/>
  <c r="B48" i="80"/>
  <c r="J48" i="80" s="1"/>
  <c r="T47" i="80"/>
  <c r="J47" i="80"/>
  <c r="B47" i="80"/>
  <c r="T46" i="80"/>
  <c r="J46" i="80"/>
  <c r="B46" i="80"/>
  <c r="T45" i="80"/>
  <c r="B45" i="80"/>
  <c r="J45" i="80" s="1"/>
  <c r="T44" i="80"/>
  <c r="B44" i="80" s="1"/>
  <c r="J44" i="80" s="1"/>
  <c r="T43" i="80"/>
  <c r="B43" i="80" s="1"/>
  <c r="J43" i="80" s="1"/>
  <c r="T42" i="80"/>
  <c r="B42" i="80"/>
  <c r="J42" i="80" s="1"/>
  <c r="T41" i="80"/>
  <c r="B41" i="80" s="1"/>
  <c r="J41" i="80" s="1"/>
  <c r="T40" i="80"/>
  <c r="B40" i="80"/>
  <c r="J40" i="80" s="1"/>
  <c r="T39" i="80"/>
  <c r="J39" i="80"/>
  <c r="B39" i="80"/>
  <c r="J38" i="80"/>
  <c r="J27" i="80"/>
  <c r="J26" i="80"/>
  <c r="J25" i="80"/>
  <c r="J24" i="80"/>
  <c r="J23" i="80"/>
  <c r="J22" i="80"/>
  <c r="J21" i="80"/>
  <c r="J20" i="80"/>
  <c r="J19" i="80"/>
  <c r="J18" i="80"/>
  <c r="B17" i="80"/>
  <c r="J17" i="80" s="1"/>
  <c r="B16" i="80"/>
  <c r="J16" i="80" s="1"/>
  <c r="J15" i="80"/>
  <c r="B15" i="80"/>
  <c r="J14" i="80"/>
  <c r="J13" i="80"/>
  <c r="J12" i="80"/>
  <c r="I17" i="78"/>
  <c r="I16" i="78"/>
  <c r="I15" i="78"/>
  <c r="O14" i="78"/>
  <c r="I14" i="78"/>
  <c r="I13" i="78"/>
  <c r="J109" i="77"/>
  <c r="B108" i="77"/>
  <c r="J108" i="77" s="1"/>
  <c r="J107" i="77"/>
  <c r="J106" i="77"/>
  <c r="J105" i="77"/>
  <c r="J104" i="77"/>
  <c r="J103" i="77"/>
  <c r="J102" i="77"/>
  <c r="J101" i="77"/>
  <c r="J100" i="77"/>
  <c r="J99" i="77"/>
  <c r="J98" i="77"/>
  <c r="J97" i="77"/>
  <c r="J96" i="77"/>
  <c r="J95" i="77"/>
  <c r="J94" i="77"/>
  <c r="J93" i="77"/>
  <c r="J92" i="77"/>
  <c r="B91" i="77"/>
  <c r="J91" i="77" s="1"/>
  <c r="B86" i="77"/>
  <c r="J80" i="77"/>
  <c r="J79" i="77"/>
  <c r="J78" i="77"/>
  <c r="J77" i="77"/>
  <c r="J76" i="77"/>
  <c r="J75" i="77"/>
  <c r="J74" i="77"/>
  <c r="B74" i="77"/>
  <c r="B69" i="77"/>
  <c r="J63" i="77"/>
  <c r="K62" i="77"/>
  <c r="B62" i="77"/>
  <c r="J62" i="77" s="1"/>
  <c r="J61" i="77"/>
  <c r="K60" i="77"/>
  <c r="J60" i="77"/>
  <c r="B60" i="77"/>
  <c r="J59" i="77"/>
  <c r="K58" i="77"/>
  <c r="B58" i="77"/>
  <c r="J58" i="77" s="1"/>
  <c r="J57" i="77"/>
  <c r="K56" i="77"/>
  <c r="J56" i="77"/>
  <c r="B56" i="77"/>
  <c r="J55" i="77"/>
  <c r="K54" i="77"/>
  <c r="B54" i="77"/>
  <c r="J54" i="77" s="1"/>
  <c r="J53" i="77"/>
  <c r="K52" i="77"/>
  <c r="J52" i="77"/>
  <c r="B52" i="77"/>
  <c r="J51" i="77"/>
  <c r="J50" i="77"/>
  <c r="J49" i="77"/>
  <c r="J48" i="77"/>
  <c r="J47" i="77"/>
  <c r="J46" i="77"/>
  <c r="J45" i="77"/>
  <c r="J44" i="77"/>
  <c r="J43" i="77"/>
  <c r="J42" i="77"/>
  <c r="J41" i="77"/>
  <c r="J40" i="77"/>
  <c r="J39" i="77"/>
  <c r="J38" i="77"/>
  <c r="B38" i="77"/>
  <c r="B33" i="77"/>
  <c r="J27" i="77"/>
  <c r="J26" i="77"/>
  <c r="J25" i="77"/>
  <c r="J24" i="77"/>
  <c r="I45" i="76"/>
  <c r="I44" i="76"/>
  <c r="I43" i="76"/>
  <c r="F43" i="76"/>
  <c r="C43" i="76"/>
  <c r="B43" i="76"/>
  <c r="A43" i="76"/>
  <c r="I32" i="76"/>
  <c r="B32" i="76"/>
  <c r="M32" i="76" s="1"/>
  <c r="M31" i="76"/>
  <c r="L31" i="76"/>
  <c r="I31" i="76"/>
  <c r="M30" i="76"/>
  <c r="L30" i="76"/>
  <c r="I30" i="76"/>
  <c r="M29" i="76"/>
  <c r="L29" i="76"/>
  <c r="B29" i="76"/>
  <c r="I29" i="76" s="1"/>
  <c r="M28" i="76"/>
  <c r="L28" i="76"/>
  <c r="I28" i="76"/>
  <c r="M27" i="76"/>
  <c r="L27" i="76"/>
  <c r="I27" i="76"/>
  <c r="B27" i="76"/>
  <c r="M26" i="76"/>
  <c r="L26" i="76"/>
  <c r="I26" i="76"/>
  <c r="F25" i="76"/>
  <c r="C25" i="76"/>
  <c r="B25" i="76"/>
  <c r="I25" i="76" s="1"/>
  <c r="A25" i="76"/>
  <c r="I14" i="76"/>
  <c r="B14" i="76"/>
  <c r="I13" i="76"/>
  <c r="B13" i="76"/>
  <c r="F12" i="76"/>
  <c r="C12" i="76"/>
  <c r="B12" i="76"/>
  <c r="I12" i="76" s="1"/>
  <c r="A12" i="76"/>
  <c r="O1" i="76"/>
  <c r="J239" i="75"/>
  <c r="B239" i="75"/>
  <c r="B238" i="75"/>
  <c r="J238" i="75" s="1"/>
  <c r="J237" i="75"/>
  <c r="B237" i="75"/>
  <c r="D236" i="75"/>
  <c r="A236" i="75"/>
  <c r="J225" i="75"/>
  <c r="J224" i="75"/>
  <c r="J223" i="75"/>
  <c r="J222" i="75"/>
  <c r="D221" i="75"/>
  <c r="A221" i="75"/>
  <c r="J210" i="75"/>
  <c r="J209" i="75"/>
  <c r="J208" i="75"/>
  <c r="J207" i="75"/>
  <c r="D206" i="75"/>
  <c r="A206" i="75"/>
  <c r="J195" i="75"/>
  <c r="B195" i="75"/>
  <c r="D194" i="75"/>
  <c r="A194" i="75"/>
  <c r="J183" i="75"/>
  <c r="B183" i="75"/>
  <c r="B182" i="75"/>
  <c r="J182" i="75" s="1"/>
  <c r="J181" i="75"/>
  <c r="B181" i="75"/>
  <c r="D180" i="75"/>
  <c r="A180" i="75"/>
  <c r="D167" i="75"/>
  <c r="A167" i="75"/>
  <c r="B156" i="75"/>
  <c r="A153" i="75"/>
  <c r="D151" i="75"/>
  <c r="A151" i="75"/>
  <c r="D137" i="75"/>
  <c r="A137" i="75"/>
  <c r="B126" i="75"/>
  <c r="D122" i="75"/>
  <c r="A122" i="75"/>
  <c r="B111" i="75"/>
  <c r="D108" i="75"/>
  <c r="A108" i="75"/>
  <c r="A152" i="75" s="1"/>
  <c r="B97" i="75"/>
  <c r="B96" i="75"/>
  <c r="E94" i="75"/>
  <c r="D91" i="75"/>
  <c r="A91" i="75"/>
  <c r="B80" i="75"/>
  <c r="J80" i="75" s="1"/>
  <c r="J79" i="75"/>
  <c r="B79" i="75"/>
  <c r="A78" i="75"/>
  <c r="A169" i="75" s="1"/>
  <c r="M67" i="75"/>
  <c r="J67" i="75"/>
  <c r="N67" i="75" s="1"/>
  <c r="J66" i="75"/>
  <c r="N66" i="75" s="1"/>
  <c r="J65" i="75"/>
  <c r="N65" i="75" s="1"/>
  <c r="F62" i="75"/>
  <c r="D62" i="75"/>
  <c r="A62" i="75"/>
  <c r="B51" i="75"/>
  <c r="J51" i="75" s="1"/>
  <c r="B50" i="75"/>
  <c r="J50" i="75" s="1"/>
  <c r="B49" i="75"/>
  <c r="J49" i="75" s="1"/>
  <c r="J48" i="75"/>
  <c r="B48" i="75"/>
  <c r="B47" i="75"/>
  <c r="J47" i="75" s="1"/>
  <c r="B46" i="75"/>
  <c r="J46" i="75" s="1"/>
  <c r="B45" i="75"/>
  <c r="J45" i="75" s="1"/>
  <c r="A45" i="75"/>
  <c r="J44" i="75"/>
  <c r="B44" i="75"/>
  <c r="D43" i="75"/>
  <c r="A43" i="75"/>
  <c r="B31" i="75"/>
  <c r="A30" i="75"/>
  <c r="F29" i="75"/>
  <c r="D29" i="75"/>
  <c r="A29" i="75"/>
  <c r="N18" i="75"/>
  <c r="M18" i="75"/>
  <c r="J18" i="75"/>
  <c r="N17" i="75"/>
  <c r="J17" i="75"/>
  <c r="M17" i="75" s="1"/>
  <c r="F12" i="75"/>
  <c r="D12" i="75"/>
  <c r="A12" i="75"/>
  <c r="A121" i="74"/>
  <c r="B110" i="74"/>
  <c r="B109" i="74"/>
  <c r="B108" i="74"/>
  <c r="M107" i="74"/>
  <c r="J107" i="74"/>
  <c r="N107" i="74" s="1"/>
  <c r="J106" i="74"/>
  <c r="N106" i="74" s="1"/>
  <c r="B106" i="74"/>
  <c r="J105" i="74"/>
  <c r="B105" i="74"/>
  <c r="A104" i="74"/>
  <c r="A124" i="74" s="1"/>
  <c r="M93" i="74"/>
  <c r="J93" i="74"/>
  <c r="N93" i="74" s="1"/>
  <c r="J92" i="74"/>
  <c r="N92" i="74" s="1"/>
  <c r="A91" i="74"/>
  <c r="A123" i="74" s="1"/>
  <c r="A77" i="74"/>
  <c r="N76" i="74"/>
  <c r="M76" i="74"/>
  <c r="J76" i="74"/>
  <c r="N75" i="74"/>
  <c r="M75" i="74"/>
  <c r="J75" i="74"/>
  <c r="M74" i="74"/>
  <c r="J74" i="74"/>
  <c r="N74" i="74" s="1"/>
  <c r="J73" i="74"/>
  <c r="N73" i="74" s="1"/>
  <c r="N72" i="74"/>
  <c r="M72" i="74"/>
  <c r="J72" i="74"/>
  <c r="A71" i="74"/>
  <c r="A122" i="74" s="1"/>
  <c r="B58" i="74"/>
  <c r="B59" i="74" s="1"/>
  <c r="A57" i="74"/>
  <c r="J44" i="74"/>
  <c r="B44" i="74"/>
  <c r="B45" i="74" s="1"/>
  <c r="J45" i="74" s="1"/>
  <c r="J43" i="74"/>
  <c r="B43" i="74"/>
  <c r="J42" i="74"/>
  <c r="N42" i="74" s="1"/>
  <c r="B42" i="74"/>
  <c r="J41" i="74"/>
  <c r="N41" i="74" s="1"/>
  <c r="B41" i="74"/>
  <c r="J40" i="74"/>
  <c r="A39" i="74"/>
  <c r="A79" i="74" s="1"/>
  <c r="B28" i="74"/>
  <c r="B27" i="74"/>
  <c r="J27" i="74" s="1"/>
  <c r="J26" i="74"/>
  <c r="J25" i="74"/>
  <c r="A24" i="74"/>
  <c r="A78" i="74" s="1"/>
  <c r="B13" i="74"/>
  <c r="J12" i="74"/>
  <c r="A12" i="74"/>
  <c r="A246" i="73"/>
  <c r="B238" i="73"/>
  <c r="J235" i="73"/>
  <c r="B226" i="73"/>
  <c r="J223" i="73"/>
  <c r="J222" i="73"/>
  <c r="J221" i="73"/>
  <c r="B212" i="73"/>
  <c r="B209" i="73"/>
  <c r="J209" i="73" s="1"/>
  <c r="B200" i="73"/>
  <c r="B186" i="73"/>
  <c r="B183" i="73"/>
  <c r="J183" i="73" s="1"/>
  <c r="B182" i="73"/>
  <c r="J182" i="73" s="1"/>
  <c r="B181" i="73"/>
  <c r="J181" i="73" s="1"/>
  <c r="B180" i="73"/>
  <c r="J180" i="73" s="1"/>
  <c r="B171" i="73"/>
  <c r="B168" i="73"/>
  <c r="B167" i="73"/>
  <c r="B166" i="73"/>
  <c r="B165" i="73"/>
  <c r="B151" i="73"/>
  <c r="B148" i="73"/>
  <c r="J148" i="73" s="1"/>
  <c r="B147" i="73"/>
  <c r="J147" i="73" s="1"/>
  <c r="B146" i="73"/>
  <c r="J146" i="73" s="1"/>
  <c r="B145" i="73"/>
  <c r="J145" i="73" s="1"/>
  <c r="B144" i="73"/>
  <c r="J144" i="73" s="1"/>
  <c r="B135" i="73"/>
  <c r="J132" i="73"/>
  <c r="B132" i="73"/>
  <c r="J131" i="73"/>
  <c r="B131" i="73"/>
  <c r="B122" i="73"/>
  <c r="B119" i="73"/>
  <c r="J119" i="73" s="1"/>
  <c r="J118" i="73"/>
  <c r="E118" i="73"/>
  <c r="D118" i="73"/>
  <c r="B118" i="73"/>
  <c r="B109" i="73"/>
  <c r="B106" i="73"/>
  <c r="J106" i="73" s="1"/>
  <c r="B105" i="73"/>
  <c r="J105" i="73" s="1"/>
  <c r="B104" i="73"/>
  <c r="J104" i="73" s="1"/>
  <c r="B103" i="73"/>
  <c r="J103" i="73" s="1"/>
  <c r="B102" i="73"/>
  <c r="J102" i="73" s="1"/>
  <c r="A101" i="73"/>
  <c r="A118" i="73" s="1"/>
  <c r="B93" i="73"/>
  <c r="B90" i="73"/>
  <c r="J89" i="73"/>
  <c r="B89" i="73"/>
  <c r="J88" i="73"/>
  <c r="B88" i="73"/>
  <c r="J87" i="73"/>
  <c r="G87" i="73"/>
  <c r="F87" i="73"/>
  <c r="E87" i="73"/>
  <c r="D87" i="73"/>
  <c r="B87" i="73"/>
  <c r="A87" i="73"/>
  <c r="B86" i="73"/>
  <c r="J86" i="73" s="1"/>
  <c r="B85" i="73"/>
  <c r="J85" i="73" s="1"/>
  <c r="B76" i="73"/>
  <c r="N73" i="73"/>
  <c r="M73" i="73"/>
  <c r="L73" i="73"/>
  <c r="K73" i="73"/>
  <c r="J73" i="73"/>
  <c r="I73" i="73"/>
  <c r="G73" i="73"/>
  <c r="F73" i="73"/>
  <c r="E73" i="73"/>
  <c r="D73" i="73"/>
  <c r="B73" i="73"/>
  <c r="A72" i="73"/>
  <c r="B64" i="73"/>
  <c r="J61" i="73"/>
  <c r="B61" i="73"/>
  <c r="J60" i="73"/>
  <c r="B60" i="73"/>
  <c r="J59" i="73"/>
  <c r="B59" i="73"/>
  <c r="B58" i="73"/>
  <c r="J58" i="73" s="1"/>
  <c r="J57" i="73"/>
  <c r="B57" i="73"/>
  <c r="J56" i="73"/>
  <c r="B56" i="73"/>
  <c r="J55" i="73"/>
  <c r="B55" i="73"/>
  <c r="A54" i="73"/>
  <c r="A73" i="73" s="1"/>
  <c r="B46" i="73"/>
  <c r="J43" i="73"/>
  <c r="B43" i="73"/>
  <c r="B34" i="73"/>
  <c r="J31" i="73"/>
  <c r="B28" i="73"/>
  <c r="J27" i="73"/>
  <c r="J26" i="73"/>
  <c r="J25" i="73"/>
  <c r="J24" i="73"/>
  <c r="J23" i="73"/>
  <c r="J22" i="73"/>
  <c r="J21" i="73"/>
  <c r="B20" i="73"/>
  <c r="J20" i="73" s="1"/>
  <c r="B19" i="73"/>
  <c r="J19" i="73" s="1"/>
  <c r="J18" i="73"/>
  <c r="B18" i="73"/>
  <c r="B17" i="73"/>
  <c r="J17" i="73" s="1"/>
  <c r="J16" i="73"/>
  <c r="J15" i="73"/>
  <c r="J14" i="73"/>
  <c r="J13" i="73"/>
  <c r="A12" i="73"/>
  <c r="A43" i="73" s="1"/>
  <c r="B4" i="73"/>
  <c r="B33" i="72"/>
  <c r="J129" i="71"/>
  <c r="J128" i="71"/>
  <c r="J127" i="71"/>
  <c r="J126" i="71"/>
  <c r="J125" i="71"/>
  <c r="J124" i="71"/>
  <c r="B123" i="71"/>
  <c r="J123" i="71" s="1"/>
  <c r="U122" i="71"/>
  <c r="W122" i="71" s="1"/>
  <c r="B122" i="71" s="1"/>
  <c r="J122" i="71" s="1"/>
  <c r="W121" i="71"/>
  <c r="B121" i="71" s="1"/>
  <c r="J121" i="71" s="1"/>
  <c r="U121" i="71"/>
  <c r="W120" i="71"/>
  <c r="B120" i="71" s="1"/>
  <c r="J120" i="71" s="1"/>
  <c r="U120" i="71"/>
  <c r="U119" i="71"/>
  <c r="B119" i="71" s="1"/>
  <c r="J119" i="71" s="1"/>
  <c r="U118" i="71"/>
  <c r="W118" i="71" s="1"/>
  <c r="B118" i="71" s="1"/>
  <c r="J118" i="71" s="1"/>
  <c r="B117" i="71"/>
  <c r="J117" i="71" s="1"/>
  <c r="B115" i="71"/>
  <c r="J115" i="71" s="1"/>
  <c r="B113" i="71"/>
  <c r="J113" i="71" s="1"/>
  <c r="B112" i="71"/>
  <c r="B116" i="71" s="1"/>
  <c r="J116" i="71" s="1"/>
  <c r="B111" i="71"/>
  <c r="J111" i="71" s="1"/>
  <c r="A110" i="71"/>
  <c r="J99" i="71"/>
  <c r="J98" i="71"/>
  <c r="J97" i="71"/>
  <c r="J96" i="71"/>
  <c r="J95" i="71"/>
  <c r="J94" i="71"/>
  <c r="J93" i="71"/>
  <c r="B93" i="71"/>
  <c r="U92" i="71"/>
  <c r="W92" i="71" s="1"/>
  <c r="B92" i="71" s="1"/>
  <c r="J92" i="71" s="1"/>
  <c r="W91" i="71"/>
  <c r="B91" i="71" s="1"/>
  <c r="J91" i="71" s="1"/>
  <c r="U91" i="71"/>
  <c r="U90" i="71"/>
  <c r="W90" i="71" s="1"/>
  <c r="B90" i="71" s="1"/>
  <c r="J90" i="71" s="1"/>
  <c r="U89" i="71"/>
  <c r="B89" i="71" s="1"/>
  <c r="J89" i="71" s="1"/>
  <c r="U88" i="71"/>
  <c r="W88" i="71" s="1"/>
  <c r="B88" i="71" s="1"/>
  <c r="J88" i="71" s="1"/>
  <c r="B87" i="71"/>
  <c r="J87" i="71" s="1"/>
  <c r="B82" i="71"/>
  <c r="J82" i="71" s="1"/>
  <c r="B80" i="71"/>
  <c r="B86" i="71" s="1"/>
  <c r="J86" i="71" s="1"/>
  <c r="B79" i="71"/>
  <c r="B83" i="71" s="1"/>
  <c r="J83" i="71" s="1"/>
  <c r="B78" i="71"/>
  <c r="J78" i="71" s="1"/>
  <c r="A77" i="71"/>
  <c r="J66" i="71"/>
  <c r="J65" i="71"/>
  <c r="J64" i="71"/>
  <c r="J63" i="71"/>
  <c r="J62" i="71"/>
  <c r="J61" i="71"/>
  <c r="B60" i="71"/>
  <c r="J60" i="71" s="1"/>
  <c r="U59" i="71"/>
  <c r="W59" i="71" s="1"/>
  <c r="B59" i="71" s="1"/>
  <c r="J59" i="71" s="1"/>
  <c r="W58" i="71"/>
  <c r="B58" i="71" s="1"/>
  <c r="J58" i="71" s="1"/>
  <c r="U58" i="71"/>
  <c r="U57" i="71"/>
  <c r="W57" i="71" s="1"/>
  <c r="B57" i="71" s="1"/>
  <c r="J57" i="71" s="1"/>
  <c r="U56" i="71"/>
  <c r="B56" i="71" s="1"/>
  <c r="J56" i="71" s="1"/>
  <c r="U55" i="71"/>
  <c r="W55" i="71" s="1"/>
  <c r="B55" i="71" s="1"/>
  <c r="J55" i="71" s="1"/>
  <c r="B54" i="71"/>
  <c r="J54" i="71" s="1"/>
  <c r="B53" i="71"/>
  <c r="J53" i="71" s="1"/>
  <c r="B51" i="71"/>
  <c r="J51" i="71" s="1"/>
  <c r="B48" i="71"/>
  <c r="J48" i="71" s="1"/>
  <c r="B47" i="71"/>
  <c r="B50" i="71" s="1"/>
  <c r="J50" i="71" s="1"/>
  <c r="A46" i="71"/>
  <c r="J35" i="71"/>
  <c r="J34" i="71"/>
  <c r="J33" i="71"/>
  <c r="J32" i="71"/>
  <c r="J31" i="71"/>
  <c r="J30" i="71"/>
  <c r="B29" i="71"/>
  <c r="J29" i="71" s="1"/>
  <c r="U28" i="71"/>
  <c r="W28" i="71" s="1"/>
  <c r="B28" i="71" s="1"/>
  <c r="J28" i="71" s="1"/>
  <c r="U27" i="71"/>
  <c r="W27" i="71" s="1"/>
  <c r="B27" i="71" s="1"/>
  <c r="J27" i="71" s="1"/>
  <c r="W26" i="71"/>
  <c r="B26" i="71" s="1"/>
  <c r="J26" i="71" s="1"/>
  <c r="U26" i="71"/>
  <c r="U25" i="71"/>
  <c r="B25" i="71"/>
  <c r="J25" i="71" s="1"/>
  <c r="U24" i="71"/>
  <c r="W24" i="71" s="1"/>
  <c r="B24" i="71" s="1"/>
  <c r="J24" i="71" s="1"/>
  <c r="B23" i="71"/>
  <c r="J23" i="71" s="1"/>
  <c r="J22" i="71"/>
  <c r="J21" i="71"/>
  <c r="A21" i="71"/>
  <c r="J20" i="71"/>
  <c r="A19" i="71"/>
  <c r="B18" i="71"/>
  <c r="J18" i="71" s="1"/>
  <c r="A18" i="71"/>
  <c r="J17" i="71"/>
  <c r="A17" i="71"/>
  <c r="J16" i="71"/>
  <c r="A16" i="71"/>
  <c r="J15" i="71"/>
  <c r="J14" i="71"/>
  <c r="J13" i="71"/>
  <c r="A12" i="71"/>
  <c r="B17" i="70"/>
  <c r="B16" i="70"/>
  <c r="B15" i="70"/>
  <c r="A12" i="70"/>
  <c r="A95" i="69"/>
  <c r="A94" i="69"/>
  <c r="A93" i="69"/>
  <c r="A18" i="63" s="1"/>
  <c r="B82" i="69"/>
  <c r="A79" i="69"/>
  <c r="A97" i="69" s="1"/>
  <c r="A67" i="69"/>
  <c r="A98" i="69" s="1"/>
  <c r="A55" i="69"/>
  <c r="A96" i="69" s="1"/>
  <c r="B43" i="69"/>
  <c r="B44" i="69" s="1"/>
  <c r="A41" i="69"/>
  <c r="A99" i="69" s="1"/>
  <c r="B29" i="69"/>
  <c r="B30" i="69" s="1"/>
  <c r="B28" i="69"/>
  <c r="A27" i="69"/>
  <c r="B16" i="69"/>
  <c r="B15" i="69"/>
  <c r="A12" i="69"/>
  <c r="N57" i="68"/>
  <c r="M57" i="68"/>
  <c r="L57" i="68"/>
  <c r="K57" i="68"/>
  <c r="J57" i="68"/>
  <c r="I57" i="68"/>
  <c r="H57" i="68"/>
  <c r="D57" i="68"/>
  <c r="N56" i="68"/>
  <c r="M56" i="68"/>
  <c r="L56" i="68"/>
  <c r="K56" i="68"/>
  <c r="J56" i="68"/>
  <c r="I56" i="68"/>
  <c r="H56" i="68"/>
  <c r="G56" i="68"/>
  <c r="E56" i="68"/>
  <c r="D56" i="68"/>
  <c r="N55" i="68"/>
  <c r="M55" i="68"/>
  <c r="L55" i="68"/>
  <c r="K55" i="68"/>
  <c r="J55" i="68"/>
  <c r="I55" i="68"/>
  <c r="H55" i="68"/>
  <c r="G55" i="68"/>
  <c r="E55" i="68"/>
  <c r="D55" i="68"/>
  <c r="A54" i="68"/>
  <c r="B42" i="68"/>
  <c r="B43" i="68" s="1"/>
  <c r="A39" i="68"/>
  <c r="A57" i="68" s="1"/>
  <c r="A26" i="68"/>
  <c r="A56" i="68" s="1"/>
  <c r="B15" i="68"/>
  <c r="B14" i="68"/>
  <c r="A12" i="68"/>
  <c r="A55" i="68" s="1"/>
  <c r="N246" i="67"/>
  <c r="M246" i="67"/>
  <c r="L246" i="67"/>
  <c r="K246" i="67"/>
  <c r="J246" i="67"/>
  <c r="I246" i="67"/>
  <c r="G246" i="67"/>
  <c r="E246" i="67"/>
  <c r="D246" i="67"/>
  <c r="B246" i="67"/>
  <c r="A246" i="67"/>
  <c r="N245" i="67"/>
  <c r="M245" i="67"/>
  <c r="L245" i="67"/>
  <c r="K245" i="67"/>
  <c r="J245" i="67"/>
  <c r="I245" i="67"/>
  <c r="G245" i="67"/>
  <c r="E245" i="67"/>
  <c r="D245" i="67"/>
  <c r="B245" i="67"/>
  <c r="N244" i="67"/>
  <c r="M244" i="67"/>
  <c r="L244" i="67"/>
  <c r="K244" i="67"/>
  <c r="J244" i="67"/>
  <c r="I244" i="67"/>
  <c r="G244" i="67"/>
  <c r="E244" i="67"/>
  <c r="D244" i="67"/>
  <c r="B244" i="67"/>
  <c r="A244" i="67"/>
  <c r="N243" i="67"/>
  <c r="N17" i="63" s="1"/>
  <c r="M243" i="67"/>
  <c r="M17" i="63" s="1"/>
  <c r="L243" i="67"/>
  <c r="L17" i="63" s="1"/>
  <c r="K243" i="67"/>
  <c r="J243" i="67"/>
  <c r="I243" i="67"/>
  <c r="G243" i="67"/>
  <c r="E243" i="67"/>
  <c r="D243" i="67"/>
  <c r="B243" i="67"/>
  <c r="A242" i="67"/>
  <c r="A224" i="67"/>
  <c r="A213" i="67"/>
  <c r="A212" i="67"/>
  <c r="A211" i="67"/>
  <c r="A210" i="67"/>
  <c r="A209" i="67"/>
  <c r="A208" i="67"/>
  <c r="A243" i="67" s="1"/>
  <c r="A197" i="67"/>
  <c r="A196" i="67"/>
  <c r="A195" i="67"/>
  <c r="A194" i="67"/>
  <c r="A183" i="67"/>
  <c r="A182" i="67"/>
  <c r="A181" i="67"/>
  <c r="A180" i="67"/>
  <c r="A179" i="67"/>
  <c r="A245" i="67" s="1"/>
  <c r="A160" i="67"/>
  <c r="A159" i="67"/>
  <c r="B148" i="67"/>
  <c r="S147" i="67"/>
  <c r="U147" i="67" s="1"/>
  <c r="B147" i="67" s="1"/>
  <c r="U146" i="67"/>
  <c r="B146" i="67" s="1"/>
  <c r="S146" i="67"/>
  <c r="A145" i="67"/>
  <c r="B133" i="67"/>
  <c r="B134" i="67" s="1"/>
  <c r="A131" i="67"/>
  <c r="B119" i="67"/>
  <c r="B118" i="67"/>
  <c r="A116" i="67"/>
  <c r="B104" i="67"/>
  <c r="B105" i="67" s="1"/>
  <c r="A101" i="67"/>
  <c r="B89" i="67"/>
  <c r="B88" i="67"/>
  <c r="A86" i="67"/>
  <c r="B75" i="67"/>
  <c r="B74" i="67"/>
  <c r="A71" i="67"/>
  <c r="B60" i="67"/>
  <c r="B59" i="67"/>
  <c r="J59" i="67" s="1"/>
  <c r="S58" i="67"/>
  <c r="U58" i="67" s="1"/>
  <c r="B58" i="67" s="1"/>
  <c r="S57" i="67"/>
  <c r="U57" i="67" s="1"/>
  <c r="B57" i="67" s="1"/>
  <c r="A56" i="67"/>
  <c r="B44" i="67"/>
  <c r="B45" i="67" s="1"/>
  <c r="A42" i="67"/>
  <c r="B30" i="67"/>
  <c r="B29" i="67" s="1"/>
  <c r="A27" i="67"/>
  <c r="B15" i="67"/>
  <c r="B16" i="67" s="1"/>
  <c r="A12" i="67"/>
  <c r="A128" i="66"/>
  <c r="A127" i="66"/>
  <c r="A126" i="66"/>
  <c r="A125" i="66"/>
  <c r="B114" i="66"/>
  <c r="A113" i="66"/>
  <c r="B102" i="66"/>
  <c r="B101" i="66"/>
  <c r="A99" i="66"/>
  <c r="B88" i="66"/>
  <c r="A85" i="66"/>
  <c r="B74" i="66"/>
  <c r="B72" i="66"/>
  <c r="A71" i="66"/>
  <c r="B60" i="66"/>
  <c r="A57" i="66"/>
  <c r="B46" i="66"/>
  <c r="A42" i="66"/>
  <c r="B31" i="66"/>
  <c r="B30" i="66"/>
  <c r="B29" i="66" s="1"/>
  <c r="A27" i="66"/>
  <c r="B15" i="66"/>
  <c r="J15" i="66" s="1"/>
  <c r="S14" i="66"/>
  <c r="U14" i="66" s="1"/>
  <c r="B14" i="66" s="1"/>
  <c r="U13" i="66"/>
  <c r="S13" i="66"/>
  <c r="B13" i="66"/>
  <c r="A12" i="66"/>
  <c r="N85" i="65"/>
  <c r="M85" i="65"/>
  <c r="L85" i="65"/>
  <c r="K85" i="65"/>
  <c r="J85" i="65"/>
  <c r="I85" i="65"/>
  <c r="G85" i="65"/>
  <c r="F85" i="65"/>
  <c r="E85" i="65"/>
  <c r="D85" i="65"/>
  <c r="B85" i="65"/>
  <c r="A85" i="65"/>
  <c r="A84" i="65"/>
  <c r="A73" i="65"/>
  <c r="A72" i="65"/>
  <c r="A71" i="65"/>
  <c r="A70" i="65"/>
  <c r="A69" i="65"/>
  <c r="A14" i="63" s="1"/>
  <c r="B57" i="65"/>
  <c r="B58" i="65" s="1"/>
  <c r="A55" i="65"/>
  <c r="B43" i="65"/>
  <c r="B42" i="65"/>
  <c r="A41" i="65"/>
  <c r="B29" i="65"/>
  <c r="B28" i="65"/>
  <c r="B27" i="65"/>
  <c r="A26" i="65"/>
  <c r="B14" i="65"/>
  <c r="B13" i="65"/>
  <c r="B72" i="64"/>
  <c r="A71" i="64"/>
  <c r="A70" i="64"/>
  <c r="A69" i="64"/>
  <c r="A68" i="64"/>
  <c r="B56" i="64"/>
  <c r="B44" i="64"/>
  <c r="B43" i="64" s="1"/>
  <c r="B29" i="64"/>
  <c r="B30" i="64" s="1"/>
  <c r="B27" i="64"/>
  <c r="B13" i="64"/>
  <c r="N18" i="63"/>
  <c r="M18" i="63"/>
  <c r="L18" i="63"/>
  <c r="K18" i="63"/>
  <c r="J18" i="63"/>
  <c r="I18" i="63"/>
  <c r="G18" i="63"/>
  <c r="F18" i="63"/>
  <c r="E18" i="63"/>
  <c r="D18" i="63"/>
  <c r="K17" i="63"/>
  <c r="J17" i="63"/>
  <c r="I17" i="63"/>
  <c r="A17" i="63"/>
  <c r="N16" i="63"/>
  <c r="M16" i="63"/>
  <c r="L16" i="63"/>
  <c r="K16" i="63"/>
  <c r="J16" i="63"/>
  <c r="I16" i="63"/>
  <c r="G16" i="63"/>
  <c r="F16" i="63"/>
  <c r="E16" i="63"/>
  <c r="D16" i="63"/>
  <c r="B16" i="63"/>
  <c r="A16" i="63"/>
  <c r="N15" i="63"/>
  <c r="M15" i="63"/>
  <c r="L15" i="63"/>
  <c r="K15" i="63"/>
  <c r="J15" i="63"/>
  <c r="I15" i="63"/>
  <c r="G15" i="63"/>
  <c r="F15" i="63"/>
  <c r="E15" i="63"/>
  <c r="D15" i="63"/>
  <c r="B15" i="63"/>
  <c r="A15" i="63"/>
  <c r="N14" i="63"/>
  <c r="M14" i="63"/>
  <c r="L14" i="63"/>
  <c r="K14" i="63"/>
  <c r="J14" i="63"/>
  <c r="I14" i="63"/>
  <c r="G14" i="63"/>
  <c r="F14" i="63"/>
  <c r="E14" i="63"/>
  <c r="D14" i="63"/>
  <c r="N13" i="63"/>
  <c r="M13" i="63"/>
  <c r="L13" i="63"/>
  <c r="K13" i="63"/>
  <c r="J13" i="63"/>
  <c r="I13" i="63"/>
  <c r="G13" i="63"/>
  <c r="F13" i="63"/>
  <c r="E13" i="63"/>
  <c r="D13" i="63"/>
  <c r="B13" i="63"/>
  <c r="A13" i="63"/>
  <c r="A12" i="63"/>
  <c r="I18" i="30"/>
  <c r="B19" i="71" l="1"/>
  <c r="J19" i="71" s="1"/>
  <c r="N45" i="74"/>
  <c r="M45" i="74"/>
  <c r="P13" i="84"/>
  <c r="I13" i="84"/>
  <c r="B7" i="90"/>
  <c r="B24" i="87" s="1"/>
  <c r="J12" i="90"/>
  <c r="J59" i="74"/>
  <c r="B60" i="74"/>
  <c r="J79" i="71"/>
  <c r="J112" i="71"/>
  <c r="B46" i="74"/>
  <c r="J46" i="74" s="1"/>
  <c r="B324" i="96"/>
  <c r="I329" i="96"/>
  <c r="M42" i="74"/>
  <c r="M106" i="74"/>
  <c r="L32" i="76"/>
  <c r="J30" i="90"/>
  <c r="J47" i="71"/>
  <c r="B52" i="71"/>
  <c r="J52" i="71" s="1"/>
  <c r="B81" i="71"/>
  <c r="J81" i="71" s="1"/>
  <c r="B85" i="71"/>
  <c r="J85" i="71" s="1"/>
  <c r="B114" i="71"/>
  <c r="J114" i="71" s="1"/>
  <c r="M65" i="75"/>
  <c r="R110" i="86"/>
  <c r="U110" i="86" s="1"/>
  <c r="B110" i="86" s="1"/>
  <c r="I110" i="86" s="1"/>
  <c r="B259" i="86"/>
  <c r="B277" i="86"/>
  <c r="I277" i="86" s="1"/>
  <c r="N32" i="87"/>
  <c r="P235" i="96"/>
  <c r="B235" i="96"/>
  <c r="I235" i="96" s="1"/>
  <c r="B242" i="106"/>
  <c r="B235" i="106" s="1"/>
  <c r="I235" i="106" s="1"/>
  <c r="I247" i="106"/>
  <c r="I45" i="104"/>
  <c r="B40" i="104"/>
  <c r="J80" i="71"/>
  <c r="B35" i="85"/>
  <c r="J35" i="85" s="1"/>
  <c r="B167" i="86"/>
  <c r="I167" i="86" s="1"/>
  <c r="B162" i="86"/>
  <c r="B154" i="86" s="1"/>
  <c r="I216" i="86"/>
  <c r="I329" i="101"/>
  <c r="B324" i="101"/>
  <c r="I168" i="86"/>
  <c r="B84" i="71"/>
  <c r="J84" i="71" s="1"/>
  <c r="I248" i="86"/>
  <c r="B247" i="86"/>
  <c r="M41" i="74"/>
  <c r="M73" i="74"/>
  <c r="M92" i="74"/>
  <c r="M66" i="75"/>
  <c r="B147" i="101"/>
  <c r="P138" i="101"/>
  <c r="B138" i="101" s="1"/>
  <c r="I152" i="101"/>
  <c r="P139" i="101"/>
  <c r="B139" i="101" s="1"/>
  <c r="I139" i="101" s="1"/>
  <c r="B49" i="71"/>
  <c r="J49" i="71" s="1"/>
  <c r="J48" i="90"/>
  <c r="B43" i="90"/>
  <c r="B323" i="91"/>
  <c r="B271" i="101"/>
  <c r="I276" i="101"/>
  <c r="P152" i="106"/>
  <c r="B152" i="106" s="1"/>
  <c r="I259" i="96"/>
  <c r="B254" i="96"/>
  <c r="B234" i="96" s="1"/>
  <c r="I234" i="96" s="1"/>
  <c r="B179" i="101"/>
  <c r="I184" i="101"/>
  <c r="B55" i="95"/>
  <c r="J55" i="95" s="1"/>
  <c r="I59" i="98"/>
  <c r="B54" i="98"/>
  <c r="B100" i="98"/>
  <c r="I101" i="98"/>
  <c r="B162" i="96"/>
  <c r="I259" i="101"/>
  <c r="B254" i="101"/>
  <c r="B234" i="101" s="1"/>
  <c r="B7" i="105"/>
  <c r="B24" i="102" s="1"/>
  <c r="N33" i="102" s="1"/>
  <c r="J12" i="105"/>
  <c r="I308" i="106"/>
  <c r="B303" i="106"/>
  <c r="N33" i="97"/>
  <c r="I100" i="103"/>
  <c r="B95" i="103"/>
  <c r="I167" i="101"/>
  <c r="B162" i="101"/>
  <c r="B43" i="98"/>
  <c r="I43" i="98" s="1"/>
  <c r="I13" i="104"/>
  <c r="B211" i="106"/>
  <c r="B346" i="106"/>
  <c r="B271" i="96"/>
  <c r="B147" i="106" l="1"/>
  <c r="I152" i="106"/>
  <c r="I138" i="101"/>
  <c r="B133" i="101"/>
  <c r="B109" i="101" s="1"/>
  <c r="I109" i="101" s="1"/>
  <c r="B242" i="86"/>
  <c r="B235" i="86" s="1"/>
  <c r="I235" i="86" s="1"/>
  <c r="I247" i="86"/>
  <c r="I100" i="98"/>
  <c r="B95" i="98"/>
  <c r="B152" i="86"/>
  <c r="I152" i="86" s="1"/>
  <c r="I154" i="86"/>
  <c r="B147" i="86"/>
  <c r="I234" i="101"/>
  <c r="B233" i="101"/>
  <c r="I259" i="86"/>
  <c r="B254" i="86"/>
  <c r="B234" i="86" s="1"/>
  <c r="N46" i="74"/>
  <c r="M46" i="74"/>
  <c r="I234" i="86" l="1"/>
  <c r="B233" i="86"/>
  <c r="I233" i="101"/>
  <c r="B228" i="101"/>
  <c r="B153" i="86" l="1"/>
  <c r="I153" i="86" s="1"/>
  <c r="I233" i="86"/>
  <c r="B228" i="86"/>
  <c r="A39" i="62" l="1"/>
  <c r="A27" i="62"/>
  <c r="A41" i="62" s="1"/>
  <c r="B15" i="62"/>
  <c r="B16" i="62" s="1"/>
  <c r="A12" i="62"/>
  <c r="A40" i="62" s="1"/>
  <c r="I30" i="61"/>
  <c r="I29" i="61"/>
  <c r="I28" i="61"/>
  <c r="M28" i="61" s="1"/>
  <c r="I27" i="61"/>
  <c r="M27" i="61" s="1"/>
  <c r="M26" i="61"/>
  <c r="I26" i="61"/>
  <c r="L26" i="61" s="1"/>
  <c r="I25" i="61"/>
  <c r="F25" i="61"/>
  <c r="C25" i="61"/>
  <c r="I14" i="61"/>
  <c r="B13" i="61"/>
  <c r="I13" i="61" s="1"/>
  <c r="F12" i="61"/>
  <c r="C12" i="61"/>
  <c r="B12" i="61"/>
  <c r="I12" i="61" s="1"/>
  <c r="O1" i="61"/>
  <c r="T68" i="60"/>
  <c r="B68" i="60"/>
  <c r="A67" i="60"/>
  <c r="A55" i="60"/>
  <c r="B44" i="60"/>
  <c r="B43" i="60"/>
  <c r="A41" i="60"/>
  <c r="B28" i="60"/>
  <c r="B29" i="60" s="1"/>
  <c r="B30" i="60" s="1"/>
  <c r="A27" i="60"/>
  <c r="B15" i="60"/>
  <c r="B16" i="60" s="1"/>
  <c r="A12" i="60"/>
  <c r="B4" i="60"/>
  <c r="I17" i="59"/>
  <c r="I16" i="59"/>
  <c r="I15" i="59"/>
  <c r="I14" i="59"/>
  <c r="I13" i="59"/>
  <c r="F12" i="59"/>
  <c r="C12" i="59"/>
  <c r="B12" i="59"/>
  <c r="I12" i="59" s="1"/>
  <c r="O1" i="59"/>
  <c r="A99" i="58"/>
  <c r="A98" i="58"/>
  <c r="A94" i="58"/>
  <c r="A93" i="58"/>
  <c r="A91" i="58"/>
  <c r="A79" i="58"/>
  <c r="A67" i="58"/>
  <c r="A55" i="58"/>
  <c r="A97" i="58" s="1"/>
  <c r="B43" i="58"/>
  <c r="B44" i="58" s="1"/>
  <c r="A41" i="58"/>
  <c r="B28" i="58"/>
  <c r="B29" i="58" s="1"/>
  <c r="B30" i="58" s="1"/>
  <c r="A27" i="58"/>
  <c r="B16" i="58"/>
  <c r="B15" i="58"/>
  <c r="A12" i="58"/>
  <c r="A92" i="58" s="1"/>
  <c r="I265" i="57"/>
  <c r="I264" i="57"/>
  <c r="I263" i="57"/>
  <c r="I262" i="57"/>
  <c r="I261" i="57"/>
  <c r="B261" i="57"/>
  <c r="I260" i="57"/>
  <c r="I259" i="57"/>
  <c r="I258" i="57"/>
  <c r="I257" i="57"/>
  <c r="I256" i="57"/>
  <c r="I255" i="57"/>
  <c r="I254" i="57"/>
  <c r="I253" i="57"/>
  <c r="I252" i="57"/>
  <c r="I251" i="57"/>
  <c r="I250" i="57"/>
  <c r="I249" i="57"/>
  <c r="F249" i="57"/>
  <c r="C249" i="57"/>
  <c r="B249" i="57"/>
  <c r="I238" i="57"/>
  <c r="I237" i="57"/>
  <c r="I236" i="57"/>
  <c r="I235" i="57"/>
  <c r="I234" i="57"/>
  <c r="I233" i="57"/>
  <c r="I232" i="57"/>
  <c r="I231" i="57"/>
  <c r="I230" i="57"/>
  <c r="I229" i="57"/>
  <c r="F228" i="57"/>
  <c r="C228" i="57"/>
  <c r="B228" i="57"/>
  <c r="I228" i="57" s="1"/>
  <c r="I217" i="57"/>
  <c r="I216" i="57"/>
  <c r="I215" i="57"/>
  <c r="I214" i="57"/>
  <c r="I213" i="57"/>
  <c r="I212" i="57"/>
  <c r="I211" i="57"/>
  <c r="I210" i="57"/>
  <c r="I209" i="57"/>
  <c r="I208" i="57"/>
  <c r="I207" i="57"/>
  <c r="I206" i="57"/>
  <c r="F205" i="57"/>
  <c r="C205" i="57"/>
  <c r="B205" i="57"/>
  <c r="I205" i="57" s="1"/>
  <c r="I194" i="57"/>
  <c r="I193" i="57"/>
  <c r="I192" i="57"/>
  <c r="I191" i="57"/>
  <c r="I190" i="57"/>
  <c r="I189" i="57"/>
  <c r="I188" i="57"/>
  <c r="I187" i="57"/>
  <c r="I186" i="57"/>
  <c r="I185" i="57"/>
  <c r="I184" i="57"/>
  <c r="I183" i="57"/>
  <c r="I182" i="57"/>
  <c r="I181" i="57"/>
  <c r="I180" i="57"/>
  <c r="I179" i="57"/>
  <c r="I178" i="57"/>
  <c r="F177" i="57"/>
  <c r="C177" i="57"/>
  <c r="B177" i="57"/>
  <c r="I177" i="57" s="1"/>
  <c r="I166" i="57"/>
  <c r="I165" i="57"/>
  <c r="I164" i="57"/>
  <c r="I163" i="57"/>
  <c r="I162" i="57"/>
  <c r="I161" i="57"/>
  <c r="I160" i="57"/>
  <c r="I159" i="57"/>
  <c r="I158" i="57"/>
  <c r="I157" i="57"/>
  <c r="I156" i="57"/>
  <c r="I155" i="57"/>
  <c r="I154" i="57"/>
  <c r="I153" i="57"/>
  <c r="I152" i="57"/>
  <c r="I151" i="57"/>
  <c r="I150" i="57"/>
  <c r="I149" i="57"/>
  <c r="I148" i="57"/>
  <c r="F148" i="57"/>
  <c r="C148" i="57"/>
  <c r="B148" i="57"/>
  <c r="I137" i="57"/>
  <c r="I136" i="57"/>
  <c r="I135" i="57"/>
  <c r="I134" i="57"/>
  <c r="I133" i="57"/>
  <c r="I132" i="57"/>
  <c r="F131" i="57"/>
  <c r="C131" i="57"/>
  <c r="B131" i="57"/>
  <c r="I131" i="57" s="1"/>
  <c r="I120" i="57"/>
  <c r="I119" i="57"/>
  <c r="I118" i="57"/>
  <c r="I117" i="57"/>
  <c r="I116" i="57"/>
  <c r="I115" i="57"/>
  <c r="I114" i="57"/>
  <c r="I113" i="57"/>
  <c r="I112" i="57"/>
  <c r="I111" i="57"/>
  <c r="I110" i="57"/>
  <c r="I109" i="57"/>
  <c r="I108" i="57"/>
  <c r="F107" i="57"/>
  <c r="C107" i="57"/>
  <c r="B107" i="57"/>
  <c r="I107" i="57" s="1"/>
  <c r="I96" i="57"/>
  <c r="I95" i="57"/>
  <c r="I94" i="57"/>
  <c r="I93" i="57"/>
  <c r="I92" i="57"/>
  <c r="I91" i="57"/>
  <c r="I90" i="57"/>
  <c r="I89" i="57"/>
  <c r="I88" i="57"/>
  <c r="I87" i="57"/>
  <c r="I86" i="57"/>
  <c r="F86" i="57"/>
  <c r="C86" i="57"/>
  <c r="B86" i="57"/>
  <c r="I75" i="57"/>
  <c r="I74" i="57"/>
  <c r="I73" i="57"/>
  <c r="I72" i="57"/>
  <c r="I71" i="57"/>
  <c r="I70" i="57"/>
  <c r="I69" i="57"/>
  <c r="F68" i="57"/>
  <c r="C68" i="57"/>
  <c r="B68" i="57"/>
  <c r="I68" i="57" s="1"/>
  <c r="I57" i="57"/>
  <c r="I56" i="57"/>
  <c r="I55" i="57"/>
  <c r="I54" i="57"/>
  <c r="I53" i="57"/>
  <c r="I52" i="57"/>
  <c r="I51" i="57"/>
  <c r="I50" i="57"/>
  <c r="I49" i="57"/>
  <c r="I48" i="57"/>
  <c r="I47" i="57"/>
  <c r="I46" i="57"/>
  <c r="I45" i="57"/>
  <c r="I44" i="57"/>
  <c r="I43" i="57"/>
  <c r="I42" i="57"/>
  <c r="I41" i="57"/>
  <c r="I40" i="57"/>
  <c r="F39" i="57"/>
  <c r="C39" i="57"/>
  <c r="B39" i="57"/>
  <c r="I39" i="57" s="1"/>
  <c r="I28" i="57"/>
  <c r="I27" i="57"/>
  <c r="I26" i="57"/>
  <c r="I25" i="57"/>
  <c r="F25" i="57"/>
  <c r="C25" i="57"/>
  <c r="B25" i="57"/>
  <c r="I14" i="57"/>
  <c r="I13" i="57"/>
  <c r="I12" i="57"/>
  <c r="F12" i="57"/>
  <c r="C12" i="57"/>
  <c r="B12" i="57"/>
  <c r="O1" i="57"/>
  <c r="I51" i="56"/>
  <c r="B50" i="56"/>
  <c r="I50" i="56" s="1"/>
  <c r="F49" i="56"/>
  <c r="C49" i="56"/>
  <c r="B49" i="56"/>
  <c r="I49" i="56" s="1"/>
  <c r="I38" i="56"/>
  <c r="B37" i="56"/>
  <c r="I37" i="56" s="1"/>
  <c r="I36" i="56"/>
  <c r="B35" i="56"/>
  <c r="I35" i="56" s="1"/>
  <c r="B34" i="56"/>
  <c r="I34" i="56" s="1"/>
  <c r="B33" i="56"/>
  <c r="I33" i="56" s="1"/>
  <c r="B32" i="56"/>
  <c r="I32" i="56" s="1"/>
  <c r="B31" i="56"/>
  <c r="I31" i="56" s="1"/>
  <c r="I30" i="56"/>
  <c r="B29" i="56"/>
  <c r="I29" i="56" s="1"/>
  <c r="F28" i="56"/>
  <c r="C28" i="56"/>
  <c r="B28" i="56"/>
  <c r="I28" i="56" s="1"/>
  <c r="I17" i="56"/>
  <c r="B16" i="56"/>
  <c r="I16" i="56" s="1"/>
  <c r="I15" i="56"/>
  <c r="I14" i="56"/>
  <c r="B13" i="56"/>
  <c r="I13" i="56" s="1"/>
  <c r="F12" i="56"/>
  <c r="C12" i="56"/>
  <c r="B12" i="56"/>
  <c r="I12" i="56" s="1"/>
  <c r="O1" i="56"/>
  <c r="L27" i="61" l="1"/>
  <c r="A95" i="58"/>
  <c r="L28" i="61"/>
  <c r="A96" i="58"/>
  <c r="B58" i="55" l="1"/>
  <c r="B57" i="55"/>
  <c r="B45" i="55"/>
  <c r="B43" i="55"/>
  <c r="B44" i="55" s="1"/>
  <c r="B31" i="55"/>
  <c r="A16" i="53" s="1"/>
  <c r="B29" i="55"/>
  <c r="B30" i="55" s="1"/>
  <c r="B17" i="55"/>
  <c r="B15" i="55"/>
  <c r="B16" i="55" s="1"/>
  <c r="A12" i="55"/>
  <c r="B72" i="54"/>
  <c r="A71" i="54"/>
  <c r="A70" i="54"/>
  <c r="A69" i="54"/>
  <c r="A68" i="54"/>
  <c r="A67" i="54"/>
  <c r="B56" i="54"/>
  <c r="B44" i="54"/>
  <c r="B43" i="54"/>
  <c r="B29" i="54"/>
  <c r="B30" i="54" s="1"/>
  <c r="B27" i="54"/>
  <c r="B13" i="54"/>
  <c r="A18" i="53"/>
  <c r="A17" i="53"/>
  <c r="A15" i="53"/>
  <c r="A14" i="53"/>
  <c r="A13" i="53"/>
  <c r="A12" i="53"/>
  <c r="B7" i="52" l="1"/>
  <c r="B15" i="52"/>
  <c r="I15" i="52" s="1"/>
  <c r="R15" i="52"/>
  <c r="B27" i="52"/>
  <c r="I27" i="52"/>
  <c r="R28" i="52"/>
  <c r="B28" i="52" s="1"/>
  <c r="I28" i="52" s="1"/>
  <c r="B29" i="52"/>
  <c r="I29" i="52" s="1"/>
  <c r="R29" i="52"/>
  <c r="I30" i="52"/>
  <c r="R30" i="52"/>
  <c r="B30" i="52" s="1"/>
  <c r="B44" i="52"/>
  <c r="I44" i="52" s="1"/>
  <c r="R44" i="52"/>
  <c r="B55" i="52"/>
  <c r="I55" i="52"/>
  <c r="R55" i="52"/>
  <c r="B56" i="52"/>
  <c r="I56" i="52" s="1"/>
  <c r="R56" i="52"/>
  <c r="R57" i="52"/>
  <c r="B57" i="52" s="1"/>
  <c r="I57" i="52" s="1"/>
  <c r="B69" i="52"/>
  <c r="I69" i="52" s="1"/>
  <c r="B71" i="52"/>
  <c r="I71" i="52"/>
  <c r="R71" i="52"/>
  <c r="B77" i="52"/>
  <c r="I82" i="52"/>
  <c r="I83" i="52"/>
  <c r="I84" i="52"/>
  <c r="R97" i="52"/>
  <c r="B97" i="52" s="1"/>
  <c r="I97" i="52" s="1"/>
  <c r="B110" i="52"/>
  <c r="I110" i="52" s="1"/>
  <c r="I111" i="52"/>
  <c r="B112" i="52"/>
  <c r="I112" i="52" s="1"/>
  <c r="R112" i="52"/>
  <c r="R124" i="52"/>
  <c r="B124" i="52" s="1"/>
  <c r="I124" i="52" s="1"/>
  <c r="R125" i="52"/>
  <c r="B125" i="52" s="1"/>
  <c r="I125" i="52" s="1"/>
  <c r="B126" i="52"/>
  <c r="I126" i="52"/>
  <c r="R126" i="52"/>
  <c r="B127" i="52"/>
  <c r="I127" i="52"/>
  <c r="R127" i="52"/>
  <c r="R140" i="52"/>
  <c r="B140" i="52" s="1"/>
  <c r="I140" i="52" s="1"/>
  <c r="B141" i="52"/>
  <c r="I141" i="52"/>
  <c r="R141" i="52"/>
  <c r="B152" i="52"/>
  <c r="I152" i="52" s="1"/>
  <c r="P152" i="52"/>
  <c r="P139" i="52" s="1"/>
  <c r="P154" i="52"/>
  <c r="B154" i="52" s="1"/>
  <c r="I154" i="52" s="1"/>
  <c r="B155" i="52"/>
  <c r="I155" i="52"/>
  <c r="R155" i="52"/>
  <c r="B156" i="52"/>
  <c r="I156" i="52"/>
  <c r="B167" i="52"/>
  <c r="B162" i="52" s="1"/>
  <c r="I167" i="52"/>
  <c r="P167" i="52"/>
  <c r="B168" i="52"/>
  <c r="I168" i="52" s="1"/>
  <c r="P168" i="52"/>
  <c r="R169" i="52"/>
  <c r="B169" i="52" s="1"/>
  <c r="I169" i="52" s="1"/>
  <c r="R170" i="52"/>
  <c r="B170" i="52" s="1"/>
  <c r="I170" i="52" s="1"/>
  <c r="R171" i="52"/>
  <c r="B171" i="52" s="1"/>
  <c r="I171" i="52" s="1"/>
  <c r="R172" i="52"/>
  <c r="B172" i="52" s="1"/>
  <c r="I172" i="52" s="1"/>
  <c r="R173" i="52"/>
  <c r="B173" i="52" s="1"/>
  <c r="I173" i="52" s="1"/>
  <c r="B184" i="52"/>
  <c r="B185" i="52"/>
  <c r="I185" i="52"/>
  <c r="I186" i="52"/>
  <c r="P186" i="52"/>
  <c r="B186" i="52" s="1"/>
  <c r="B187" i="52"/>
  <c r="I187" i="52"/>
  <c r="R187" i="52"/>
  <c r="B188" i="52"/>
  <c r="I188" i="52"/>
  <c r="R188" i="52"/>
  <c r="B189" i="52"/>
  <c r="I189" i="52" s="1"/>
  <c r="R189" i="52"/>
  <c r="B195" i="52"/>
  <c r="S196" i="52"/>
  <c r="S197" i="52"/>
  <c r="I200" i="52"/>
  <c r="P200" i="52"/>
  <c r="T200" i="52"/>
  <c r="B202" i="52" s="1"/>
  <c r="I202" i="52" s="1"/>
  <c r="I201" i="52"/>
  <c r="P201" i="52"/>
  <c r="B203" i="52"/>
  <c r="I203" i="52"/>
  <c r="R204" i="52"/>
  <c r="B204" i="52" s="1"/>
  <c r="I204" i="52" s="1"/>
  <c r="I205" i="52"/>
  <c r="R205" i="52"/>
  <c r="B205" i="52" s="1"/>
  <c r="B211" i="52"/>
  <c r="B216" i="52"/>
  <c r="I216" i="52" s="1"/>
  <c r="B217" i="52"/>
  <c r="I217" i="52" s="1"/>
  <c r="B218" i="52"/>
  <c r="I218" i="52"/>
  <c r="I219" i="52"/>
  <c r="R219" i="52"/>
  <c r="B219" i="52" s="1"/>
  <c r="R220" i="52"/>
  <c r="B220" i="52" s="1"/>
  <c r="I220" i="52" s="1"/>
  <c r="I221" i="52"/>
  <c r="R221" i="52"/>
  <c r="B221" i="52" s="1"/>
  <c r="B222" i="52"/>
  <c r="I222" i="52"/>
  <c r="R222" i="52"/>
  <c r="B233" i="52"/>
  <c r="I233" i="52" s="1"/>
  <c r="B236" i="52"/>
  <c r="I236" i="52"/>
  <c r="B242" i="52"/>
  <c r="B235" i="52" s="1"/>
  <c r="I235" i="52" s="1"/>
  <c r="S247" i="52"/>
  <c r="B247" i="52" s="1"/>
  <c r="I247" i="52" s="1"/>
  <c r="B248" i="52"/>
  <c r="I248" i="52"/>
  <c r="S248" i="52"/>
  <c r="B260" i="52"/>
  <c r="I260" i="52" s="1"/>
  <c r="B261" i="52"/>
  <c r="I261" i="52"/>
  <c r="R261" i="52"/>
  <c r="B262" i="52"/>
  <c r="I262" i="52" s="1"/>
  <c r="R262" i="52"/>
  <c r="R263" i="52"/>
  <c r="B263" i="52" s="1"/>
  <c r="I263" i="52" s="1"/>
  <c r="R264" i="52"/>
  <c r="B264" i="52" s="1"/>
  <c r="I264" i="52" s="1"/>
  <c r="R265" i="52"/>
  <c r="B265" i="52" s="1"/>
  <c r="I265" i="52" s="1"/>
  <c r="B276" i="52"/>
  <c r="B271" i="52" s="1"/>
  <c r="I276" i="52"/>
  <c r="B277" i="52"/>
  <c r="I277" i="52"/>
  <c r="B278" i="52"/>
  <c r="I278" i="52" s="1"/>
  <c r="P278" i="52"/>
  <c r="R279" i="52"/>
  <c r="B279" i="52" s="1"/>
  <c r="I279" i="52" s="1"/>
  <c r="R280" i="52"/>
  <c r="B280" i="52" s="1"/>
  <c r="I280" i="52" s="1"/>
  <c r="R281" i="52"/>
  <c r="B281" i="52" s="1"/>
  <c r="I281" i="52" s="1"/>
  <c r="B287" i="52"/>
  <c r="S290" i="52"/>
  <c r="I292" i="52"/>
  <c r="P292" i="52"/>
  <c r="I293" i="52"/>
  <c r="P293" i="52"/>
  <c r="B294" i="52"/>
  <c r="I294" i="52" s="1"/>
  <c r="T294" i="52"/>
  <c r="B295" i="52"/>
  <c r="I295" i="52" s="1"/>
  <c r="B296" i="52"/>
  <c r="I296" i="52" s="1"/>
  <c r="R296" i="52"/>
  <c r="R297" i="52"/>
  <c r="B297" i="52" s="1"/>
  <c r="I297" i="52" s="1"/>
  <c r="B303" i="52"/>
  <c r="B308" i="52"/>
  <c r="I308" i="52"/>
  <c r="B309" i="52"/>
  <c r="I309" i="52" s="1"/>
  <c r="B310" i="52"/>
  <c r="I310" i="52" s="1"/>
  <c r="B311" i="52"/>
  <c r="I311" i="52" s="1"/>
  <c r="B312" i="52"/>
  <c r="I312" i="52"/>
  <c r="B313" i="52"/>
  <c r="I313" i="52" s="1"/>
  <c r="B314" i="52"/>
  <c r="I314" i="52" s="1"/>
  <c r="B315" i="52"/>
  <c r="I315" i="52" s="1"/>
  <c r="B316" i="52"/>
  <c r="I316" i="52"/>
  <c r="B317" i="52"/>
  <c r="I317" i="52" s="1"/>
  <c r="B318" i="52"/>
  <c r="I318" i="52" s="1"/>
  <c r="B324" i="52"/>
  <c r="B329" i="52"/>
  <c r="I329" i="52" s="1"/>
  <c r="B330" i="52"/>
  <c r="I330" i="52" s="1"/>
  <c r="I331" i="52"/>
  <c r="R331" i="52"/>
  <c r="B331" i="52" s="1"/>
  <c r="B332" i="52"/>
  <c r="I332" i="52"/>
  <c r="B333" i="52"/>
  <c r="I333" i="52"/>
  <c r="B334" i="52"/>
  <c r="I334" i="52" s="1"/>
  <c r="R335" i="52"/>
  <c r="B335" i="52" s="1"/>
  <c r="I335" i="52" s="1"/>
  <c r="B336" i="52"/>
  <c r="I336" i="52" s="1"/>
  <c r="B337" i="52"/>
  <c r="I337" i="52"/>
  <c r="R337" i="52"/>
  <c r="R338" i="52"/>
  <c r="B338" i="52" s="1"/>
  <c r="I338" i="52" s="1"/>
  <c r="B339" i="52"/>
  <c r="I339" i="52" s="1"/>
  <c r="B340" i="52"/>
  <c r="I340" i="52" s="1"/>
  <c r="B351" i="52"/>
  <c r="B352" i="52"/>
  <c r="I352" i="52"/>
  <c r="B353" i="52"/>
  <c r="I353" i="52"/>
  <c r="R354" i="52"/>
  <c r="B354" i="52" s="1"/>
  <c r="I354" i="52" s="1"/>
  <c r="B355" i="52"/>
  <c r="I355" i="52"/>
  <c r="B356" i="52"/>
  <c r="I356" i="52" s="1"/>
  <c r="B357" i="52"/>
  <c r="I357" i="52" s="1"/>
  <c r="I358" i="52"/>
  <c r="R358" i="52"/>
  <c r="B358" i="52" s="1"/>
  <c r="B359" i="52"/>
  <c r="I359" i="52" s="1"/>
  <c r="R359" i="52"/>
  <c r="B360" i="52"/>
  <c r="I360" i="52"/>
  <c r="R360" i="52"/>
  <c r="B361" i="52"/>
  <c r="I361" i="52" s="1"/>
  <c r="R361" i="52"/>
  <c r="B362" i="52"/>
  <c r="I362" i="52" s="1"/>
  <c r="B14" i="51"/>
  <c r="J14" i="51" s="1"/>
  <c r="B15" i="51"/>
  <c r="J15" i="51" s="1"/>
  <c r="J16" i="51"/>
  <c r="S16" i="51"/>
  <c r="B16" i="51" s="1"/>
  <c r="B17" i="51"/>
  <c r="J17" i="51"/>
  <c r="S18" i="51"/>
  <c r="B18" i="51" s="1"/>
  <c r="J18" i="51" s="1"/>
  <c r="B19" i="51"/>
  <c r="B31" i="51"/>
  <c r="J31" i="51"/>
  <c r="S32" i="51"/>
  <c r="B32" i="51" s="1"/>
  <c r="J32" i="51" s="1"/>
  <c r="B33" i="51"/>
  <c r="J33" i="51"/>
  <c r="B35" i="51"/>
  <c r="J35" i="51" s="1"/>
  <c r="S35" i="51"/>
  <c r="B34" i="51" s="1"/>
  <c r="J34" i="51" s="1"/>
  <c r="B36" i="51"/>
  <c r="J36" i="51" s="1"/>
  <c r="S36" i="51"/>
  <c r="S37" i="51"/>
  <c r="B37" i="51" s="1"/>
  <c r="J37" i="51" s="1"/>
  <c r="B48" i="51"/>
  <c r="B43" i="51" s="1"/>
  <c r="B30" i="51" s="1"/>
  <c r="J30" i="51" s="1"/>
  <c r="B49" i="51"/>
  <c r="J49" i="51"/>
  <c r="B50" i="51"/>
  <c r="J50" i="51" s="1"/>
  <c r="S50" i="51"/>
  <c r="B51" i="51"/>
  <c r="J51" i="51"/>
  <c r="B52" i="51"/>
  <c r="J52" i="51" s="1"/>
  <c r="S52" i="51"/>
  <c r="B53" i="51"/>
  <c r="J53" i="51" s="1"/>
  <c r="S53" i="51"/>
  <c r="J54" i="51"/>
  <c r="S54" i="51"/>
  <c r="B54" i="51" s="1"/>
  <c r="B55" i="51"/>
  <c r="J55" i="51"/>
  <c r="B56" i="51"/>
  <c r="J56" i="51" s="1"/>
  <c r="B57" i="51"/>
  <c r="J57" i="51" s="1"/>
  <c r="B7" i="50"/>
  <c r="T11" i="50"/>
  <c r="B13" i="50"/>
  <c r="I13" i="50"/>
  <c r="P13" i="50"/>
  <c r="I14" i="50"/>
  <c r="I15" i="50"/>
  <c r="Q15" i="50"/>
  <c r="B15" i="50" s="1"/>
  <c r="U15" i="50"/>
  <c r="B14" i="50" s="1"/>
  <c r="B16" i="50"/>
  <c r="I16" i="50" s="1"/>
  <c r="Q16" i="50"/>
  <c r="Q17" i="50"/>
  <c r="B17" i="50" s="1"/>
  <c r="I17" i="50" s="1"/>
  <c r="B23" i="50"/>
  <c r="I28" i="50"/>
  <c r="P28" i="50"/>
  <c r="I29" i="50"/>
  <c r="B30" i="50"/>
  <c r="I30" i="50"/>
  <c r="R31" i="50"/>
  <c r="B31" i="50" s="1"/>
  <c r="I31" i="50" s="1"/>
  <c r="I32" i="50"/>
  <c r="R32" i="50"/>
  <c r="B32" i="50" s="1"/>
  <c r="R33" i="50"/>
  <c r="B33" i="50" s="1"/>
  <c r="I33" i="50" s="1"/>
  <c r="B34" i="50"/>
  <c r="I34" i="50"/>
  <c r="R34" i="50"/>
  <c r="B45" i="50"/>
  <c r="I45" i="50" s="1"/>
  <c r="I46" i="50"/>
  <c r="I47" i="50"/>
  <c r="B7" i="49"/>
  <c r="I12" i="49"/>
  <c r="P13" i="49"/>
  <c r="R13" i="49" s="1"/>
  <c r="B13" i="49" s="1"/>
  <c r="I13" i="49" s="1"/>
  <c r="B14" i="49"/>
  <c r="I14" i="49" s="1"/>
  <c r="B15" i="49"/>
  <c r="I15" i="49" s="1"/>
  <c r="Q16" i="49"/>
  <c r="B16" i="49" s="1"/>
  <c r="I16" i="49" s="1"/>
  <c r="Q17" i="49"/>
  <c r="B17" i="49" s="1"/>
  <c r="I17" i="49" s="1"/>
  <c r="B23" i="49"/>
  <c r="I28" i="49"/>
  <c r="I29" i="49"/>
  <c r="R29" i="49"/>
  <c r="B29" i="49" s="1"/>
  <c r="B30" i="49"/>
  <c r="I30" i="49"/>
  <c r="R31" i="49"/>
  <c r="B31" i="49" s="1"/>
  <c r="I31" i="49" s="1"/>
  <c r="O36" i="49"/>
  <c r="Q107" i="52" s="1"/>
  <c r="R110" i="52" s="1"/>
  <c r="I42" i="49"/>
  <c r="I43" i="49"/>
  <c r="B44" i="49"/>
  <c r="I44" i="49"/>
  <c r="I45" i="49"/>
  <c r="R45" i="49"/>
  <c r="B45" i="49" s="1"/>
  <c r="R46" i="49"/>
  <c r="B46" i="49" s="1"/>
  <c r="I46" i="49" s="1"/>
  <c r="B47" i="49"/>
  <c r="I47" i="49"/>
  <c r="R48" i="49"/>
  <c r="B48" i="49" s="1"/>
  <c r="I48" i="49" s="1"/>
  <c r="B54" i="49"/>
  <c r="I59" i="49"/>
  <c r="R60" i="49"/>
  <c r="B60" i="49" s="1"/>
  <c r="I60" i="49" s="1"/>
  <c r="B61" i="49"/>
  <c r="I61" i="49"/>
  <c r="I62" i="49"/>
  <c r="B68" i="49"/>
  <c r="I73" i="49"/>
  <c r="I74" i="49"/>
  <c r="B75" i="49"/>
  <c r="I75" i="49"/>
  <c r="B81" i="49"/>
  <c r="I86" i="49"/>
  <c r="I87" i="49"/>
  <c r="I88" i="49"/>
  <c r="I89" i="49"/>
  <c r="I100" i="49"/>
  <c r="I101" i="49"/>
  <c r="I102" i="49"/>
  <c r="I103" i="49"/>
  <c r="I104" i="49"/>
  <c r="N1" i="48"/>
  <c r="Z13" i="48"/>
  <c r="B13" i="48" s="1"/>
  <c r="B14" i="48"/>
  <c r="Z14" i="48"/>
  <c r="B15" i="48"/>
  <c r="Z15" i="48"/>
  <c r="Z16" i="48"/>
  <c r="B16" i="48" s="1"/>
  <c r="Z17" i="48"/>
  <c r="B17" i="48" s="1"/>
  <c r="AB17" i="48"/>
  <c r="Z18" i="48"/>
  <c r="B18" i="48" s="1"/>
  <c r="Z19" i="48"/>
  <c r="B19" i="48" s="1"/>
  <c r="B20" i="48"/>
  <c r="Z20" i="48"/>
  <c r="Z21" i="48"/>
  <c r="B21" i="48" s="1"/>
  <c r="Z22" i="48"/>
  <c r="B22" i="48" s="1"/>
  <c r="Z23" i="48"/>
  <c r="B23" i="48" s="1"/>
  <c r="Z24" i="48"/>
  <c r="Z25" i="48"/>
  <c r="B25" i="48" s="1"/>
  <c r="Z26" i="48"/>
  <c r="B26" i="48" s="1"/>
  <c r="Z27" i="48"/>
  <c r="B27" i="48" s="1"/>
  <c r="B7" i="47"/>
  <c r="B15" i="47"/>
  <c r="I15" i="47" s="1"/>
  <c r="R15" i="47"/>
  <c r="B27" i="47"/>
  <c r="I27" i="47" s="1"/>
  <c r="B28" i="47"/>
  <c r="I28" i="47"/>
  <c r="R28" i="47"/>
  <c r="B29" i="47"/>
  <c r="I29" i="47"/>
  <c r="R29" i="47"/>
  <c r="R30" i="47"/>
  <c r="B30" i="47" s="1"/>
  <c r="I30" i="47" s="1"/>
  <c r="B42" i="47"/>
  <c r="I42" i="47" s="1"/>
  <c r="B44" i="47"/>
  <c r="I44" i="47" s="1"/>
  <c r="R44" i="47"/>
  <c r="B50" i="47"/>
  <c r="B55" i="47"/>
  <c r="I55" i="47"/>
  <c r="R55" i="47"/>
  <c r="R56" i="47"/>
  <c r="B56" i="47" s="1"/>
  <c r="I56" i="47" s="1"/>
  <c r="B57" i="47"/>
  <c r="I57" i="47"/>
  <c r="R57" i="47"/>
  <c r="B69" i="47"/>
  <c r="I69" i="47" s="1"/>
  <c r="R71" i="47"/>
  <c r="B71" i="47" s="1"/>
  <c r="I71" i="47" s="1"/>
  <c r="B77" i="47"/>
  <c r="I82" i="47"/>
  <c r="I83" i="47"/>
  <c r="I84" i="47"/>
  <c r="B97" i="47"/>
  <c r="I97" i="47" s="1"/>
  <c r="R97" i="47"/>
  <c r="I111" i="47"/>
  <c r="B112" i="47"/>
  <c r="I112" i="47"/>
  <c r="R112" i="47"/>
  <c r="R124" i="47"/>
  <c r="B124" i="47" s="1"/>
  <c r="I124" i="47" s="1"/>
  <c r="B125" i="47"/>
  <c r="I125" i="47" s="1"/>
  <c r="R125" i="47"/>
  <c r="R126" i="47"/>
  <c r="B126" i="47" s="1"/>
  <c r="I126" i="47" s="1"/>
  <c r="I127" i="47"/>
  <c r="R127" i="47"/>
  <c r="B127" i="47" s="1"/>
  <c r="R140" i="47"/>
  <c r="B140" i="47" s="1"/>
  <c r="I140" i="47" s="1"/>
  <c r="B141" i="47"/>
  <c r="I141" i="47" s="1"/>
  <c r="R141" i="47"/>
  <c r="B153" i="47"/>
  <c r="I153" i="47" s="1"/>
  <c r="B155" i="47"/>
  <c r="I155" i="47" s="1"/>
  <c r="R155" i="47"/>
  <c r="B156" i="47"/>
  <c r="I156" i="47" s="1"/>
  <c r="B162" i="47"/>
  <c r="P152" i="47" s="1"/>
  <c r="P138" i="47" s="1"/>
  <c r="B138" i="47" s="1"/>
  <c r="B167" i="47"/>
  <c r="I167" i="47"/>
  <c r="B168" i="47"/>
  <c r="I168" i="47" s="1"/>
  <c r="B169" i="47"/>
  <c r="I169" i="47"/>
  <c r="R169" i="47"/>
  <c r="R170" i="47"/>
  <c r="B170" i="47" s="1"/>
  <c r="I170" i="47" s="1"/>
  <c r="B171" i="47"/>
  <c r="I171" i="47" s="1"/>
  <c r="R171" i="47"/>
  <c r="R172" i="47"/>
  <c r="B172" i="47" s="1"/>
  <c r="I172" i="47" s="1"/>
  <c r="I173" i="47"/>
  <c r="R173" i="47"/>
  <c r="B173" i="47" s="1"/>
  <c r="B184" i="47"/>
  <c r="B179" i="47" s="1"/>
  <c r="I184" i="47"/>
  <c r="B185" i="47"/>
  <c r="I185" i="47"/>
  <c r="P186" i="47"/>
  <c r="B186" i="47" s="1"/>
  <c r="I186" i="47" s="1"/>
  <c r="I187" i="47"/>
  <c r="R187" i="47"/>
  <c r="B187" i="47" s="1"/>
  <c r="B188" i="47"/>
  <c r="I188" i="47"/>
  <c r="R188" i="47"/>
  <c r="B189" i="47"/>
  <c r="I189" i="47" s="1"/>
  <c r="R189" i="47"/>
  <c r="B195" i="47"/>
  <c r="S196" i="47"/>
  <c r="S197" i="47" s="1"/>
  <c r="I200" i="47"/>
  <c r="P200" i="47"/>
  <c r="T200" i="47"/>
  <c r="B202" i="47" s="1"/>
  <c r="I202" i="47" s="1"/>
  <c r="I201" i="47"/>
  <c r="P201" i="47"/>
  <c r="B203" i="47"/>
  <c r="I203" i="47"/>
  <c r="R204" i="47"/>
  <c r="B204" i="47" s="1"/>
  <c r="I204" i="47" s="1"/>
  <c r="I205" i="47"/>
  <c r="R205" i="47"/>
  <c r="B205" i="47" s="1"/>
  <c r="B216" i="47"/>
  <c r="I217" i="47"/>
  <c r="B218" i="47"/>
  <c r="I218" i="47" s="1"/>
  <c r="B219" i="47"/>
  <c r="I219" i="47"/>
  <c r="R219" i="47"/>
  <c r="B220" i="47"/>
  <c r="I220" i="47" s="1"/>
  <c r="R220" i="47"/>
  <c r="R221" i="47"/>
  <c r="B221" i="47" s="1"/>
  <c r="I221" i="47" s="1"/>
  <c r="R222" i="47"/>
  <c r="B222" i="47" s="1"/>
  <c r="I222" i="47" s="1"/>
  <c r="B233" i="47"/>
  <c r="B228" i="47" s="1"/>
  <c r="P153" i="47" s="1"/>
  <c r="I233" i="47"/>
  <c r="B234" i="47"/>
  <c r="I234" i="47" s="1"/>
  <c r="B236" i="47"/>
  <c r="I236" i="47" s="1"/>
  <c r="S247" i="47"/>
  <c r="B247" i="47" s="1"/>
  <c r="I248" i="47"/>
  <c r="S248" i="47"/>
  <c r="B248" i="47" s="1"/>
  <c r="B259" i="47"/>
  <c r="B254" i="47" s="1"/>
  <c r="P234" i="47" s="1"/>
  <c r="P233" i="47" s="1"/>
  <c r="I259" i="47"/>
  <c r="B260" i="47"/>
  <c r="I260" i="47"/>
  <c r="P260" i="47"/>
  <c r="B261" i="47"/>
  <c r="I261" i="47" s="1"/>
  <c r="R261" i="47"/>
  <c r="B262" i="47"/>
  <c r="I262" i="47" s="1"/>
  <c r="R262" i="47"/>
  <c r="R263" i="47"/>
  <c r="B263" i="47" s="1"/>
  <c r="I263" i="47" s="1"/>
  <c r="B264" i="47"/>
  <c r="I264" i="47" s="1"/>
  <c r="R264" i="47"/>
  <c r="R265" i="47"/>
  <c r="B265" i="47" s="1"/>
  <c r="I265" i="47" s="1"/>
  <c r="B276" i="47"/>
  <c r="B271" i="47" s="1"/>
  <c r="B277" i="47"/>
  <c r="I277" i="47"/>
  <c r="B278" i="47"/>
  <c r="I278" i="47" s="1"/>
  <c r="P278" i="47"/>
  <c r="R279" i="47"/>
  <c r="B279" i="47" s="1"/>
  <c r="I279" i="47" s="1"/>
  <c r="I280" i="47"/>
  <c r="R280" i="47"/>
  <c r="B280" i="47" s="1"/>
  <c r="B281" i="47"/>
  <c r="I281" i="47"/>
  <c r="R281" i="47"/>
  <c r="B287" i="47"/>
  <c r="S290" i="47"/>
  <c r="S291" i="47" s="1"/>
  <c r="I292" i="47"/>
  <c r="P292" i="47"/>
  <c r="I293" i="47"/>
  <c r="P293" i="47"/>
  <c r="B294" i="47"/>
  <c r="I294" i="47"/>
  <c r="T294" i="47"/>
  <c r="B295" i="47"/>
  <c r="I295" i="47"/>
  <c r="B296" i="47"/>
  <c r="I296" i="47" s="1"/>
  <c r="R296" i="47"/>
  <c r="R297" i="47"/>
  <c r="B297" i="47" s="1"/>
  <c r="I297" i="47" s="1"/>
  <c r="B308" i="47"/>
  <c r="B303" i="47" s="1"/>
  <c r="B309" i="47"/>
  <c r="I309" i="47"/>
  <c r="B310" i="47"/>
  <c r="I310" i="47"/>
  <c r="B311" i="47"/>
  <c r="I311" i="47" s="1"/>
  <c r="B312" i="47"/>
  <c r="I312" i="47"/>
  <c r="B313" i="47"/>
  <c r="I313" i="47"/>
  <c r="B314" i="47"/>
  <c r="I314" i="47"/>
  <c r="B315" i="47"/>
  <c r="I315" i="47" s="1"/>
  <c r="B316" i="47"/>
  <c r="I316" i="47"/>
  <c r="B317" i="47"/>
  <c r="I317" i="47"/>
  <c r="B318" i="47"/>
  <c r="I318" i="47"/>
  <c r="B324" i="47"/>
  <c r="B329" i="47"/>
  <c r="I329" i="47"/>
  <c r="B330" i="47"/>
  <c r="I330" i="47" s="1"/>
  <c r="B331" i="47"/>
  <c r="I331" i="47" s="1"/>
  <c r="R331" i="47"/>
  <c r="B332" i="47"/>
  <c r="I332" i="47" s="1"/>
  <c r="B333" i="47"/>
  <c r="I333" i="47"/>
  <c r="B334" i="47"/>
  <c r="I334" i="47"/>
  <c r="R335" i="47"/>
  <c r="B335" i="47" s="1"/>
  <c r="I335" i="47" s="1"/>
  <c r="B336" i="47"/>
  <c r="I336" i="47"/>
  <c r="R337" i="47"/>
  <c r="B337" i="47" s="1"/>
  <c r="I337" i="47" s="1"/>
  <c r="R338" i="47"/>
  <c r="B338" i="47" s="1"/>
  <c r="I338" i="47" s="1"/>
  <c r="B339" i="47"/>
  <c r="I339" i="47"/>
  <c r="B340" i="47"/>
  <c r="I340" i="47" s="1"/>
  <c r="B346" i="47"/>
  <c r="B351" i="47"/>
  <c r="I351" i="47"/>
  <c r="B352" i="47"/>
  <c r="I352" i="47" s="1"/>
  <c r="B353" i="47"/>
  <c r="I353" i="47"/>
  <c r="I354" i="47"/>
  <c r="R354" i="47"/>
  <c r="B354" i="47" s="1"/>
  <c r="B355" i="47"/>
  <c r="I355" i="47" s="1"/>
  <c r="B356" i="47"/>
  <c r="I356" i="47"/>
  <c r="B357" i="47"/>
  <c r="I357" i="47" s="1"/>
  <c r="R358" i="47"/>
  <c r="B358" i="47" s="1"/>
  <c r="I358" i="47" s="1"/>
  <c r="B359" i="47"/>
  <c r="I359" i="47" s="1"/>
  <c r="R359" i="47"/>
  <c r="B360" i="47"/>
  <c r="I360" i="47" s="1"/>
  <c r="R360" i="47"/>
  <c r="R361" i="47"/>
  <c r="B361" i="47" s="1"/>
  <c r="I361" i="47" s="1"/>
  <c r="B362" i="47"/>
  <c r="I362" i="47"/>
  <c r="B14" i="46"/>
  <c r="J14" i="46"/>
  <c r="B15" i="46"/>
  <c r="J15" i="46" s="1"/>
  <c r="B16" i="46"/>
  <c r="J16" i="46"/>
  <c r="S16" i="46"/>
  <c r="B17" i="46"/>
  <c r="J17" i="46" s="1"/>
  <c r="B18" i="46"/>
  <c r="J18" i="46" s="1"/>
  <c r="S18" i="46"/>
  <c r="B19" i="46"/>
  <c r="B30" i="46"/>
  <c r="J30" i="46" s="1"/>
  <c r="B31" i="46"/>
  <c r="J31" i="46" s="1"/>
  <c r="B32" i="46"/>
  <c r="J32" i="46" s="1"/>
  <c r="S32" i="46"/>
  <c r="B33" i="46"/>
  <c r="J33" i="46"/>
  <c r="S35" i="46"/>
  <c r="S36" i="46"/>
  <c r="S37" i="46"/>
  <c r="B37" i="46" s="1"/>
  <c r="J37" i="46" s="1"/>
  <c r="B48" i="46"/>
  <c r="J48" i="46" s="1"/>
  <c r="B49" i="46"/>
  <c r="J49" i="46"/>
  <c r="J50" i="46"/>
  <c r="S50" i="46"/>
  <c r="B50" i="46" s="1"/>
  <c r="B51" i="46"/>
  <c r="J51" i="46" s="1"/>
  <c r="S52" i="46"/>
  <c r="B52" i="46" s="1"/>
  <c r="J52" i="46" s="1"/>
  <c r="S53" i="46"/>
  <c r="B53" i="46" s="1"/>
  <c r="J53" i="46" s="1"/>
  <c r="B54" i="46"/>
  <c r="J54" i="46" s="1"/>
  <c r="S54" i="46"/>
  <c r="B55" i="46"/>
  <c r="J55" i="46"/>
  <c r="B56" i="46"/>
  <c r="J56" i="46"/>
  <c r="B57" i="46"/>
  <c r="J57" i="46"/>
  <c r="T11" i="45"/>
  <c r="T12" i="45"/>
  <c r="U15" i="45" s="1"/>
  <c r="B13" i="45"/>
  <c r="P13" i="45" s="1"/>
  <c r="I13" i="45"/>
  <c r="B14" i="45"/>
  <c r="I14" i="45"/>
  <c r="I15" i="45"/>
  <c r="Q15" i="45"/>
  <c r="B15" i="45" s="1"/>
  <c r="Q16" i="45"/>
  <c r="B16" i="45" s="1"/>
  <c r="I16" i="45" s="1"/>
  <c r="Q17" i="45"/>
  <c r="B17" i="45" s="1"/>
  <c r="I17" i="45" s="1"/>
  <c r="B23" i="45"/>
  <c r="I28" i="45"/>
  <c r="P28" i="45"/>
  <c r="I29" i="45"/>
  <c r="B30" i="45"/>
  <c r="I30" i="45" s="1"/>
  <c r="R31" i="45"/>
  <c r="B31" i="45" s="1"/>
  <c r="I31" i="45" s="1"/>
  <c r="B32" i="45"/>
  <c r="I32" i="45"/>
  <c r="R32" i="45"/>
  <c r="B33" i="45"/>
  <c r="I33" i="45"/>
  <c r="R33" i="45"/>
  <c r="B34" i="45"/>
  <c r="I34" i="45"/>
  <c r="R34" i="45"/>
  <c r="B40" i="45"/>
  <c r="B45" i="45"/>
  <c r="I45" i="45"/>
  <c r="I46" i="45"/>
  <c r="I47" i="45"/>
  <c r="B7" i="44"/>
  <c r="I12" i="44"/>
  <c r="I14" i="44"/>
  <c r="B15" i="44"/>
  <c r="I15" i="44"/>
  <c r="Q16" i="44"/>
  <c r="B16" i="44" s="1"/>
  <c r="I16" i="44" s="1"/>
  <c r="Q17" i="44"/>
  <c r="B17" i="44" s="1"/>
  <c r="I17" i="44" s="1"/>
  <c r="B23" i="44"/>
  <c r="I28" i="44"/>
  <c r="R29" i="44"/>
  <c r="B29" i="44" s="1"/>
  <c r="I29" i="44" s="1"/>
  <c r="B30" i="44"/>
  <c r="I30" i="44"/>
  <c r="R31" i="44"/>
  <c r="B31" i="44" s="1"/>
  <c r="I31" i="44" s="1"/>
  <c r="O36" i="44"/>
  <c r="P13" i="44" s="1"/>
  <c r="R13" i="44" s="1"/>
  <c r="B13" i="44" s="1"/>
  <c r="I13" i="44" s="1"/>
  <c r="T36" i="44"/>
  <c r="B37" i="44"/>
  <c r="I42" i="44"/>
  <c r="B43" i="44"/>
  <c r="I43" i="44"/>
  <c r="B44" i="44"/>
  <c r="I44" i="44"/>
  <c r="B45" i="44"/>
  <c r="I45" i="44" s="1"/>
  <c r="R45" i="44"/>
  <c r="R46" i="44"/>
  <c r="B46" i="44" s="1"/>
  <c r="I46" i="44" s="1"/>
  <c r="B47" i="44"/>
  <c r="I47" i="44"/>
  <c r="R48" i="44"/>
  <c r="B48" i="44" s="1"/>
  <c r="I48" i="44" s="1"/>
  <c r="B54" i="44"/>
  <c r="I59" i="44"/>
  <c r="R60" i="44"/>
  <c r="B60" i="44" s="1"/>
  <c r="I60" i="44" s="1"/>
  <c r="B61" i="44"/>
  <c r="I61" i="44" s="1"/>
  <c r="I62" i="44"/>
  <c r="B68" i="44"/>
  <c r="I73" i="44"/>
  <c r="I74" i="44"/>
  <c r="I75" i="44"/>
  <c r="B81" i="44"/>
  <c r="I86" i="44"/>
  <c r="I87" i="44"/>
  <c r="I88" i="44"/>
  <c r="I89" i="44"/>
  <c r="I100" i="44"/>
  <c r="I101" i="44"/>
  <c r="I102" i="44"/>
  <c r="I103" i="44"/>
  <c r="I104" i="44"/>
  <c r="N1" i="43"/>
  <c r="B13" i="43"/>
  <c r="Z13" i="43"/>
  <c r="Z14" i="43"/>
  <c r="B14" i="43" s="1"/>
  <c r="Z15" i="43"/>
  <c r="B15" i="43" s="1"/>
  <c r="Z16" i="43"/>
  <c r="B16" i="43" s="1"/>
  <c r="B18" i="43"/>
  <c r="B12" i="45" s="1"/>
  <c r="B7" i="45" s="1"/>
  <c r="Z18" i="43"/>
  <c r="B19" i="43"/>
  <c r="Z19" i="43"/>
  <c r="Z20" i="43"/>
  <c r="B20" i="43" s="1"/>
  <c r="Z21" i="43"/>
  <c r="B21" i="43" s="1"/>
  <c r="B22" i="43"/>
  <c r="Z22" i="43"/>
  <c r="B23" i="43"/>
  <c r="Z23" i="43"/>
  <c r="B24" i="43" s="1"/>
  <c r="Z24" i="43"/>
  <c r="Z25" i="43"/>
  <c r="B26" i="43" s="1"/>
  <c r="Z26" i="43"/>
  <c r="B27" i="43"/>
  <c r="Z27" i="43"/>
  <c r="B28" i="43"/>
  <c r="J12" i="42"/>
  <c r="B13" i="42"/>
  <c r="J13" i="42" s="1"/>
  <c r="S13" i="42"/>
  <c r="S14" i="42"/>
  <c r="B14" i="42" s="1"/>
  <c r="J14" i="42" s="1"/>
  <c r="B15" i="42"/>
  <c r="J15" i="42" s="1"/>
  <c r="S15" i="42"/>
  <c r="S16" i="42"/>
  <c r="B16" i="42" s="1"/>
  <c r="J16" i="42" s="1"/>
  <c r="S17" i="42"/>
  <c r="B17" i="42" s="1"/>
  <c r="J17" i="42" s="1"/>
  <c r="J18" i="42"/>
  <c r="S18" i="42"/>
  <c r="B18" i="42" s="1"/>
  <c r="S19" i="42"/>
  <c r="B19" i="42" s="1"/>
  <c r="J19" i="42" s="1"/>
  <c r="J30" i="42"/>
  <c r="J31" i="42"/>
  <c r="J32" i="42"/>
  <c r="B33" i="42"/>
  <c r="J33" i="42"/>
  <c r="B34" i="42"/>
  <c r="J34" i="42"/>
  <c r="B35" i="42"/>
  <c r="J35" i="42"/>
  <c r="J36" i="42"/>
  <c r="J37" i="42"/>
  <c r="J38" i="42"/>
  <c r="J39" i="42"/>
  <c r="J40" i="42"/>
  <c r="J41" i="42"/>
  <c r="J42" i="42"/>
  <c r="J43" i="42"/>
  <c r="J44" i="42"/>
  <c r="J45" i="42"/>
  <c r="J56" i="42"/>
  <c r="B57" i="42"/>
  <c r="J57" i="42" s="1"/>
  <c r="T57" i="42"/>
  <c r="T58" i="42"/>
  <c r="B58" i="42" s="1"/>
  <c r="J58" i="42" s="1"/>
  <c r="J59" i="42"/>
  <c r="T59" i="42"/>
  <c r="B59" i="42" s="1"/>
  <c r="T60" i="42"/>
  <c r="B60" i="42" s="1"/>
  <c r="J60" i="42" s="1"/>
  <c r="B61" i="42"/>
  <c r="J61" i="42" s="1"/>
  <c r="T61" i="42"/>
  <c r="B62" i="42"/>
  <c r="J62" i="42"/>
  <c r="T62" i="42"/>
  <c r="B63" i="42"/>
  <c r="J63" i="42"/>
  <c r="T63" i="42"/>
  <c r="T64" i="42"/>
  <c r="B64" i="42" s="1"/>
  <c r="J64" i="42" s="1"/>
  <c r="T65" i="42"/>
  <c r="B65" i="42" s="1"/>
  <c r="J65" i="42" s="1"/>
  <c r="T66" i="42"/>
  <c r="B66" i="42" s="1"/>
  <c r="J66" i="42" s="1"/>
  <c r="B67" i="42"/>
  <c r="J67" i="42" s="1"/>
  <c r="T67" i="42"/>
  <c r="T68" i="42"/>
  <c r="B68" i="42" s="1"/>
  <c r="J68" i="42" s="1"/>
  <c r="B69" i="42"/>
  <c r="J69" i="42"/>
  <c r="T69" i="42"/>
  <c r="T70" i="42"/>
  <c r="B70" i="42" s="1"/>
  <c r="J70" i="42" s="1"/>
  <c r="J12" i="41"/>
  <c r="J13" i="41"/>
  <c r="J14" i="41"/>
  <c r="B15" i="41"/>
  <c r="J15" i="41" s="1"/>
  <c r="B16" i="41"/>
  <c r="J16" i="41"/>
  <c r="B17" i="41"/>
  <c r="J17" i="41"/>
  <c r="J18" i="41"/>
  <c r="J19" i="41"/>
  <c r="J20" i="41"/>
  <c r="J21" i="41"/>
  <c r="J22" i="41"/>
  <c r="J23" i="41"/>
  <c r="J24" i="41"/>
  <c r="J25" i="41"/>
  <c r="J26" i="41"/>
  <c r="J27" i="41"/>
  <c r="J38" i="41"/>
  <c r="B39" i="41"/>
  <c r="J39" i="41" s="1"/>
  <c r="T39" i="41"/>
  <c r="T40" i="41"/>
  <c r="B40" i="41" s="1"/>
  <c r="J40" i="41" s="1"/>
  <c r="B41" i="41"/>
  <c r="J41" i="41"/>
  <c r="T41" i="41"/>
  <c r="T42" i="41"/>
  <c r="B42" i="41" s="1"/>
  <c r="J42" i="41" s="1"/>
  <c r="T43" i="41"/>
  <c r="B43" i="41" s="1"/>
  <c r="J43" i="41" s="1"/>
  <c r="B44" i="41"/>
  <c r="J44" i="41" s="1"/>
  <c r="T44" i="41"/>
  <c r="T45" i="41"/>
  <c r="B45" i="41" s="1"/>
  <c r="J45" i="41" s="1"/>
  <c r="T46" i="41"/>
  <c r="B46" i="41" s="1"/>
  <c r="J46" i="41" s="1"/>
  <c r="B47" i="41"/>
  <c r="J47" i="41" s="1"/>
  <c r="T47" i="41"/>
  <c r="T48" i="41"/>
  <c r="B48" i="41" s="1"/>
  <c r="J48" i="41" s="1"/>
  <c r="B49" i="41"/>
  <c r="J49" i="41"/>
  <c r="T49" i="41"/>
  <c r="T50" i="41"/>
  <c r="B50" i="41" s="1"/>
  <c r="J50" i="41" s="1"/>
  <c r="A12" i="39"/>
  <c r="B12" i="39"/>
  <c r="D12" i="39"/>
  <c r="F12" i="39"/>
  <c r="F111" i="39" s="1"/>
  <c r="O12" i="39"/>
  <c r="O111" i="39" s="1"/>
  <c r="J13" i="39"/>
  <c r="A24" i="39"/>
  <c r="B24" i="39"/>
  <c r="D24" i="39"/>
  <c r="D112" i="39" s="1"/>
  <c r="F24" i="39"/>
  <c r="F112" i="39" s="1"/>
  <c r="O24" i="39"/>
  <c r="O112" i="39" s="1"/>
  <c r="J25" i="39"/>
  <c r="J26" i="39"/>
  <c r="B37" i="39"/>
  <c r="D37" i="39"/>
  <c r="F37" i="39"/>
  <c r="F115" i="39" s="1"/>
  <c r="G37" i="39"/>
  <c r="G115" i="39" s="1"/>
  <c r="O37" i="39"/>
  <c r="O115" i="39" s="1"/>
  <c r="J38" i="39"/>
  <c r="J39" i="39"/>
  <c r="J40" i="39"/>
  <c r="J41" i="39"/>
  <c r="J42" i="39"/>
  <c r="J43" i="39"/>
  <c r="J44" i="39"/>
  <c r="A55" i="39"/>
  <c r="A116" i="39" s="1"/>
  <c r="B55" i="39"/>
  <c r="D55" i="39"/>
  <c r="D116" i="39" s="1"/>
  <c r="F55" i="39"/>
  <c r="G55" i="39"/>
  <c r="O55" i="39"/>
  <c r="J56" i="39"/>
  <c r="J57" i="39"/>
  <c r="J58" i="39"/>
  <c r="J59" i="39"/>
  <c r="A70" i="39"/>
  <c r="A117" i="39" s="1"/>
  <c r="B70" i="39"/>
  <c r="D70" i="39"/>
  <c r="D117" i="39" s="1"/>
  <c r="F70" i="39"/>
  <c r="G70" i="39"/>
  <c r="O70" i="39"/>
  <c r="O117" i="39" s="1"/>
  <c r="J71" i="39"/>
  <c r="J72" i="39"/>
  <c r="J73" i="39"/>
  <c r="J74" i="39"/>
  <c r="J75" i="39"/>
  <c r="A86" i="39"/>
  <c r="B86" i="39"/>
  <c r="D86" i="39"/>
  <c r="F86" i="39"/>
  <c r="F118" i="39" s="1"/>
  <c r="G86" i="39"/>
  <c r="G118" i="39" s="1"/>
  <c r="O86" i="39"/>
  <c r="O118" i="39" s="1"/>
  <c r="J87" i="39"/>
  <c r="A98" i="39"/>
  <c r="A119" i="39" s="1"/>
  <c r="B98" i="39"/>
  <c r="D98" i="39"/>
  <c r="D119" i="39" s="1"/>
  <c r="F98" i="39"/>
  <c r="F119" i="39" s="1"/>
  <c r="G98" i="39"/>
  <c r="G119" i="39" s="1"/>
  <c r="O98" i="39"/>
  <c r="O119" i="39" s="1"/>
  <c r="J99" i="39"/>
  <c r="A110" i="39"/>
  <c r="B110" i="39"/>
  <c r="D110" i="39"/>
  <c r="F110" i="39"/>
  <c r="O110" i="39"/>
  <c r="A111" i="39"/>
  <c r="D111" i="39"/>
  <c r="E111" i="39"/>
  <c r="G111" i="39"/>
  <c r="A112" i="39"/>
  <c r="E112" i="39"/>
  <c r="G112" i="39"/>
  <c r="A113" i="39"/>
  <c r="E113" i="39"/>
  <c r="O113" i="39"/>
  <c r="A114" i="39"/>
  <c r="E114" i="39"/>
  <c r="O114" i="39"/>
  <c r="A115" i="39"/>
  <c r="E115" i="39"/>
  <c r="E116" i="39"/>
  <c r="F116" i="39"/>
  <c r="G116" i="39"/>
  <c r="O116" i="39"/>
  <c r="E117" i="39"/>
  <c r="F117" i="39"/>
  <c r="G117" i="39"/>
  <c r="A118" i="39"/>
  <c r="D118" i="39"/>
  <c r="E118" i="39"/>
  <c r="E119" i="39"/>
  <c r="I22" i="36"/>
  <c r="B22" i="36"/>
  <c r="B14" i="36"/>
  <c r="B139" i="52" l="1"/>
  <c r="I139" i="52" s="1"/>
  <c r="P138" i="52"/>
  <c r="B138" i="52" s="1"/>
  <c r="I247" i="47"/>
  <c r="B242" i="47"/>
  <c r="B133" i="47"/>
  <c r="B109" i="47" s="1"/>
  <c r="I109" i="47" s="1"/>
  <c r="I138" i="47"/>
  <c r="B259" i="52"/>
  <c r="B50" i="52"/>
  <c r="B42" i="52"/>
  <c r="I42" i="52" s="1"/>
  <c r="B152" i="47"/>
  <c r="B12" i="51"/>
  <c r="B346" i="52"/>
  <c r="I351" i="52"/>
  <c r="R110" i="47"/>
  <c r="T110" i="47" s="1"/>
  <c r="B110" i="47" s="1"/>
  <c r="I110" i="47" s="1"/>
  <c r="AB17" i="43"/>
  <c r="Z17" i="43" s="1"/>
  <c r="B17" i="43" s="1"/>
  <c r="I276" i="47"/>
  <c r="B179" i="52"/>
  <c r="I184" i="52"/>
  <c r="B34" i="46"/>
  <c r="J34" i="46" s="1"/>
  <c r="B35" i="46"/>
  <c r="J35" i="46" s="1"/>
  <c r="B36" i="46"/>
  <c r="J36" i="46" s="1"/>
  <c r="B40" i="50"/>
  <c r="B43" i="46"/>
  <c r="B12" i="46" s="1"/>
  <c r="B211" i="47"/>
  <c r="I216" i="47"/>
  <c r="P154" i="47"/>
  <c r="B154" i="47" s="1"/>
  <c r="I154" i="47" s="1"/>
  <c r="I308" i="47"/>
  <c r="P139" i="47"/>
  <c r="B139" i="47" s="1"/>
  <c r="I139" i="47" s="1"/>
  <c r="J48" i="51"/>
  <c r="B228" i="52"/>
  <c r="P153" i="52" s="1"/>
  <c r="B153" i="52" s="1"/>
  <c r="I153" i="52" s="1"/>
  <c r="B147" i="52"/>
  <c r="B54" i="38"/>
  <c r="I54" i="38" s="1"/>
  <c r="B53" i="38"/>
  <c r="I53" i="38" s="1"/>
  <c r="F52" i="38"/>
  <c r="C52" i="38"/>
  <c r="B52" i="38"/>
  <c r="I52" i="38" s="1"/>
  <c r="A52" i="38"/>
  <c r="B41" i="38"/>
  <c r="I41" i="38" s="1"/>
  <c r="B40" i="38"/>
  <c r="I40" i="38" s="1"/>
  <c r="I39" i="38"/>
  <c r="F39" i="38"/>
  <c r="C39" i="38"/>
  <c r="B39" i="38"/>
  <c r="A39" i="38"/>
  <c r="B28" i="38"/>
  <c r="I28" i="38" s="1"/>
  <c r="B27" i="38"/>
  <c r="I27" i="38" s="1"/>
  <c r="I26" i="38"/>
  <c r="F26" i="38"/>
  <c r="C26" i="38"/>
  <c r="B26" i="38"/>
  <c r="A26" i="38"/>
  <c r="I12" i="38"/>
  <c r="F12" i="38"/>
  <c r="C12" i="38"/>
  <c r="B12" i="38"/>
  <c r="A12" i="38"/>
  <c r="Q8" i="38"/>
  <c r="B15" i="38" s="1"/>
  <c r="I15" i="38" s="1"/>
  <c r="Q7" i="38"/>
  <c r="B14" i="38" s="1"/>
  <c r="I14" i="38" s="1"/>
  <c r="Q6" i="38"/>
  <c r="B13" i="38" s="1"/>
  <c r="I13" i="38" s="1"/>
  <c r="Q5" i="38"/>
  <c r="I200" i="37"/>
  <c r="F199" i="37"/>
  <c r="C199" i="37"/>
  <c r="B199" i="37"/>
  <c r="I199" i="37" s="1"/>
  <c r="A199" i="37"/>
  <c r="I188" i="37"/>
  <c r="B188" i="37"/>
  <c r="I187" i="37"/>
  <c r="B187" i="37"/>
  <c r="B186" i="37"/>
  <c r="I186" i="37" s="1"/>
  <c r="B185" i="37"/>
  <c r="I185" i="37" s="1"/>
  <c r="B182" i="37"/>
  <c r="I182" i="37" s="1"/>
  <c r="I181" i="37"/>
  <c r="I180" i="37"/>
  <c r="F180" i="37"/>
  <c r="C180" i="37"/>
  <c r="B180" i="37"/>
  <c r="A180" i="37"/>
  <c r="B169" i="37"/>
  <c r="I169" i="37" s="1"/>
  <c r="B168" i="37"/>
  <c r="I168" i="37" s="1"/>
  <c r="B167" i="37"/>
  <c r="I167" i="37" s="1"/>
  <c r="B166" i="37"/>
  <c r="I166" i="37" s="1"/>
  <c r="B164" i="37"/>
  <c r="I164" i="37" s="1"/>
  <c r="B163" i="37"/>
  <c r="I163" i="37" s="1"/>
  <c r="I162" i="37"/>
  <c r="F161" i="37"/>
  <c r="C161" i="37"/>
  <c r="B161" i="37"/>
  <c r="I161" i="37" s="1"/>
  <c r="A161" i="37"/>
  <c r="B150" i="37"/>
  <c r="I150" i="37" s="1"/>
  <c r="B149" i="37"/>
  <c r="I149" i="37" s="1"/>
  <c r="B148" i="37"/>
  <c r="I148" i="37" s="1"/>
  <c r="B147" i="37"/>
  <c r="I147" i="37" s="1"/>
  <c r="B144" i="37"/>
  <c r="I144" i="37" s="1"/>
  <c r="I143" i="37"/>
  <c r="I142" i="37"/>
  <c r="F142" i="37"/>
  <c r="C142" i="37"/>
  <c r="B142" i="37"/>
  <c r="A142" i="37"/>
  <c r="B130" i="37"/>
  <c r="I128" i="37"/>
  <c r="F128" i="37"/>
  <c r="C128" i="37"/>
  <c r="B128" i="37"/>
  <c r="A128" i="37"/>
  <c r="B116" i="37"/>
  <c r="I116" i="37" s="1"/>
  <c r="B115" i="37"/>
  <c r="I113" i="37"/>
  <c r="F113" i="37"/>
  <c r="C113" i="37"/>
  <c r="B113" i="37"/>
  <c r="A113" i="37"/>
  <c r="B102" i="37"/>
  <c r="I102" i="37" s="1"/>
  <c r="B101" i="37"/>
  <c r="I101" i="37" s="1"/>
  <c r="B100" i="37"/>
  <c r="F98" i="37"/>
  <c r="C98" i="37"/>
  <c r="B98" i="37"/>
  <c r="I98" i="37" s="1"/>
  <c r="A98" i="37"/>
  <c r="I87" i="37"/>
  <c r="I86" i="37"/>
  <c r="I85" i="37"/>
  <c r="I84" i="37"/>
  <c r="I83" i="37"/>
  <c r="I82" i="37"/>
  <c r="I81" i="37"/>
  <c r="I80" i="37"/>
  <c r="F80" i="37"/>
  <c r="C80" i="37"/>
  <c r="B80" i="37"/>
  <c r="A80" i="37"/>
  <c r="B69" i="37"/>
  <c r="I69" i="37" s="1"/>
  <c r="I68" i="37"/>
  <c r="F68" i="37"/>
  <c r="C68" i="37"/>
  <c r="B68" i="37"/>
  <c r="A68" i="37"/>
  <c r="B56" i="37"/>
  <c r="I56" i="37" s="1"/>
  <c r="I55" i="37"/>
  <c r="F54" i="37"/>
  <c r="C54" i="37"/>
  <c r="B54" i="37"/>
  <c r="I54" i="37" s="1"/>
  <c r="A54" i="37"/>
  <c r="B43" i="37"/>
  <c r="I43" i="37" s="1"/>
  <c r="I42" i="37"/>
  <c r="B42" i="37"/>
  <c r="I41" i="37"/>
  <c r="B41" i="37"/>
  <c r="I40" i="37"/>
  <c r="F39" i="37"/>
  <c r="C39" i="37"/>
  <c r="B39" i="37"/>
  <c r="I39" i="37" s="1"/>
  <c r="A39" i="37"/>
  <c r="I28" i="37"/>
  <c r="I27" i="37"/>
  <c r="I26" i="37"/>
  <c r="F25" i="37"/>
  <c r="C25" i="37"/>
  <c r="B25" i="37"/>
  <c r="I25" i="37" s="1"/>
  <c r="A25" i="37"/>
  <c r="I14" i="37"/>
  <c r="I13" i="37"/>
  <c r="F12" i="37"/>
  <c r="C12" i="37"/>
  <c r="B12" i="37"/>
  <c r="I12" i="37" s="1"/>
  <c r="A12" i="37"/>
  <c r="P7" i="37"/>
  <c r="B184" i="37" s="1"/>
  <c r="I184" i="37" s="1"/>
  <c r="I46" i="36"/>
  <c r="F45" i="36"/>
  <c r="C45" i="36"/>
  <c r="B45" i="36"/>
  <c r="I45" i="36" s="1"/>
  <c r="A45" i="36"/>
  <c r="I34" i="36"/>
  <c r="F33" i="36"/>
  <c r="C33" i="36"/>
  <c r="B33" i="36"/>
  <c r="I33" i="36" s="1"/>
  <c r="A33" i="36"/>
  <c r="B20" i="36"/>
  <c r="I20" i="36" s="1"/>
  <c r="B19" i="36"/>
  <c r="I19" i="36" s="1"/>
  <c r="I18" i="36"/>
  <c r="I17" i="36"/>
  <c r="B16" i="36"/>
  <c r="I16" i="36" s="1"/>
  <c r="I15" i="36"/>
  <c r="F12" i="36"/>
  <c r="C12" i="36"/>
  <c r="B12" i="36"/>
  <c r="I12" i="36" s="1"/>
  <c r="A12" i="36"/>
  <c r="Q7" i="36"/>
  <c r="B21" i="36" s="1"/>
  <c r="I21" i="36" s="1"/>
  <c r="Q6" i="36"/>
  <c r="B13" i="36" s="1"/>
  <c r="I13" i="36" s="1"/>
  <c r="Q5" i="36"/>
  <c r="B7" i="46" l="1"/>
  <c r="B25" i="43" s="1"/>
  <c r="J12" i="46"/>
  <c r="J12" i="51"/>
  <c r="B7" i="51"/>
  <c r="B24" i="48" s="1"/>
  <c r="N33" i="48" s="1"/>
  <c r="B235" i="47"/>
  <c r="I235" i="47" s="1"/>
  <c r="P235" i="47"/>
  <c r="I259" i="52"/>
  <c r="B254" i="52"/>
  <c r="B234" i="52" s="1"/>
  <c r="I234" i="52" s="1"/>
  <c r="B147" i="47"/>
  <c r="I152" i="47"/>
  <c r="N33" i="43"/>
  <c r="I138" i="52"/>
  <c r="B133" i="52"/>
  <c r="B109" i="52" s="1"/>
  <c r="I109" i="52" s="1"/>
  <c r="B117" i="37"/>
  <c r="I117" i="37" s="1"/>
  <c r="B131" i="37"/>
  <c r="I131" i="37" s="1"/>
  <c r="B165" i="37"/>
  <c r="I165" i="37" s="1"/>
  <c r="B57" i="37"/>
  <c r="I57" i="37" s="1"/>
  <c r="B145" i="37"/>
  <c r="I145" i="37" s="1"/>
  <c r="B183" i="37"/>
  <c r="I183" i="37" s="1"/>
  <c r="B146" i="37"/>
  <c r="I146" i="37" s="1"/>
  <c r="B35" i="35" l="1"/>
  <c r="B19" i="35"/>
  <c r="I35" i="35" l="1"/>
  <c r="I34" i="35"/>
  <c r="I33" i="35"/>
  <c r="B32" i="35"/>
  <c r="B31" i="35"/>
  <c r="A30" i="35"/>
  <c r="I19" i="35"/>
  <c r="I17" i="35"/>
  <c r="B16" i="35"/>
  <c r="B15" i="35"/>
  <c r="A14" i="35"/>
  <c r="N1" i="35"/>
  <c r="B120" i="31" l="1"/>
  <c r="B57" i="29"/>
  <c r="B58" i="29"/>
  <c r="B59" i="29"/>
  <c r="B60" i="29"/>
  <c r="B61" i="29"/>
  <c r="B62" i="29"/>
  <c r="B63" i="29"/>
  <c r="B64" i="29"/>
  <c r="B124" i="31"/>
  <c r="B123" i="31"/>
  <c r="B122" i="31"/>
  <c r="B121" i="31"/>
  <c r="B119" i="31"/>
  <c r="B118" i="31"/>
  <c r="B117" i="31"/>
  <c r="B105" i="31"/>
  <c r="B104" i="31"/>
  <c r="B103" i="31"/>
  <c r="B102" i="31"/>
  <c r="B101" i="31"/>
  <c r="B100" i="31"/>
  <c r="B87" i="31"/>
  <c r="B86" i="31"/>
  <c r="B85" i="31"/>
  <c r="B73" i="31"/>
  <c r="B72" i="31"/>
  <c r="B71" i="31"/>
  <c r="B109" i="29"/>
  <c r="B108" i="29"/>
  <c r="B107" i="29"/>
  <c r="B106" i="29"/>
  <c r="B105" i="29"/>
  <c r="B25" i="29"/>
  <c r="B23" i="29"/>
  <c r="B22" i="29"/>
  <c r="B21" i="29"/>
  <c r="B20" i="29"/>
  <c r="I61" i="29" l="1"/>
  <c r="I62" i="29"/>
  <c r="I63" i="29"/>
  <c r="I64" i="29"/>
  <c r="B65" i="29"/>
  <c r="I65" i="29" s="1"/>
  <c r="I60" i="29"/>
  <c r="I59" i="29"/>
  <c r="I58" i="29"/>
  <c r="I57" i="29"/>
  <c r="I93" i="33" l="1"/>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39" i="29" l="1"/>
  <c r="I138" i="29"/>
  <c r="I137" i="29"/>
  <c r="I136" i="29"/>
  <c r="I124" i="29"/>
  <c r="I123" i="29"/>
  <c r="I122" i="29"/>
  <c r="I121" i="29"/>
  <c r="I109" i="29"/>
  <c r="I108" i="29"/>
  <c r="I107" i="29"/>
  <c r="I106" i="29"/>
  <c r="I105" i="29"/>
  <c r="I91" i="29"/>
  <c r="I92" i="29"/>
  <c r="I93" i="29"/>
  <c r="I79" i="29"/>
  <c r="I78" i="29"/>
  <c r="I7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<sst xmlns="http://schemas.openxmlformats.org/spreadsheetml/2006/main" count="45557" uniqueCount="1886">
  <si>
    <t>cutoff</t>
  </si>
  <si>
    <t>Database</t>
  </si>
  <si>
    <t>GENESIS_2050_SOFC-bat_Base</t>
  </si>
  <si>
    <t>format</t>
  </si>
  <si>
    <t>Excel spreadsheet</t>
  </si>
  <si>
    <t>Activity</t>
  </si>
  <si>
    <t>aircraft usage, design mission, SOFC-bat</t>
  </si>
  <si>
    <t>categories</t>
  </si>
  <si>
    <t>Use</t>
  </si>
  <si>
    <t>code</t>
  </si>
  <si>
    <t>0808F060E0F94D1BB0380DFA4A9065F5</t>
  </si>
  <si>
    <t>comment</t>
  </si>
  <si>
    <t>Table B1 of GENESIS_LCI_powerplant_long-term_SOFC-bat_v01.xlsx.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</si>
  <si>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</si>
  <si>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</si>
  <si>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</si>
  <si>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</si>
  <si>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</si>
  <si>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</si>
  <si>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</si>
  <si>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</si>
  <si>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</si>
  <si>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</si>
  <si>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</si>
  <si>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</si>
  <si>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</si>
  <si>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</si>
  <si>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</si>
  <si>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</si>
  <si>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</si>
  <si>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</si>
  <si>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</si>
  <si>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SOFC-bat</t>
  </si>
  <si>
    <t>technosphere</t>
  </si>
  <si>
    <t>airport use</t>
  </si>
  <si>
    <t>RER</t>
  </si>
  <si>
    <t>hydrogen at airport</t>
  </si>
  <si>
    <t>kilogram</t>
  </si>
  <si>
    <t>market group for electricity, low voltage</t>
  </si>
  <si>
    <t>kilowatt hour</t>
  </si>
  <si>
    <t>ecoinvent_remind_SSP2_Base_2050</t>
  </si>
  <si>
    <t>Water</t>
  </si>
  <si>
    <t>cubic meter</t>
  </si>
  <si>
    <t>biosphere3</t>
  </si>
  <si>
    <t>air</t>
  </si>
  <si>
    <t>biosphere</t>
  </si>
  <si>
    <t>aircraft usage, typical mission, SOFC-bat</t>
  </si>
  <si>
    <t>17D40CF28F3748DD8B56ED861593DA72</t>
  </si>
  <si>
    <t>Table B2 of GENESIS_LCI_powerplant_long-term_SOFC-bat_v01.xlsx. 1 unit corresponds to 1 flight over 378.057 km (design mission) with 50 passengers</t>
  </si>
  <si>
    <t>Airframe</t>
  </si>
  <si>
    <t>C6441B6A6002477888AADE6F0853A0E3</t>
  </si>
  <si>
    <t>Table 00 of GENESIS_LCI_airframe_long-term_SOFC-bat_v01.xlsx. 1 unit corresponds to 20381.6 kg of airframe structure</t>
  </si>
  <si>
    <t>Production of powerplant, SOFC-bat, long term</t>
  </si>
  <si>
    <t>production of structure/airframe, SOFC-bat</t>
  </si>
  <si>
    <t>production of systems, SOFC-bat</t>
  </si>
  <si>
    <t>production of furnishing, SOFC-bat</t>
  </si>
  <si>
    <t>production of operative equipment, SOFC-bat</t>
  </si>
  <si>
    <t>Decommissioning of aircraft, SOFC-bat, Long-Term</t>
  </si>
  <si>
    <t>EoL, SOFC-bat, Long-Term</t>
  </si>
  <si>
    <t>GLO</t>
  </si>
  <si>
    <t>Aircraft</t>
  </si>
  <si>
    <t>7754647F37D14FE1BFC7948D227502D5</t>
  </si>
  <si>
    <t>Table 0 of GENESIS_LCI_airframe_long-term_SOFC-bat_v01.xlsx. 1 unit corresponds to 8809.8 kg of airframe structure</t>
  </si>
  <si>
    <t>production of wings and control surfaces for airframe, SOFC-bat</t>
  </si>
  <si>
    <t>production of horizontal Tail for airframe, SOFC-bat</t>
  </si>
  <si>
    <t>production of vertical Tail for airframe, SOFC-bat</t>
  </si>
  <si>
    <t>production of fuselage for airframe, SOFC-bat</t>
  </si>
  <si>
    <t>production of main undercarriage for airframe, SOFC-bat</t>
  </si>
  <si>
    <t>production of nose undercarriage for airframe, SOFC-bat</t>
  </si>
  <si>
    <t>market for natural gas, high pressure</t>
  </si>
  <si>
    <t>market group for heat, district or industrial, natural gas</t>
  </si>
  <si>
    <t>megajoule</t>
  </si>
  <si>
    <t>market for diesel</t>
  </si>
  <si>
    <t>market for kerosene</t>
  </si>
  <si>
    <t>Europe without Switzerland</t>
  </si>
  <si>
    <t>market group for tap water</t>
  </si>
  <si>
    <t>market for wastewater, average</t>
  </si>
  <si>
    <t>Carbon dioxide, fossil</t>
  </si>
  <si>
    <t>VOC, volatile organic compounds, unspecified origin</t>
  </si>
  <si>
    <t>Sulfur oxides</t>
  </si>
  <si>
    <t>Nitrogen oxides</t>
  </si>
  <si>
    <t>treatment of waste plastic, industrial electronics, municipal incineration</t>
  </si>
  <si>
    <t>RoW</t>
  </si>
  <si>
    <t>757FE4CA57214692BF66D9E233FB0352</t>
  </si>
  <si>
    <t>Table 1 of GENESIS_LCI_airframe_long-term_SOFC-bat_v01.xlsx. 1 unit corresponds to 4248.9 kg of airframe structure</t>
  </si>
  <si>
    <t>market for aluminium alloy, AlMg3</t>
  </si>
  <si>
    <t>market for reinforcing steel</t>
  </si>
  <si>
    <t>production of biofibre composite, SOFC-bat</t>
  </si>
  <si>
    <t>market for titanium</t>
  </si>
  <si>
    <t>2B35F484AA7E44329EADC1234E52FB35</t>
  </si>
  <si>
    <t>Table 1.1 of GENESIS_LCI_airframe_medium-term_SOFC-bat_v01.xlsx</t>
  </si>
  <si>
    <t>market for fibre, flax</t>
  </si>
  <si>
    <t>market for epoxy resin, liquid</t>
  </si>
  <si>
    <t>market for nylon 6-6</t>
  </si>
  <si>
    <t>market for polyethylene terephthalate, granulate, amorphous</t>
  </si>
  <si>
    <t>market for tetrafluoroethylene</t>
  </si>
  <si>
    <t>market for solvent, organic</t>
  </si>
  <si>
    <t>market for carbon fibre reinforced plastic, injection moulded</t>
  </si>
  <si>
    <t>market for polyurethane, flexible foam, flame retardant</t>
  </si>
  <si>
    <t>6B6DF32EB55D49238D50AAD6C4AC8BDD</t>
  </si>
  <si>
    <t>Table 2 of GENESIS_LCI_airframe_long-term_SOFC-bat_v01.xlsx. 1 unit corresponds to 187.8 kg of the horizontal tail</t>
  </si>
  <si>
    <t>market for glass fibre reinforced plastic, polyamide, injection moulded</t>
  </si>
  <si>
    <t>3A80C07AF6C5473088039AAF61C948F4</t>
  </si>
  <si>
    <t>Table 3 of GENESIS_LCI_airframe_long-term_SOFC-bat_v01.xlsx. 1 unit corresponds to 268.9 kg of the vertical tail</t>
  </si>
  <si>
    <t>ED3007A1D51B45278F2AEAD3BF942720</t>
  </si>
  <si>
    <t>Table 4 of GENESIS_LCI_airframe_long-term_SOFC-bat_v01.xlsx. 1 unit corresponds to 3129.6 kg of the fuselage. Amount of misc material distributed evenly on the remaining materials</t>
  </si>
  <si>
    <t>35736FC7F12B419EB1B0DEBA9BBFF1CD</t>
  </si>
  <si>
    <t>Table 5 of GENESIS_LCI_airframe_long-term_SOFC-bat_v01.xlsx. 1 unit corresponds to 932 kg of the main undercarriage.</t>
  </si>
  <si>
    <t>9EA592E309894BC7A1CC12F214C973C7</t>
  </si>
  <si>
    <t>Table 5 of GENESIS_LCI_airframe_medium-term_SOFC-bat_v01.xlsx. 1 unit corresponds to 202.6 kg of the nose undercarriage.</t>
  </si>
  <si>
    <t>F15B520F7A87441AAC540D9CCBA6F59E</t>
  </si>
  <si>
    <t>Table 7 of GENESIS_LCI_airframe_long-term_SOFC-bat_v01.xlsx. 1 unit corresponds to 2949.6 kg of systems</t>
  </si>
  <si>
    <t>production of air conditioning system for systems, SOFC-bat</t>
  </si>
  <si>
    <t>production of electrical systems for systems, SOFC-bat</t>
  </si>
  <si>
    <t>production of pneumatic/hydraulic systems for systems, SOFC-bat</t>
  </si>
  <si>
    <t>production of instruments for systems, SOFC-bat</t>
  </si>
  <si>
    <t>production of APU for systems, SOFC-bat</t>
  </si>
  <si>
    <t>Systems</t>
  </si>
  <si>
    <t>F250EF2D0725415CAB4A2B5A2550CE5A</t>
  </si>
  <si>
    <t>Table 10 of GENESIS_LCI_airframe_long-term_SOFC-bat_v01.xlsx. 1 unit corresponds to 750.8 kg of the AC system.</t>
  </si>
  <si>
    <t>market for copper, cathode</t>
  </si>
  <si>
    <t>market for polypropylene, granulate</t>
  </si>
  <si>
    <t>86B7D2AF21DE43A4B9B7088D7EF1D6CB</t>
  </si>
  <si>
    <t>Table 7 of GENESIS_LCI_airframe_long-term_SOFC-bat_v01.xlsx. 1 unit corresponds to 995.6 kg of the electrical systems.</t>
  </si>
  <si>
    <t>market for electronics, for control units</t>
  </si>
  <si>
    <t>D87F785724E042868AB749C1778D1A35</t>
  </si>
  <si>
    <t>Table 11 of GENESIS_LCI_airframe_long-term_SOFC-bat_v01.xlsx. 1 unit corresponds to 550.400 kg of the pneumatic/hydraulic systems.</t>
  </si>
  <si>
    <t>production of valves for pneumatic/hydraulic systems, SOFC-bat</t>
  </si>
  <si>
    <t>production of filters for pneumatic/hydraulic systems, SOFC-bat</t>
  </si>
  <si>
    <t>production of pumps for pneumatic/hydraulic systems, SOFC-bat</t>
  </si>
  <si>
    <t>production of lines/pipes for pneumatic/hydraulic systems, SOFC-bat</t>
  </si>
  <si>
    <t>Pneumatic/hydraulic systems</t>
  </si>
  <si>
    <t>07B1AE8A3A794F409E0FAC2C9283E4BC</t>
  </si>
  <si>
    <t>Table 11 of GENESIS_LCI_airframe_long-term_SOFC-bat_v01.xlsx. 1 unit corresponds to 130.720 kg of the valves.</t>
  </si>
  <si>
    <t>market for steel, low-alloyed</t>
  </si>
  <si>
    <t>treatment of waste reinforcement steel, recycling</t>
  </si>
  <si>
    <t>substitution</t>
  </si>
  <si>
    <t>7964A55B9A7C49DE8684966D1870C8C1</t>
  </si>
  <si>
    <t>Table 11 of GENESIS_LCI_airframe_long-term_SOFC-bat_v01.xlsx. 1 unit corresponds to 48.160 kg of the filters.</t>
  </si>
  <si>
    <t>market for cellulose fibre</t>
  </si>
  <si>
    <t>88141BF49F9A406181FD989C39EE9DF7</t>
  </si>
  <si>
    <t>Table 11 of GENESIS_LCI_airframe_long-term_SOFC-bat_v01.xlsx. 1 unit corresponds to 130.720 kg of the pumps.</t>
  </si>
  <si>
    <t>treatment of aluminium scrap, post-consumer, prepared for recycling, at remelter</t>
  </si>
  <si>
    <t>4255E2D0AC6F4230B9FB11D941A5A976</t>
  </si>
  <si>
    <t>Table 11 of GENESIS_LCI_airframe_long-term_SOFC-bat_v01.xlsx. 1 unit corresponds to 240.800 kg of the lines/pipes.</t>
  </si>
  <si>
    <t>market for synthetic rubber</t>
  </si>
  <si>
    <t>treatment of waste rubber, unspecified, municipal incineration</t>
  </si>
  <si>
    <t>6BEE9EE8E1614C5EA8658CF080FD43EE</t>
  </si>
  <si>
    <t>Table 7 of GENESIS_LCI_airframe_long-term_SOFC-bat_v01.xlsx. 1 unit corresponds to 471.2 kg of the instruments.</t>
  </si>
  <si>
    <t>68974D131C0D45B48A59A439A14E562B</t>
  </si>
  <si>
    <t>Table 12 of GENESIS_LCI_airframe_long-term_SOFC-bat_v01.xlsx. 1 unit corresponds to 181.6 kg of the APU.</t>
  </si>
  <si>
    <t>market for magnesium-alloy, AZ91</t>
  </si>
  <si>
    <t>market for iron-nickel-chromium alloy</t>
  </si>
  <si>
    <t>34D5621629674A92A6E709A7E5624082</t>
  </si>
  <si>
    <t>Table 8 of GENESIS_LCI_airframe_long-term_SOFC-bat_v01.xlsx. 1 unit corresponds to 1262.5 kg of furnishing</t>
  </si>
  <si>
    <t>market for nylon 6</t>
  </si>
  <si>
    <t>market for fibre, viscose</t>
  </si>
  <si>
    <t>F841B7C6F49947BE8CA6AA54C3138B5C</t>
  </si>
  <si>
    <t>Table 9 of GENESIS_LCI_airframe_long-term_SOFC-bat_v01.xlsx.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</si>
  <si>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</si>
  <si>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</si>
  <si>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</si>
  <si>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</si>
  <si>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</si>
  <si>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</si>
  <si>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</si>
  <si>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</si>
  <si>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GENESIS_LCI_airframe_long-term_SOFC-bat_v01.xlsx. 1 unit corresponds to 19 kg of trolleys</t>
  </si>
  <si>
    <t>9A62A69E58654EB0A6FCE9AA42854760</t>
  </si>
  <si>
    <t>Table 9 of GENESIS_LCI_airframe_long-term_SOFC-bat_v01.xlsx. 1 unit corresponds to 301.190 kg of galley</t>
  </si>
  <si>
    <t>8A93430D2E8149A58246FB4CD9022F90</t>
  </si>
  <si>
    <t>Table 9 of GENESIS_LCI_airframe_long-term_SOFC-bat_v01.xlsx. 1 unit corresponds to 10 kg of Manuals</t>
  </si>
  <si>
    <t>market for printed paper</t>
  </si>
  <si>
    <t>EDB7566B606C4485AA21094DDD474EC5</t>
  </si>
  <si>
    <t>Table 9 of GENESIS_LCI_airframe_long-term_SOFC-bat_v01.xlsx. 1 unit corresponds to 18.060 kg of fire extinguishers</t>
  </si>
  <si>
    <t>market for 1,1-difluoroethane, HFC-152a</t>
  </si>
  <si>
    <t>as proxy for HFC-227</t>
  </si>
  <si>
    <t>93FF1FC5E2954585AF303666E74C451B</t>
  </si>
  <si>
    <t>Table 9 of GENESIS_LCI_airframe_long-term_SOFC-bat_v01.xlsx. 1 unit corresponds to 21 kg of oxygen masks</t>
  </si>
  <si>
    <t>market for silicone product</t>
  </si>
  <si>
    <t>market for polyvinylchloride, emulsion polymerised</t>
  </si>
  <si>
    <t>49FF7F6BE6524F7FB7816DACBDE2BABB</t>
  </si>
  <si>
    <t>Table 9 of GENESIS_LCI_airframe_long-term_SOFC-bat_v01.xlsx. 1 unit corresponds to 61.6 kg of life vests</t>
  </si>
  <si>
    <t>B6D66AACBB2B41AFB9172182356FD3E0</t>
  </si>
  <si>
    <t>decomissioning master process for aiframe, powerplant and power electronics and drives</t>
  </si>
  <si>
    <t>full names</t>
  </si>
  <si>
    <t>reference product</t>
  </si>
  <si>
    <t>comment 2</t>
  </si>
  <si>
    <t>h2 EoL, SOFC-bat, Long-Term</t>
  </si>
  <si>
    <t>treatment of circuit components, EoL power electronics, SOFC-bat, Long-Term</t>
  </si>
  <si>
    <t>power electronics EoL, SOFC-bat, Long-Term</t>
  </si>
  <si>
    <t>0B026F4BD4F54D3999A0054B81ADD1C4</t>
  </si>
  <si>
    <t>EoL for all connectors, transformers, capacitors, circuits, inductors, diodes, transistors and resistors</t>
  </si>
  <si>
    <t>EoL power electronics, SOFC-bat, Long-Term</t>
  </si>
  <si>
    <t>treatment of electronics scrap from control units</t>
  </si>
  <si>
    <t>sum of all connectors, transformers, capacitors, circuits, inductors, diodes, transistors and resistors in 2050 (see skipped power elec EoL calculation sheet)</t>
  </si>
  <si>
    <t>no crediting only treatment</t>
  </si>
  <si>
    <t>treatment of metals, EoL power electronics, SOFC-bat, Long-Term</t>
  </si>
  <si>
    <t>12066AF854CC4A9FA554E115ED13AEFA</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</si>
  <si>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</si>
  <si>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</si>
  <si>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</si>
  <si>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</si>
  <si>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</si>
  <si>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</si>
  <si>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</si>
  <si>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</si>
  <si>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</si>
  <si>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</si>
  <si>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</si>
  <si>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</si>
  <si>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</si>
  <si>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 EoL power electronics, SOFC-bat, Long-Term</t>
  </si>
  <si>
    <t>4B301F07A8BD4325907400BEFEA65D15</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</si>
  <si>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</si>
  <si>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</si>
  <si>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</si>
  <si>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</si>
  <si>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</si>
  <si>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heat recovery from plastic packaging, We assume 50% of electricity recovery LHV = 34,78 MJ/kg</t>
  </si>
  <si>
    <t>treatment of remaining material components, EoL power electronics, SOFC-bat, Long-Term</t>
  </si>
  <si>
    <t>D70DA4533FE3459E89FD0D7938EC61C8</t>
  </si>
  <si>
    <t xml:space="preserve">all other materials: Silicon, Glass fiber, paint, Epoxy resin, nylon </t>
  </si>
  <si>
    <t>market for hazardous waste, for incineration</t>
  </si>
  <si>
    <t>no el, or heat  recovery</t>
  </si>
  <si>
    <t>treatment of power electronics, EoL power electronics, SOFC-bat, Long-Term</t>
  </si>
  <si>
    <t>D3DF0E1E6E474AFCABF81F734CF902B5</t>
  </si>
  <si>
    <t>main process</t>
  </si>
  <si>
    <t>treatment of scrap printed wiring boards, shredding and separation</t>
  </si>
  <si>
    <t>assumed proxy for dismantling - weight corresponds to total weight of all power electronics</t>
  </si>
  <si>
    <t>treatment of steel, motors and drives, SOFC-bat, Long-Term</t>
  </si>
  <si>
    <t>motors and drives EoL, SOFC-bat, Long-Term</t>
  </si>
  <si>
    <t>35BA6E1283674C4EA4EA413AF84C199A</t>
  </si>
  <si>
    <t>process used for both motor and generator</t>
  </si>
  <si>
    <t>motors and drives, SOFC-bat, Long-Term</t>
  </si>
  <si>
    <t>recycled steel - 80%</t>
  </si>
  <si>
    <t>assumption from EoL provided in Engine/pamela project</t>
  </si>
  <si>
    <t>market for steel, low-alloyed, hot rolled</t>
  </si>
  <si>
    <t>remaining 20% slag to landfill</t>
  </si>
  <si>
    <t>treatment of aluminium, motors and drives, SOFC-bat, Long-Term</t>
  </si>
  <si>
    <t>5584F714CC86496B9A90E13B447CE364</t>
  </si>
  <si>
    <t>assuming same EoL percentages as specified for engine for steel in pamela project</t>
  </si>
  <si>
    <t>treatment of copper, motors and drives, SOFC-bat, Long-Term</t>
  </si>
  <si>
    <t>EC67F00BF858418CA8D59C38FCBAE5FF</t>
  </si>
  <si>
    <t>treatment of permanent magnet, motors and drives, SOFC-bat, Long-Term</t>
  </si>
  <si>
    <t>2119FA3D805A493C852D6D9BFAD54571</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</si>
  <si>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</si>
  <si>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</si>
  <si>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</si>
  <si>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</si>
  <si>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</si>
  <si>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</si>
  <si>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</si>
  <si>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</si>
  <si>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motor, motors and drives, SOFC-bat, Long-Term</t>
  </si>
  <si>
    <t>BE9ACB4F0705401A88340D150C94ED4E</t>
  </si>
  <si>
    <t>motors EoL</t>
  </si>
  <si>
    <t>treatment of motors and drives, SOFC-bat, Long-Term</t>
  </si>
  <si>
    <t>FFF2F5BB3A1C4E1A8CEA322CE399DBAA</t>
  </si>
  <si>
    <t>EoL for motors and drives</t>
  </si>
  <si>
    <t>treatment of titanium,powerplant, SOFC-bat, Long-Term</t>
  </si>
  <si>
    <t>powerplant EoL, SOFC-bat, Long-Term</t>
  </si>
  <si>
    <t>F84F151B2D7A47A5BD45842F5907C40D</t>
  </si>
  <si>
    <t>powerplant</t>
  </si>
  <si>
    <t>from pamela: 50% recycled and 50% landfilled</t>
  </si>
  <si>
    <t>market group for electricity, medium voltage</t>
  </si>
  <si>
    <t>waste amounts= input mass*ratio - input mass</t>
  </si>
  <si>
    <t>assumed proxy LHV: 114MJ/kg, Rupcic et al. https://doi.org/10.1016/j.cirp.2022.04.047 , 50% goes to be melted and recycled</t>
  </si>
  <si>
    <t>-</t>
  </si>
  <si>
    <t>60% el</t>
  </si>
  <si>
    <t>MJ</t>
  </si>
  <si>
    <t>kWh</t>
  </si>
  <si>
    <t>World</t>
  </si>
  <si>
    <t>40% natural gas</t>
  </si>
  <si>
    <t>m3</t>
  </si>
  <si>
    <t>kg</t>
  </si>
  <si>
    <t>remaining 50% slag to landfill</t>
  </si>
  <si>
    <t>treatment of CFRP,powerplant, SOFC-bat, Long-Term</t>
  </si>
  <si>
    <t>4F921231637A424C819726DE6692E24D</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</si>
  <si>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</si>
  <si>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</si>
  <si>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</si>
  <si>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</si>
  <si>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</si>
  <si>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SOFC-bat, Long-Term</t>
  </si>
  <si>
    <t>703B42597A9E4B73B75E2443DB32BF0F</t>
  </si>
  <si>
    <t>from pamela: (using aluminium in "all materials") 85% recycled and 15% landfilled</t>
  </si>
  <si>
    <t>includes remelting</t>
  </si>
  <si>
    <t>treatment of iron-nickel chromium alloy,powerplant, SOFC-bat, Long-Term</t>
  </si>
  <si>
    <t>8CAB1EA5570043A69D5375C999985549</t>
  </si>
  <si>
    <t>treatment of nickel,powerplant, SOFC-bat, Long-Term</t>
  </si>
  <si>
    <t>C5D9227C33A94AF9A9A236BF9566CCB8</t>
  </si>
  <si>
    <t>market for nickel, class 1</t>
  </si>
  <si>
    <t>treatment of copper,powerplant, SOFC-bat, Long-Term</t>
  </si>
  <si>
    <t>D5B2860E1C0C4400B21D6D63AF4DB266</t>
  </si>
  <si>
    <t>treatment of magnesium alloy powerplant, SOFC-bat, Long-Term</t>
  </si>
  <si>
    <t>138C99C05BA540EC9F642119E9D5F5CE</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</si>
  <si>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</si>
  <si>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</si>
  <si>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</si>
  <si>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</si>
  <si>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SOFC-bat, Long-Term</t>
  </si>
  <si>
    <t>870D23336DD144E4B48F6E5E294BDD63</t>
  </si>
  <si>
    <t>no el or heat recovery</t>
  </si>
  <si>
    <t>treatment of powerplant, SOFC-bat, Long-Term</t>
  </si>
  <si>
    <t>23A87F17EC4B4269A6E67F87ABB543D9</t>
  </si>
  <si>
    <t>treatment of aluminium, wing, airframe, SOFC-bat, Long-Term</t>
  </si>
  <si>
    <t>95FA0202DB694D928CB3F17F1D3945DF</t>
  </si>
  <si>
    <t>airframe EoL, same for all configs</t>
  </si>
  <si>
    <t>airframe EoL, SOFC-bat, Long-Term</t>
  </si>
  <si>
    <t>assuming % for wing aluminium -project Pamela</t>
  </si>
  <si>
    <t>assuming 90% of that is recovered</t>
  </si>
  <si>
    <t>treatment of biofiber, wing, airframe, SOFC-bat, Long-Term</t>
  </si>
  <si>
    <t>A7A4220ECE284737A0892338E5E82A86</t>
  </si>
  <si>
    <t>assuming % for wing composites -project Pamela</t>
  </si>
  <si>
    <t>heat recovery from plastic , We assume 50% of electricity recovery from incinertion LHV = 34,78 MJ/kg</t>
  </si>
  <si>
    <t>treatment of steel, wing, airframe, SOFC-bat, Long-Term</t>
  </si>
  <si>
    <t>08D31C062FC3468C96EF457CF5C0D2AD</t>
  </si>
  <si>
    <t>assuming % for wing steel -project Pamela</t>
  </si>
  <si>
    <t>rest to slag landfill</t>
  </si>
  <si>
    <t>treatment of titanium, wing, airframe, SOFC-bat, Long-Term</t>
  </si>
  <si>
    <t>C11046EB8AC7446B9D753A2E530CF739</t>
  </si>
  <si>
    <t>required el from rupcic et al.</t>
  </si>
  <si>
    <t>required heat from Rupcic et al.</t>
  </si>
  <si>
    <t>treatment of aluminium, tail, airframe, SOFC-bat, Long-Term</t>
  </si>
  <si>
    <t>F9CA4EEA64CF4110A27F19257EAD6515</t>
  </si>
  <si>
    <t>assuming % for tail aluminium -project Pamela</t>
  </si>
  <si>
    <t>treatment of composites, tail, airframe, SOFC-bat, Long-Term</t>
  </si>
  <si>
    <t>3DD6F349EAE14E6E986D6EAE21FCE42F</t>
  </si>
  <si>
    <t>airframe EoL, works for CFRP and GFRP, same for all configs</t>
  </si>
  <si>
    <t>assuming % for stabilising part composites -project Pamela</t>
  </si>
  <si>
    <t>treatment of aluminium, fuselage, airframe, SOFC-bat, Long-Term</t>
  </si>
  <si>
    <t>62815D63EDF740E79E454AB467A69A86</t>
  </si>
  <si>
    <t>assuming % for fuselage aluminium -project Pamela</t>
  </si>
  <si>
    <t>treatment of composites, fuselage, airframe, SOFC-bat, Long-Term</t>
  </si>
  <si>
    <t>E1D9000A3DC34B9B98E59C1804A401FE</t>
  </si>
  <si>
    <t>assuming % for fuesalage composites -project Pamela</t>
  </si>
  <si>
    <t>treatment of steel, fuselage, airframe, SOFC-bat, Long-Term</t>
  </si>
  <si>
    <t>BA28A86E981347B4B262C5A4F2136B5D</t>
  </si>
  <si>
    <t>assuming % for fuselage steel -project Pamela</t>
  </si>
  <si>
    <t>treatment of titanium, fuselage, airframe, SOFC-bat, Long-Term</t>
  </si>
  <si>
    <t>4B49C7C5C40842CA93D5A9E226CF9781</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</si>
  <si>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</si>
  <si>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</si>
  <si>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</si>
  <si>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</si>
  <si>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</si>
  <si>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SOFC-bat, Long-Term</t>
  </si>
  <si>
    <t>8919DC75293544F5A15C4927FCE94A62</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</si>
  <si>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</si>
  <si>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</si>
  <si>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</si>
  <si>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</si>
  <si>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</si>
  <si>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</si>
  <si>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</si>
  <si>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</si>
  <si>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</si>
  <si>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SOFC-bat, Long-Term</t>
  </si>
  <si>
    <t>3F80F225FBCA45BEBB2DF1BFD6B2D007</t>
  </si>
  <si>
    <t>airframe EoL, changes for different config</t>
  </si>
  <si>
    <t>using same process as CFRP even if this is biofibre 50% landfill, 50% incinerated</t>
  </si>
  <si>
    <t>treatment tail , airframe, SOFC-bat, Long-Term</t>
  </si>
  <si>
    <t>F0CD7A948AE94A35A9527DDFDB9A16C6</t>
  </si>
  <si>
    <t>CFRP</t>
  </si>
  <si>
    <t>GFRP</t>
  </si>
  <si>
    <t>treatment fuselage , airframe, SOFC-bat, Long-Term</t>
  </si>
  <si>
    <t>A80F06DDDBF24D35950E271E9F8A8553</t>
  </si>
  <si>
    <t>treatment systems, airframe, SOFC-bat, Long-Term</t>
  </si>
  <si>
    <t>D7A9260892124B9CADBA228E36D95C8A</t>
  </si>
  <si>
    <t>assuming same percentages as for fuselage</t>
  </si>
  <si>
    <t>assuming same tratment for copper as in powerplant</t>
  </si>
  <si>
    <t>treatment of airframe , SOFC-bat, Long-Term</t>
  </si>
  <si>
    <t>F5DAE5D5BDA94BFA983574472230E018</t>
  </si>
  <si>
    <t xml:space="preserve">  </t>
  </si>
  <si>
    <t>treatment of steel, H2_storage EoL, SOFC-bat, Long-Term</t>
  </si>
  <si>
    <t>C8DB1DE137FD404B95B85CC02116B9EA</t>
  </si>
  <si>
    <t>treatment of CFRP, H2 storage EoL,SOFC-bat, Long-Term</t>
  </si>
  <si>
    <t>BBFD1779C4BF4480B7640CCB427EFAE8</t>
  </si>
  <si>
    <t>treatment of aluminium, H2 storage EoL,SOFC-bat, Long-Term</t>
  </si>
  <si>
    <t>6964D2BF96C1482CAE100FE7D96A22BA</t>
  </si>
  <si>
    <t>..</t>
  </si>
  <si>
    <t>treatment of H2 storage on-board</t>
  </si>
  <si>
    <t>064EEE2BD60E417AAF8E2E0C678E9D51</t>
  </si>
  <si>
    <t>kraft paper+ paint</t>
  </si>
  <si>
    <t>market for hazardous waste, for underground deposit</t>
  </si>
  <si>
    <t>perlite</t>
  </si>
  <si>
    <t>treatment of aluminium,SOFC EoL, SOFC-bat, Long-Term</t>
  </si>
  <si>
    <t>7459A4653924433D9C906E2A4A52529A</t>
  </si>
  <si>
    <t>SOFC EoL</t>
  </si>
  <si>
    <t>SOFC EoL, SOFC-bat, Long-Term</t>
  </si>
  <si>
    <t>assuming % for fuselage alu -project Pamela</t>
  </si>
  <si>
    <t>treatment of copper,SOFC EoL, SOFC-bat, Long-Term</t>
  </si>
  <si>
    <t>912F37F4A48E43D2B70C60544E213789</t>
  </si>
  <si>
    <t>assuming same % as for fuselage alu (no copper indicated) -project Pamela</t>
  </si>
  <si>
    <t>treatment of steel,SOFC EoL, SOFC-bat, Long-Term</t>
  </si>
  <si>
    <t>4D098425BA2247D2B8B07C4390BABF7A</t>
  </si>
  <si>
    <t>treatment of composites,SOFC EoL, SOFC-bat, Long-Term</t>
  </si>
  <si>
    <t>8483570ACED84210931F0BAB0104020B</t>
  </si>
  <si>
    <t>SOFC EoL, for plastics, rubber, nylon and silicone</t>
  </si>
  <si>
    <t>treatment of hazardous waste, hazardous waste incineration</t>
  </si>
  <si>
    <t>treatment of zirconium oxide,SOFC EoL, SOFC-bat, Long-Term</t>
  </si>
  <si>
    <t>C172FF61EFF041CBB4B528FBB7C235C4</t>
  </si>
  <si>
    <t>conservative choice: no recycling</t>
  </si>
  <si>
    <t>treatment of nickel,SOFC EoL, SOFC-bat, Long-Term</t>
  </si>
  <si>
    <t>9C2A5A4E9A7E4E1A9FF750293F7C6E88</t>
  </si>
  <si>
    <t>treatment of SOFC cell ,SOFC EoL, SOFC-bat, Long-Term</t>
  </si>
  <si>
    <t>6CA4909458644C6D9198965C265EFD0A</t>
  </si>
  <si>
    <t>You can tell the importer to ignore some columns, where you can do calculations or take notes.</t>
  </si>
  <si>
    <t>SAF production, long-term, proxy</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</si>
  <si>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</si>
  <si>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</si>
  <si>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</si>
  <si>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according to the emission index provided by UNINA</t>
  </si>
  <si>
    <t>Biodiesel production, via transesterification, from palm oil, energy allocation</t>
  </si>
  <si>
    <t>biodiesel, from palm oil</t>
  </si>
  <si>
    <t>ecoinvent_remind_SSP2-NDC_2040</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</si>
  <si>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</si>
  <si>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</si>
  <si>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</si>
  <si>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</si>
  <si>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</si>
  <si>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</si>
  <si>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</si>
  <si>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</si>
  <si>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 xml:space="preserve"> </t>
  </si>
  <si>
    <t>65009F4C51054AA4858E9B0CFB2F7A87</t>
  </si>
  <si>
    <t>Table 00 (lifetime: 20 years) of GENESIS_LCI_powerplant_long-term_SOFC-bat_16.01.2023_DTU</t>
  </si>
  <si>
    <t>additional comment/assumptions</t>
  </si>
  <si>
    <t>Production of Gearbox, EM</t>
  </si>
  <si>
    <t>Unspecified "Further technological correlation"</t>
  </si>
  <si>
    <t>Production of Propellers, EM</t>
  </si>
  <si>
    <t>Production of Nacelle, EM</t>
  </si>
  <si>
    <t>scaled process from SOFC</t>
  </si>
  <si>
    <t>market for cable, unspecified</t>
  </si>
  <si>
    <t>production of SOFC plant</t>
  </si>
  <si>
    <t>2 units for 20 years</t>
  </si>
  <si>
    <t>market group for electricity, high voltage</t>
  </si>
  <si>
    <t>market group for diesel</t>
  </si>
  <si>
    <t>Assumed water density of 997.42788 kg/m3</t>
  </si>
  <si>
    <t/>
  </si>
  <si>
    <t>89D3B2396AB34973824907E5D888C4D9</t>
  </si>
  <si>
    <t>Table B2 of GENESIS_LCI_powerplant_long-term_SOFC-bat_16.01.2023_DTU</t>
  </si>
  <si>
    <t>input= input mass*ratio</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</si>
  <si>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</si>
  <si>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</si>
  <si>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</si>
  <si>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</si>
  <si>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</si>
  <si>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</si>
  <si>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 xml:space="preserve">conversions: </t>
  </si>
  <si>
    <t>AC41CC07A00C4971BF452F74198F35B1</t>
  </si>
  <si>
    <t>Table C2 of GENESIS_LCI_powerplant_long-term_SOFC-bat_16.01.2023_DTU</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</si>
  <si>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</si>
  <si>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</si>
  <si>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</si>
  <si>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</si>
  <si>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</si>
  <si>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</si>
  <si>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</si>
  <si>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</si>
  <si>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</si>
  <si>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940218D01E064592A8E5FFE1C8F53C57</t>
  </si>
  <si>
    <t>Table E1 of GENESIS_LCI_powerplant_long-term_SOFC-bat_16.01.2023_DTU</t>
  </si>
  <si>
    <t>assumed proxy for Aluminium alloy (Al2023/Al2019/Al7000)</t>
  </si>
  <si>
    <t>assumed proxy for treatment of Aluminium alloy (Al2023/Al2019/Al7000)</t>
  </si>
  <si>
    <t>assumed proxy for substituted scraps of Aluminium alloy (Al2023/Al2019/Al7000)</t>
  </si>
  <si>
    <t>14</t>
  </si>
  <si>
    <t>9C795D92CE7440FD82CFD29D893140FD</t>
  </si>
  <si>
    <t>powerplant negative treatment processes</t>
  </si>
  <si>
    <t>Incineration of biowaste</t>
  </si>
  <si>
    <t>CE9A9B3F946D44E9917A1A3E35370C3C</t>
  </si>
  <si>
    <t>treatment of biowaste, municipal incineration</t>
  </si>
  <si>
    <t>Incineration of waste rubber</t>
  </si>
  <si>
    <t>93441EDBB9FE4AAD855641866A18E904</t>
  </si>
  <si>
    <t>carbon nanotube</t>
  </si>
  <si>
    <t>battery including EoL</t>
  </si>
  <si>
    <t>production of battery Li-O for the long term and SOFC-bat configuration</t>
  </si>
  <si>
    <t>output</t>
  </si>
  <si>
    <t>market for cobalt</t>
  </si>
  <si>
    <t>market for silica sand</t>
  </si>
  <si>
    <t>market for hydrochloric acid, without water, in 30% solution state</t>
  </si>
  <si>
    <t>market for carbon monoxide</t>
  </si>
  <si>
    <t>market for ethoxylated alcohol (AE&gt;20)</t>
  </si>
  <si>
    <t>The ethoxylated alcool type is not specified we assumed an even distribution among the available processes.</t>
  </si>
  <si>
    <t>market for ethoxylated alcohol (AE11)</t>
  </si>
  <si>
    <t>market for ethoxylated alcohol (AE3)</t>
  </si>
  <si>
    <t>market for ethoxylated alcohol (AE7)</t>
  </si>
  <si>
    <t>market for molybdenum</t>
  </si>
  <si>
    <t>market for monoethanolamine</t>
  </si>
  <si>
    <t>market for oxygen, liquid</t>
  </si>
  <si>
    <t>market for sodium hydroxide, without water, in 50% solution state</t>
  </si>
  <si>
    <t>waste treatment with negative sign</t>
  </si>
  <si>
    <t>treatment of inert waste, inert material landfill</t>
  </si>
  <si>
    <t>we assume the CO2 emissions are from fossil sources in the absence of biomass in the process</t>
  </si>
  <si>
    <t>cathode production, Li-O , SOFC-bat</t>
  </si>
  <si>
    <t>output for 1 battery pack. Total mass 193.185 kg</t>
  </si>
  <si>
    <t>tetraethyl orthosilicate</t>
  </si>
  <si>
    <t>output for 1 kg of TOES. By-product: 0.7 kg of HCl.</t>
  </si>
  <si>
    <t>market for silicon tetrachloride</t>
  </si>
  <si>
    <t>market for ethanol, without water, in 99.7% solution state, from ethylene</t>
  </si>
  <si>
    <t>Hydrogen chloride</t>
  </si>
  <si>
    <t>Ethanol</t>
  </si>
  <si>
    <t>tetraethyl orthosilicate allocated</t>
  </si>
  <si>
    <t>output for 1 kg of TOES. By-product: 0.7 kg of HCl. We use mass allocation for the TOES output</t>
  </si>
  <si>
    <t>anode, Li-O, SOFC-bat</t>
  </si>
  <si>
    <t>output for 1 battery pack. Total 564.529=6*675*0.13939 kg. tetraethyl orthosilicate emission to air (10.5657 kg) ignored in the absence of a representative proxy.</t>
  </si>
  <si>
    <t>market for lithium</t>
  </si>
  <si>
    <t>sheet rolling, aluminium</t>
  </si>
  <si>
    <t>PROXY for lithium cold rolling. The factor 4.95 accounts for the density of AL/Li to scale the alluminium rolling process.</t>
  </si>
  <si>
    <t>production of lithium perchlorate</t>
  </si>
  <si>
    <t>output for only 1 kg</t>
  </si>
  <si>
    <t>market for lithium chloride</t>
  </si>
  <si>
    <t>market for sodium perchlorate</t>
  </si>
  <si>
    <t>Sodium</t>
  </si>
  <si>
    <t>water</t>
  </si>
  <si>
    <t>the amount of NaCl to water is disaggregated in emissions of Na and Cl separately with w%Na=39.34% and w%Cl=60.66%</t>
  </si>
  <si>
    <t>Chloride</t>
  </si>
  <si>
    <t>electrolyte, Li-O, SOFC-bat</t>
  </si>
  <si>
    <t>output for 1 battery pack: 472.23 kg=6*675*0.11660</t>
  </si>
  <si>
    <t>market for ethylene glycol dimethyl ether</t>
  </si>
  <si>
    <t>PROXY for tetraethylene glycol dimethyl ether</t>
  </si>
  <si>
    <t>separator, Li-O, SOFC-bat</t>
  </si>
  <si>
    <t>output for 1 batrtery pack, total weight 104 kg</t>
  </si>
  <si>
    <t>market for polyethylene, high density, granulate</t>
  </si>
  <si>
    <t>casing for battery cell, Li-O, SOFC-bat</t>
  </si>
  <si>
    <t>output for the total battery pack : 6*675*0.01942=78.669225 kg</t>
  </si>
  <si>
    <t>market for sheet rolling, aluminium</t>
  </si>
  <si>
    <t>market for extrusion, plastic film</t>
  </si>
  <si>
    <t>polyethylene terephthalate, granulate, amorphous</t>
  </si>
  <si>
    <t>battery cell production, Li-O , SOFC-bat</t>
  </si>
  <si>
    <t>output for the total amount of cells in the battery pack: 2146.5 kg (0.53 kg/cell * 675 cells/modules * 6 modules / pack). The energy for manufacturing is missing</t>
  </si>
  <si>
    <t>5.00</t>
  </si>
  <si>
    <t>1.00</t>
  </si>
  <si>
    <t>1.30</t>
  </si>
  <si>
    <t>aluminium collector foil production, for Li-ion battery</t>
  </si>
  <si>
    <t>225.38</t>
  </si>
  <si>
    <t>293.00</t>
  </si>
  <si>
    <t>positive foil</t>
  </si>
  <si>
    <t>copper collector foil production, for Li-ion battery</t>
  </si>
  <si>
    <t>384.91</t>
  </si>
  <si>
    <t>500.39</t>
  </si>
  <si>
    <t>negative foil</t>
  </si>
  <si>
    <t>28.76</t>
  </si>
  <si>
    <t>37.38</t>
  </si>
  <si>
    <t>positive terminal</t>
  </si>
  <si>
    <t>946.49</t>
  </si>
  <si>
    <t>1230.43</t>
  </si>
  <si>
    <t>negative terminal</t>
  </si>
  <si>
    <t>casing for battery module, Li-O, SOFC-bat</t>
  </si>
  <si>
    <t>output for 6*14.355 kg</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</si>
  <si>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</si>
  <si>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</si>
  <si>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</si>
  <si>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</si>
  <si>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Li-O, SOFC-bat</t>
  </si>
  <si>
    <t>output for 6*377.772 kg</t>
  </si>
  <si>
    <t>Battery module management system production, Li-O, SOFC-bat</t>
  </si>
  <si>
    <t>BMS for the module</t>
  </si>
  <si>
    <t>battery management system production, for Li-ion battery</t>
  </si>
  <si>
    <t>casing for battery pack, Li-O , SOFC-bat</t>
  </si>
  <si>
    <t>output for 47.72 kg</t>
  </si>
  <si>
    <t>Battery pack management system production, Li-O, SOFC-bat</t>
  </si>
  <si>
    <t>BMS for the pack</t>
  </si>
  <si>
    <t>compressor, Li-O , SOFC-bat</t>
  </si>
  <si>
    <t>All columns past the first two for database and activity definitions are ignored in any case.</t>
  </si>
  <si>
    <t>output for 59.65 kg that is one battery pack.</t>
  </si>
  <si>
    <t>market for sheet rolling, steel</t>
  </si>
  <si>
    <t>battery pack production, Li-O, SOFC-bat</t>
  </si>
  <si>
    <t>E6C3802E7E9E4E6AAE18F8FEEF6AB453</t>
  </si>
  <si>
    <t>output for 2385.928 kg. Aggregated process for producing a battery pack.</t>
  </si>
  <si>
    <t>BMS treatment, SOFC-bat</t>
  </si>
  <si>
    <t>D78FAF551BE944999A4C19774A9ECA0E</t>
  </si>
  <si>
    <t>recycling of battery LiO for the long term and SOFC-bat configuration</t>
  </si>
  <si>
    <t>no creditting, only treatment</t>
  </si>
  <si>
    <t>casing scrap treatment, SOFC-bat</t>
  </si>
  <si>
    <t>000BA1797134487484D255AC768B902F</t>
  </si>
  <si>
    <t>output. Only aluminium content is recovered</t>
  </si>
  <si>
    <t>aluminium content in the casing scrap 90% and recycling efficiency 95%</t>
  </si>
  <si>
    <t>credits</t>
  </si>
  <si>
    <t>proxy for treating the other materials that went to slags (copper and fire losses of aluminium recycling). Uncertainty cannot be added based on the pedigree due to negative flows (undefined log normal distribution)</t>
  </si>
  <si>
    <t>packaging treatment, SOFC-bat</t>
  </si>
  <si>
    <t>263505BC9F7340C281D37779595F3004</t>
  </si>
  <si>
    <t>treatment of waste paperboard, municipal incineration</t>
  </si>
  <si>
    <t>CH</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</si>
  <si>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</si>
  <si>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</si>
  <si>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</si>
  <si>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</si>
  <si>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</si>
  <si>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</si>
  <si>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</si>
  <si>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compressor treatment, SOFC-bat</t>
  </si>
  <si>
    <t>263505BC9F7340C281D37779595F3005</t>
  </si>
  <si>
    <t>output for hte recycling of 59.65 kg of compressor, made 60% of Steel and 40% of Al. We assume it goes to the steel recycler as the main material is steel. We assume 95% recovery. We do not model the energy for shredding.</t>
  </si>
  <si>
    <t>output for hte recycling of 59.65 kg of compressor, made 60% of Steel and 40% of Al</t>
  </si>
  <si>
    <t>we assumed Steel recycler(main material)</t>
  </si>
  <si>
    <t>LiO battery pack dismantling, SOFC-bat</t>
  </si>
  <si>
    <t>C0B6B295E6044246A8CA57894EBD1FBB</t>
  </si>
  <si>
    <t>output for treating 2385.928 kg of battery pack</t>
  </si>
  <si>
    <t>market for carton board box production, with gravure printing</t>
  </si>
  <si>
    <t>packaging</t>
  </si>
  <si>
    <t>packaging, isolation band</t>
  </si>
  <si>
    <t>market for packaging film, low density polyethylene</t>
  </si>
  <si>
    <t>packaging, bag</t>
  </si>
  <si>
    <t>energy for moving the battery</t>
  </si>
  <si>
    <t>energy for compressed air</t>
  </si>
  <si>
    <t>Multi-step mechanical treatment of pyrolysed modules, LiO, SOFC-bat</t>
  </si>
  <si>
    <t>012F646DE3774438882F2B91F9C774FD</t>
  </si>
  <si>
    <t>output for 2266.63 kg of dismanteled modules. The process starts with the reception of the dismanteled modules and ends with the production of the active material fraction and the cu/al fraction. No recycling credits is included.</t>
  </si>
  <si>
    <t>energy for mechanical treatment</t>
  </si>
  <si>
    <t>active material and cu/al fractions treatment, LiO, SOFC-bat</t>
  </si>
  <si>
    <t>9C7FC6F42E74463D9217BE359B210D33</t>
  </si>
  <si>
    <t>output for treatment and recycling of 1293.98 kg of Li concentrate (active material fraction) and 972.65 kg of cu/al fraction (1battery pack)</t>
  </si>
  <si>
    <t>treatment of used Li-ion battery, hydrometallurgical treatment</t>
  </si>
  <si>
    <t>used Li-ion battery</t>
  </si>
  <si>
    <t>the active material fraction is treated by hydrometallurgical process (Cu/La/Li extraction).This process is a proxy for LiO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</si>
  <si>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</si>
  <si>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</si>
  <si>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70%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</si>
  <si>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</si>
  <si>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</si>
  <si>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</si>
  <si>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</si>
  <si>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 and active materials fraction.We assume that the uncertainty on metal content declared in the lci applies to this process.</t>
  </si>
  <si>
    <t>treatment of battery LiO, SOFC-bat</t>
  </si>
  <si>
    <t>C7567F33A0EC4AD9BCB6F5705E3A07D5</t>
  </si>
  <si>
    <t>output, this process can be added to treat the battery pack directly</t>
  </si>
  <si>
    <t>includes credits from BMS, packaging, and casing recycling</t>
  </si>
  <si>
    <t>includes crediting</t>
  </si>
  <si>
    <t>fuel cell</t>
  </si>
  <si>
    <t>FA3362FD983B4670B3F7B6BC91D415BA</t>
  </si>
  <si>
    <t>two fuel cell plants are needed for fueling the aircraft. Process for a total weight of 684 kg (1 plant). Power electronics DC/DC (6/plant) and DC/AC (1/plant) should be added to the power plant in the configuration SOFC-bat.</t>
  </si>
  <si>
    <t>production of fuel cell stack</t>
  </si>
  <si>
    <t>production of air system</t>
  </si>
  <si>
    <t>production of fuel blower</t>
  </si>
  <si>
    <t>production of heat exchanger</t>
  </si>
  <si>
    <t>water return flow unspecified, we assume all water in incorporated in the product or evaporated</t>
  </si>
  <si>
    <t>19AE64D42301434F8320E02DEB39DC2D</t>
  </si>
  <si>
    <t>production of 6 fuel cell stacks for the power plants. Process for a total weight of 6 x 90.455</t>
  </si>
  <si>
    <t>production of planar interconnect, current collectors, casing end plates</t>
  </si>
  <si>
    <t>production of insulated pressure vessel</t>
  </si>
  <si>
    <t>production of SOFC anode and electrolyte</t>
  </si>
  <si>
    <t>46D1373ACBED46E1BD774989E69BC484</t>
  </si>
  <si>
    <t>production of all components for the SOFC plant, total weight : 0.061* 2742</t>
  </si>
  <si>
    <t>market for zirconium oxide</t>
  </si>
  <si>
    <t>market for ethanol, without water, in 99.7% solution state, from fermentation</t>
  </si>
  <si>
    <t>proxy for polyethylene glycol</t>
  </si>
  <si>
    <t>polyvinylbutyral foil, at plant</t>
  </si>
  <si>
    <t>proxy for dibutylphthalate, it is also a plasticizer</t>
  </si>
  <si>
    <t>market for trichloroethylene</t>
  </si>
  <si>
    <t>production of yttria stabilized zirconia, proxy</t>
  </si>
  <si>
    <t>68229913F4D2404FBE313F375BBB38B9</t>
  </si>
  <si>
    <t xml:space="preserve">proxy for Yttria stabilized zirconia, YSZ 3% production based on stoichiometry </t>
  </si>
  <si>
    <t>market for yttrium oxide</t>
  </si>
  <si>
    <t>urea production</t>
  </si>
  <si>
    <t>water production, deionised</t>
  </si>
  <si>
    <t>production of SOFC cathode</t>
  </si>
  <si>
    <t>D0B6EF7BF5DA4F26952428941670BE1B</t>
  </si>
  <si>
    <t>production of all components for the SOFC plant, total weight : 0.004* 2742</t>
  </si>
  <si>
    <t>production of Lanthanum Strontium Manganite</t>
  </si>
  <si>
    <t>production of Lanthanum manganite, LaMnO₃ powder</t>
  </si>
  <si>
    <t>D3D8855BF65B4B16A0B57E8EA619B717</t>
  </si>
  <si>
    <t>proxy for th eLMS production</t>
  </si>
  <si>
    <t>'glycine production' (kilogram, RER, None)</t>
  </si>
  <si>
    <t>glycine</t>
  </si>
  <si>
    <t>e91aead79f95d876b5c6b0bb505cc475</t>
  </si>
  <si>
    <t>'glycine production' (kilogram, RoW, None)</t>
  </si>
  <si>
    <t>5502ce0ba7275405851f811ef226c2e6</t>
  </si>
  <si>
    <t>'glyphosate production' (kilogram, RER, None)</t>
  </si>
  <si>
    <t>glyphosate</t>
  </si>
  <si>
    <t>production of Lanthanum nitrate - La(NO3)2</t>
  </si>
  <si>
    <t>d16d511aec3503cd9ee7d73a79c45f6b</t>
  </si>
  <si>
    <t>production of Strontium nitrate - Sr(NO3)2</t>
  </si>
  <si>
    <t>'organophosphorus-compound production, unspecified' (kilogram, RER, None)</t>
  </si>
  <si>
    <t>production of Manganese (II) nitrate - Mn(NO3)2</t>
  </si>
  <si>
    <t>organophosphorus-compound, unspecified</t>
  </si>
  <si>
    <t>market for glycine</t>
  </si>
  <si>
    <t>transport only</t>
  </si>
  <si>
    <t>AE5F18C597A7426C84AD13A84C122CAA</t>
  </si>
  <si>
    <t>proxy</t>
  </si>
  <si>
    <t>ref product</t>
  </si>
  <si>
    <t>price</t>
  </si>
  <si>
    <t>cerium oxide</t>
  </si>
  <si>
    <t>eur2007</t>
  </si>
  <si>
    <t>europium oxide</t>
  </si>
  <si>
    <t>lanthanum oxide</t>
  </si>
  <si>
    <t>neodymium oxide</t>
  </si>
  <si>
    <t>samarium oxide</t>
  </si>
  <si>
    <t>ytterbium oxide</t>
  </si>
  <si>
    <t>yttrium oxide</t>
  </si>
  <si>
    <t>market for lanthanum oxide</t>
  </si>
  <si>
    <t>market for nitric acid, without water, in 50% solution state</t>
  </si>
  <si>
    <t>we assume that the water buyproduct is collected and treated</t>
  </si>
  <si>
    <t>A34C6FD439454730A816A7117AA4464E</t>
  </si>
  <si>
    <t>products and by products</t>
  </si>
  <si>
    <t>strontium carbonate</t>
  </si>
  <si>
    <t>market for strontium carbonate</t>
  </si>
  <si>
    <t>sodium sulfide</t>
  </si>
  <si>
    <t>D3D0F521B9FC416C9A2CD684522BF663</t>
  </si>
  <si>
    <t>market for manganese</t>
  </si>
  <si>
    <t>Hydrogen</t>
  </si>
  <si>
    <t>D053CECAF0A64BE68C7AF8997133C0E0</t>
  </si>
  <si>
    <t>market for citric acid</t>
  </si>
  <si>
    <t>production of fuel cells</t>
  </si>
  <si>
    <t>75A939DFEC1548C69EA0804BBD9B4090</t>
  </si>
  <si>
    <t>production of 6 x 457 = 2742 fuel cells. Process for a total weight of 2742 x 0.065 kg</t>
  </si>
  <si>
    <t>4277A98D24584A69A395523DA1B30C75</t>
  </si>
  <si>
    <t>production for 1 sofc plant, hence 6 cell stacks</t>
  </si>
  <si>
    <t>market for chromium</t>
  </si>
  <si>
    <t>market for steel, chromium steel 18/8</t>
  </si>
  <si>
    <t>market for sheet rolling, chromium steel</t>
  </si>
  <si>
    <t>BD8E1DE2B8FA43C9A384D8D4CAB753C8</t>
  </si>
  <si>
    <t>market for glass wool mat</t>
  </si>
  <si>
    <t>AD0C9FF530864E74823ACECE49CF5A80</t>
  </si>
  <si>
    <t>production for 1 sofc plant</t>
  </si>
  <si>
    <t>F232F3B8528B4F988137A03EEC1E7E90</t>
  </si>
  <si>
    <t>3BCF2CC3F97D474C8BA5CD3E61198E9C</t>
  </si>
  <si>
    <t>production for 1 sofc plant hence 2 pieces (2 x 25.323 kg)</t>
  </si>
  <si>
    <t>production of cryogenic insulated LH2 storage system</t>
  </si>
  <si>
    <t>H2 storage</t>
  </si>
  <si>
    <t>B1F2965604B543BDBC0B6E13E28BB683</t>
  </si>
  <si>
    <t>Production of 1 cryogenic H2 insulated storage system weighting 107.7 kg according to GENESIS_LCI_H2_onboard_storage_long-term_SOFC-bat_v01.xlsx Table 1 for a lifetime of 20 years for the aircraft use</t>
  </si>
  <si>
    <t>comments</t>
  </si>
  <si>
    <t>production of tank</t>
  </si>
  <si>
    <t>liftime 10 years</t>
  </si>
  <si>
    <t>production of vacuum pump</t>
  </si>
  <si>
    <t>lifetime 5 years</t>
  </si>
  <si>
    <t>DC89F14B1A72412FA7E5D86220E14B79</t>
  </si>
  <si>
    <t>Production of 1 tank weighting 97.7 kg according to GENESIS_LCI_H2_onboard_storage_long-term_SOFC-bat_v01.xlsx Table 1.1</t>
  </si>
  <si>
    <t>market for perlite</t>
  </si>
  <si>
    <t>market for acetone, liquid</t>
  </si>
  <si>
    <t>Density 0.791 g/mL</t>
  </si>
  <si>
    <t>market for kraft paper</t>
  </si>
  <si>
    <t>for machining and winding</t>
  </si>
  <si>
    <t>heat for cuing</t>
  </si>
  <si>
    <t>46BDA24A89D147FAB31D819C3A7EA48C</t>
  </si>
  <si>
    <t>Production of 1 vacuum pump weighting 10 kg according to GENESIS_LCI_H2_onboard_storage_long-term_SOFC-bat_v01.xlsx Table 1.2</t>
  </si>
  <si>
    <t>market for steel, chromium steel 18/8, hot rolled</t>
  </si>
  <si>
    <t>market for electrostatic paint</t>
  </si>
  <si>
    <t>production of motors and drives, SOFC-bat, Long-Term</t>
  </si>
  <si>
    <t>Motors and Drives</t>
  </si>
  <si>
    <t>194BA48D4D8F4A709F6F97DC493B7AF6</t>
  </si>
  <si>
    <t>Table 0 of GENESIS_LCI_power_elec_drives_Long-term, SOFC-bat_v01.xlsx</t>
  </si>
  <si>
    <t>all lifetimes are 15+</t>
  </si>
  <si>
    <t>production of electric motor, SOFC-bat, Long-Term</t>
  </si>
  <si>
    <t>C1415A5B0DD448C8A44DE9B983D27286</t>
  </si>
  <si>
    <t>Table H1 of GENESIS_LCI_power_elec_drives_Long-term, SOFC-bat_v01.xlsx</t>
  </si>
  <si>
    <t>production of stator and rotor, motor, SOFC-bat, Long-Term</t>
  </si>
  <si>
    <t>production of bearings, motor, SOFC-bat, Long-Term</t>
  </si>
  <si>
    <t>production of housing, motor, SOFC-bat, Long-Term</t>
  </si>
  <si>
    <t>895719D365FC42CEB3985A243FBFBC30</t>
  </si>
  <si>
    <t>Table H1.1 of GENESIS_LCI_power_elec_drives_Long-term, SOFC-bat_v01.xlsx</t>
  </si>
  <si>
    <t>stator</t>
  </si>
  <si>
    <t>rotor</t>
  </si>
  <si>
    <t>market for copper, anode</t>
  </si>
  <si>
    <t>assumption for copper coil</t>
  </si>
  <si>
    <t>market for wire drawing, copper</t>
  </si>
  <si>
    <t>Direct cooled stator, POTTING WINDING EPOXY RESIN</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</si>
  <si>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</si>
  <si>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</si>
  <si>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</si>
  <si>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</si>
  <si>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</si>
  <si>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</si>
  <si>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</si>
  <si>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</si>
  <si>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</si>
  <si>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</si>
  <si>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</si>
  <si>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</si>
  <si>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</si>
  <si>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</si>
  <si>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</si>
  <si>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</si>
  <si>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</si>
  <si>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</si>
  <si>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</si>
  <si>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</si>
  <si>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Hydrocarbons, aliphatic, alkanes, unspecified</t>
  </si>
  <si>
    <t>assumption for hydrocarbons (impregnation and curing) to air</t>
  </si>
  <si>
    <t>DEA20F38768249249EE04BE5763B45C9</t>
  </si>
  <si>
    <t>Table H1.2 of GENESIS_LCI_power_elec_drives_Long-term, SOFC-bat_v01.xlsx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</si>
  <si>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</si>
  <si>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</si>
  <si>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</si>
  <si>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</si>
  <si>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 long-term, SOFC-bat</t>
  </si>
  <si>
    <t>Waste Oil, long-term, SOFC-bat, conc. share in dilution; Turning</t>
  </si>
  <si>
    <t>Waste Oil, long-term, SOFC-bat, conc. share in dilution; Spline milling of 3.5 com of the shaft end</t>
  </si>
  <si>
    <t>6ED5B483F8CC4D5C959F041571B69923</t>
  </si>
  <si>
    <t>Table G1.3 of GENESIS_LCI_power_elec_drives_Long-term, SOFC-bat_v01.xlsx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</si>
  <si>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</si>
  <si>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</si>
  <si>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</si>
  <si>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</si>
  <si>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</si>
  <si>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</si>
  <si>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</si>
  <si>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</si>
  <si>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</si>
  <si>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basic functions</t>
  </si>
  <si>
    <t>Electricity, Technical building services - general work</t>
  </si>
  <si>
    <t>Electricity, Technical building services - compressed air</t>
  </si>
  <si>
    <t>Aluminum scrap, Machining of housing parts</t>
  </si>
  <si>
    <t>treatment for Aluminum scrap, Machining of housing parts</t>
  </si>
  <si>
    <t>Waste Oil, long-term, SOFC-bat, conc. share in dilution, Machining of housing parts</t>
  </si>
  <si>
    <t>NMVOC, non-methane volatile organic compounds, unspecified origin</t>
  </si>
  <si>
    <t>VOC; Painting</t>
  </si>
  <si>
    <t>production of power electronics, SOFC-bat, Long-Term</t>
  </si>
  <si>
    <t>Power plant</t>
  </si>
  <si>
    <t>B776EC69F5B34E77B79F6BC8AB4F546F</t>
  </si>
  <si>
    <t>Table 0 of GENESIS_LCI_power_elec_drives_Long-term, SOFC-bat_v01.xlsx. 1 unit corresponds to 226.91 kg of power electronics</t>
  </si>
  <si>
    <t>weight 1 unit</t>
  </si>
  <si>
    <t>Specified nominal power</t>
  </si>
  <si>
    <t>Production of non-isolating unidirectional fuel cell DC/DC converter</t>
  </si>
  <si>
    <t>C</t>
  </si>
  <si>
    <t>kW</t>
  </si>
  <si>
    <t>done</t>
  </si>
  <si>
    <t>production of DC/AC grid inverter, SOFC-bat, Long-Term</t>
  </si>
  <si>
    <t>A</t>
  </si>
  <si>
    <t xml:space="preserve">same </t>
  </si>
  <si>
    <t>production of isolating DC/DC grid converter, SOFC-bat, Long-Term</t>
  </si>
  <si>
    <t>B</t>
  </si>
  <si>
    <t>production of motor traction drive inverter DCAC, SOFC-bat, Long-Term</t>
  </si>
  <si>
    <t>D</t>
  </si>
  <si>
    <t>production of bidirectional battery DCDC converter, SOFC-bat, Long-Term</t>
  </si>
  <si>
    <t>E</t>
  </si>
  <si>
    <t>Kw</t>
  </si>
  <si>
    <t>Solder paste waste, long-term, SOFC-bat</t>
  </si>
  <si>
    <t>this sheet is the same for each component</t>
  </si>
  <si>
    <t>Power electronics</t>
  </si>
  <si>
    <t>21CDDDDA739B465F8574BAAA885816D2</t>
  </si>
  <si>
    <t>negative</t>
  </si>
  <si>
    <t>market for spent solvent mixture</t>
  </si>
  <si>
    <t>Hazardous waste incineration, long-term, SOFC-bat</t>
  </si>
  <si>
    <t>9D952BF65C6A48868129C5A1B5E4B209</t>
  </si>
  <si>
    <t>3250EE8055324107B436F0B99B095E26</t>
  </si>
  <si>
    <t>market for waste mineral oil</t>
  </si>
  <si>
    <t>production of driver board, assembled, long-term, SOFC-bat</t>
  </si>
  <si>
    <t>F6F0EA71DEF04BF7811376CD29013FD1</t>
  </si>
  <si>
    <t xml:space="preserve">Based on Scalable power electronic inverter unit LCI Model, version 1.01 from Nörderlof et al. </t>
  </si>
  <si>
    <t>production of driver board, unassembled, long-term, SOFC-bat</t>
  </si>
  <si>
    <t>market for dipropylene glycol monomethyl ether</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</si>
  <si>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</si>
  <si>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</si>
  <si>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</si>
  <si>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</si>
  <si>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</si>
  <si>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</si>
  <si>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</si>
  <si>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021AF98CA1FC4C43BE69ABF762E51A81</t>
  </si>
  <si>
    <t>printed wiring board production, for surface mounting, Pb free surface</t>
  </si>
  <si>
    <t>square meter</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</si>
  <si>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</si>
  <si>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</si>
  <si>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</si>
  <si>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</si>
  <si>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</si>
  <si>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</si>
  <si>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</si>
  <si>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</si>
  <si>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</si>
  <si>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</si>
  <si>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</si>
  <si>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</si>
  <si>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</si>
  <si>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</si>
  <si>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</si>
  <si>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long-term, SOFC-bat</t>
  </si>
  <si>
    <t>9BF94A2B5AEB46DBA4FD42DC406A270E</t>
  </si>
  <si>
    <t>here kilograms are required for further assembly, I assume the square meterage and weight correspond</t>
  </si>
  <si>
    <t>production of logic board, assembled, without connector, long-term, SOFC-bat</t>
  </si>
  <si>
    <t>m²</t>
  </si>
  <si>
    <t>market for electric connector, peripheral component interconnect buss</t>
  </si>
  <si>
    <t>market for adipic acid</t>
  </si>
  <si>
    <t>B8E1523A3B1A4E268020023263C8E8A6</t>
  </si>
  <si>
    <t>production of logic board, unassembled, long-term, SOFC-bat</t>
  </si>
  <si>
    <t>33F77102707E4748BDBE8146C3A7461E</t>
  </si>
  <si>
    <t>market for switch, toggle type</t>
  </si>
  <si>
    <t>market for integrated circuit, memory type</t>
  </si>
  <si>
    <t>market for inductor, low value multilayer chip</t>
  </si>
  <si>
    <t>market for inductor, ring core choke type</t>
  </si>
  <si>
    <t>33F69B34F5BD4E1FBC6F2AD3F1B8CF9F</t>
  </si>
  <si>
    <t>Table B1 of GENESIS_LCI_power_elec_drives_Long-term, SOFC-bat_v01.xlsx. 1 unit corresponds to 4.4 kg of DC/AC grid inverter</t>
  </si>
  <si>
    <t>capacitor production, auxilliaries and energy use</t>
  </si>
  <si>
    <t>production of  IGBT power module, complete, DCAC grid inverter, SOFC-bat, Long-Term</t>
  </si>
  <si>
    <t>production of Galvanized terminals, screws and washers, DCAC grid inverter, SOFC-bat, Long-Term</t>
  </si>
  <si>
    <t>m2/kg</t>
  </si>
  <si>
    <t>production of plated cable glands, DCAC grid inverter, SOFC-bat, Long-Term</t>
  </si>
  <si>
    <t>market for nylon 6, glass-filled</t>
  </si>
  <si>
    <t>Lamellar inserts(for glands)</t>
  </si>
  <si>
    <t>O-rings and gland seals (for glands)</t>
  </si>
  <si>
    <t>Nylon distance spacers</t>
  </si>
  <si>
    <t>Bus bar, laminated, DCAC grid inverter, SOFC-bat, Long-Term</t>
  </si>
  <si>
    <t>production of machined casing, DCAC grid inverter, SOFC-bat, Long-Term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</si>
  <si>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</si>
  <si>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</si>
  <si>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</si>
  <si>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</si>
  <si>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</si>
  <si>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</si>
  <si>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</si>
  <si>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</si>
  <si>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</si>
  <si>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</si>
  <si>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 kg</t>
  </si>
  <si>
    <t>C48FE8F036084BB0B81047694BDD9F7E</t>
  </si>
  <si>
    <t>production of Galvanization layer, DCAC grid inverter, SOFC-bat, Long-Term</t>
  </si>
  <si>
    <t>m2/KG</t>
  </si>
  <si>
    <t>production of Cleaned terminals, screws and washers, DCAC grid inverter, SOFC-bat, Long-Term</t>
  </si>
  <si>
    <t>see below</t>
  </si>
  <si>
    <t>market for zinc</t>
  </si>
  <si>
    <t>dm³</t>
  </si>
  <si>
    <t>M3</t>
  </si>
  <si>
    <t>3F6650A13FAB4542B159103969863EA4</t>
  </si>
  <si>
    <t>Hazardous waste disposed</t>
  </si>
  <si>
    <t>inventory indicator::waste</t>
  </si>
  <si>
    <t>1EEFD5A0D5554B1BAB813E737696122C</t>
  </si>
  <si>
    <t>so 0,25 kg screws corresponds to 0,05m2</t>
  </si>
  <si>
    <t>production of Steel terminals, screws and washers, DCAC grid inverter, SOFC-bat, Long-Term</t>
  </si>
  <si>
    <t>market for sulfuric acid</t>
  </si>
  <si>
    <t>production of nickel in plated layer, DCAC grid inverter, SOFC-bat, Long-Term</t>
  </si>
  <si>
    <t>CB20BE27F1DD4C95B5EA68E80EA3C054</t>
  </si>
  <si>
    <t>market for nickel-rich materials</t>
  </si>
  <si>
    <t>32D07C8095F746C89CEA25D76A73917E</t>
  </si>
  <si>
    <t>market for section bar rolling, steel</t>
  </si>
  <si>
    <t>production of copper bus bars, contacts, plates and foils, DCAC grid inverter, SOFC-bat, Long-Term</t>
  </si>
  <si>
    <t>DCE3701D29E94780A84C2C8B427C7459</t>
  </si>
  <si>
    <t xml:space="preserve">production </t>
  </si>
  <si>
    <t>market for sheet rolling, copper</t>
  </si>
  <si>
    <t>metal working, average for copper product manufacturing</t>
  </si>
  <si>
    <t>9D8AFBB6953A4864B9A2641C1CD73104</t>
  </si>
  <si>
    <t>extrusion, co-extrusion of plastic sheets</t>
  </si>
  <si>
    <t>market for laminating service, foil, with acrylic binder</t>
  </si>
  <si>
    <t>market for polyethylene terephthalate, granulate, bottle grade</t>
  </si>
  <si>
    <t>911FE7AF554C46C7A72696E6233F35B7</t>
  </si>
  <si>
    <t>nickel</t>
  </si>
  <si>
    <t>density</t>
  </si>
  <si>
    <t>kg/m3</t>
  </si>
  <si>
    <t>layer thickness</t>
  </si>
  <si>
    <t>m</t>
  </si>
  <si>
    <t>so</t>
  </si>
  <si>
    <t>kg/m2</t>
  </si>
  <si>
    <t>dm2</t>
  </si>
  <si>
    <t>conversion</t>
  </si>
  <si>
    <t>production of cleaned cable glands, DCAC grid inverter, SOFC-bat, Long-Term</t>
  </si>
  <si>
    <t>03F432B6056F430AB4D057D2B44F8BFB</t>
  </si>
  <si>
    <t>production of brass cable glands, DCAC grid inverter, SOFC-bat, Long-Term</t>
  </si>
  <si>
    <t>1D1E6576F3AB492C80C69AC2357E13CD</t>
  </si>
  <si>
    <t>casting, brass</t>
  </si>
  <si>
    <t>market for brass removed by turning, average, conventional</t>
  </si>
  <si>
    <t>1188AC0825F84EDDB4363C02E305D1EC</t>
  </si>
  <si>
    <t>production of machined casing, mass scaled activities, DCAC grid inverter, SOFC-bat, Long-Term</t>
  </si>
  <si>
    <t>market for naphtha</t>
  </si>
  <si>
    <t>market for tap water</t>
  </si>
  <si>
    <t>8EEFC2D22A8F488F97F00BD40B1AE6E2</t>
  </si>
  <si>
    <t>production of die cast casing parts, DCAC grid inverter, SOFC-bat, Long-Term</t>
  </si>
  <si>
    <t>aluminium ingot, primary, to aluminium, wrought alloy market</t>
  </si>
  <si>
    <t>CFBFC91CBEE34DC7844B53C789363BDD</t>
  </si>
  <si>
    <t>market for lubricating oil</t>
  </si>
  <si>
    <t>Aluminium</t>
  </si>
  <si>
    <t>AB09B5A548954FDFA3FD9858FF9ADB33</t>
  </si>
  <si>
    <t>production of Power module, open, potted, DCAC grid inverter, SOFC-bat, Long-Term</t>
  </si>
  <si>
    <t>production of Lid, injection moulded, DCAC grid inverter, SOFC-bat, Long-Term</t>
  </si>
  <si>
    <t>BD4FB3D8FD9840B283D0603134BBE08B</t>
  </si>
  <si>
    <t>market for injection moulding</t>
  </si>
  <si>
    <t>market for polyphenylene sulfide</t>
  </si>
  <si>
    <t>market for antimony</t>
  </si>
  <si>
    <t>market for glass fibre</t>
  </si>
  <si>
    <t>4545C761993A4030B399403F70A7ED17</t>
  </si>
  <si>
    <t>production of potting gel layer, DCAC grid inverter, SOFC-bat, Long-Term</t>
  </si>
  <si>
    <t>production of power module, open, wire bonded, DCAC grid inverter, SOFC-bat, Long-Term</t>
  </si>
  <si>
    <t>0A55299D50D24C6E9AA105F30EDBD567</t>
  </si>
  <si>
    <t>763CC1A046934C5A80F871E74ABF8E37</t>
  </si>
  <si>
    <t>production of Copper Wire, DCAC grid inverter, SOFC-bat, Long-Term</t>
  </si>
  <si>
    <t>production of baseplate module with frame, cleaned, DCAC grid inverter, SOFC-bat, Long-Term</t>
  </si>
  <si>
    <t>7FA0565FAC3949C4AF5E517F40963D46</t>
  </si>
  <si>
    <t>040DE9D64C5F43649416EFE9DC07EECD</t>
  </si>
  <si>
    <t>production of baseplate module with frame, DCAC grid inverter, SOFC-bat, Long-Term</t>
  </si>
  <si>
    <t>4A68B592A3CB424ABBB17229873FC997</t>
  </si>
  <si>
    <t>production of baseplate module without frame, cleaned, DCAC grid inverter, SOFC-bat, Long-Term</t>
  </si>
  <si>
    <t>assuming</t>
  </si>
  <si>
    <t>Prodcution of frame with bonded terminals, DCAC grid inverter, SOFC-bat, Long-Term, DCAC grid inverter, SOFC-bat, Long-Term</t>
  </si>
  <si>
    <t>089E5E674DE94B5FB8746FD00D59494B</t>
  </si>
  <si>
    <t>D55D5C2C01324A7485FCB892665EF497</t>
  </si>
  <si>
    <t>production of baseplate module without frame, DCAC grid inverter, SOFC-bat, Long-Term</t>
  </si>
  <si>
    <t>market for isopropanol</t>
  </si>
  <si>
    <t>3F5807E61A134A22AC8EFE40E848D973</t>
  </si>
  <si>
    <t>production of DCB, with IGBT chips attached, DCAC grid inverter, SOFC-bat, Long-Term</t>
  </si>
  <si>
    <t>production of baseplate, to furnace, DCAC grid inverter, SOFC-bat, Long-Term, DCAC grid inverter, SOFC-bat, Long-Term</t>
  </si>
  <si>
    <t>7EF6BE421BB34DE6AB0CC12CAE714B00</t>
  </si>
  <si>
    <t>production of baseplate, cleaned and baked, DCAC grid inverter, SOFC-bat, Long-Term</t>
  </si>
  <si>
    <t>7F09C1EB60124763B15266F48A1F2317</t>
  </si>
  <si>
    <t>production of baseplate, nickel plated, DCAC grid inverter, SOFC-bat, Long-Term</t>
  </si>
  <si>
    <t>E959757F094A4C628DA901855E2F005A</t>
  </si>
  <si>
    <t>production of cleaned bus bars, contacts, plates and foils, DCAC grid inverter, SOFC-bat, Long-Term</t>
  </si>
  <si>
    <t>396B6FFAAC5B4477BD2924CB8CDB4BCB</t>
  </si>
  <si>
    <t>8AFFEC8DDB634A68BF606B5C55F107E3</t>
  </si>
  <si>
    <t>production of DCB substrate, to furnace, DCAC grid inverter, SOFC-bat, Long-Term</t>
  </si>
  <si>
    <t>production of diced IGBT chips, DCAC grid inverter, SOFC-bat, Long-Term</t>
  </si>
  <si>
    <t>26F89D0F650D4E598BFBD9C4AFFA43EC</t>
  </si>
  <si>
    <t>wafer production, fabricated, for integrated circuit</t>
  </si>
  <si>
    <t>cm2</t>
  </si>
  <si>
    <t>B5464E22601C4A39860602B56C650C3B</t>
  </si>
  <si>
    <t>production of DCB substrate, cleaned and baked, DCAC grid inverter, SOFC-bat, Long-Term</t>
  </si>
  <si>
    <t>152B7F02F1E6420B8FE59EC183637B90</t>
  </si>
  <si>
    <t>production of DCB, patterned, nickel plated, DCAC grid inverter, SOFC-bat, Long-Term</t>
  </si>
  <si>
    <t>8274D910EBAA47C0A775292A00891F6C</t>
  </si>
  <si>
    <t>production of DCB, patterned, DCAC grid inverter, SOFC-bat, Long-Term</t>
  </si>
  <si>
    <t>1AA33D76CE4E4864BB80978F6237C526</t>
  </si>
  <si>
    <t>production of DCB, before etching, DCAC grid inverter, SOFC-bat, Long-Term</t>
  </si>
  <si>
    <t>market for potassium carbonate</t>
  </si>
  <si>
    <t>market for chemical, organic</t>
  </si>
  <si>
    <t>market for potassium hydroxide</t>
  </si>
  <si>
    <t>6FF75C07DB0C4A18873D6DAC854D46B0</t>
  </si>
  <si>
    <t>production of Alumina substrate, DCAC grid inverter, SOFC-bat, Long-Term</t>
  </si>
  <si>
    <t>9ABECF60612D4130A9BAE2D144D72DE6</t>
  </si>
  <si>
    <t>acrylic dispersion production, product in 65% solution state</t>
  </si>
  <si>
    <t>market for glycerine</t>
  </si>
  <si>
    <t>acrylic binder production, product in 34% solution state</t>
  </si>
  <si>
    <t>market for water, ultrapure</t>
  </si>
  <si>
    <t>Ammonia</t>
  </si>
  <si>
    <t>Carbon monoxide, fossil</t>
  </si>
  <si>
    <t>F0955042A8FB4157BDB28A945F9E1D2E</t>
  </si>
  <si>
    <t>Driver board, assembled</t>
  </si>
  <si>
    <t>Logic board, assembled, with connector</t>
  </si>
  <si>
    <t>DC link capacitor</t>
  </si>
  <si>
    <t>production of  IGBT power module, complete, isolating DCDC converter, SOFC-bat, Long-Term</t>
  </si>
  <si>
    <t>IGBT power module, complete</t>
  </si>
  <si>
    <t>production of Galvanized terminals, screws and washers, isolating DCDC converter, SOFC-bat, Long-Term</t>
  </si>
  <si>
    <t>see assumption about kg/m2 in "Reusable"</t>
  </si>
  <si>
    <t>Galvanized screws and washers</t>
  </si>
  <si>
    <t>production of plated cable glands, isolating DCDC converter, SOFC-bat, Long-Term</t>
  </si>
  <si>
    <t>Plated cable glands</t>
  </si>
  <si>
    <t>extrusion, plastic pipes</t>
  </si>
  <si>
    <t>Bus bar, laminated, isolating DCDC converter, SOFC-bat, Long-Term</t>
  </si>
  <si>
    <t xml:space="preserve">Bus bar, laminated </t>
  </si>
  <si>
    <t>production of machined casing, isolating DCDC converter, SOFC-bat, Long-Term</t>
  </si>
  <si>
    <t>Machined casing, surface treated</t>
  </si>
  <si>
    <t>electricity demand for building services in PCB assembly and for final inverter unit assembly</t>
  </si>
  <si>
    <t>4,4 kg</t>
  </si>
  <si>
    <t>5F2619260CAD44A893E96BFD6B284166</t>
  </si>
  <si>
    <t>production of Galvanization layer, isolating DCDC converter, SOFC-bat, Long-Term</t>
  </si>
  <si>
    <t>assuming 0,1875 m2/kg</t>
  </si>
  <si>
    <t>production of Cleaned terminals, screws and washers, isolating DCDC converter, SOFC-bat, Long-Term</t>
  </si>
  <si>
    <t>F8FC8BFECE434043861C3E8E03E55424</t>
  </si>
  <si>
    <t>AD415F4BF317407DB724617468FF3675</t>
  </si>
  <si>
    <t>so 0,2 kg screws corresponds to 0,03 m2</t>
  </si>
  <si>
    <t>so 0,03 m2= 0,16kg</t>
  </si>
  <si>
    <t>production of Steel terminals, screws and washers, isolating DCDC converter, SOFC-bat, Long-Term</t>
  </si>
  <si>
    <t>production of nickel in plated layer, isolating DCDC converter, SOFC-bat, Long-Term</t>
  </si>
  <si>
    <t>BBCD08F34B92449B91C7F3EEFD97D24A</t>
  </si>
  <si>
    <t>14505D4E60CC44CE8756C280A9870FE4</t>
  </si>
  <si>
    <t>production of copper bus bars, contacts, plates and foils, isolating DCDC converter, SOFC-bat, Long-Term</t>
  </si>
  <si>
    <t>5FC2BA26B7984A7C8E27038EE080E437</t>
  </si>
  <si>
    <t>06524EF2A45B45869B520A403B7CE0CE</t>
  </si>
  <si>
    <t>2BB2D73D9915430BA82B4467DF8D76E5</t>
  </si>
  <si>
    <t>production of cleaned cable glands, isolating DCDC converter, SOFC-bat, Long-Term</t>
  </si>
  <si>
    <t>F313CA0CFE574A53B5D68F583EDF8029</t>
  </si>
  <si>
    <t>production of brass cable glands, isolating DCDC converter, SOFC-bat, Long-Term</t>
  </si>
  <si>
    <t>C505CB7089EF44B8841F22232E86974F</t>
  </si>
  <si>
    <t>assuming that the weight is equivbalent to area in mother process</t>
  </si>
  <si>
    <t>073C980E1F03482D9479027F02FCFF27</t>
  </si>
  <si>
    <t>production of machined casing, mass scaled activities, isolating DCDC converter, SOFC-bat, Long-Term</t>
  </si>
  <si>
    <t>F15D852777C249018C81DA1DE2130EBD</t>
  </si>
  <si>
    <t>production of die cast casing parts, isolating DCDC converter, SOFC-bat, Long-Term</t>
  </si>
  <si>
    <t>BEFC6075561540AD9502C4E1421B0916</t>
  </si>
  <si>
    <t>5409E25B8FF54351BDD0BD209032029F</t>
  </si>
  <si>
    <t>ASSUMING THAT 1 unit is equivalent given in the overall assembly</t>
  </si>
  <si>
    <t>production of Power module, open, potted, isolating DCDC converter, SOFC-bat, Long-Term</t>
  </si>
  <si>
    <t>production of Lid, injection moulded, isolating DCDC converter, SOFC-bat, Long-Term</t>
  </si>
  <si>
    <t>62231A36A960422E80E6AE20F6C7D8DB</t>
  </si>
  <si>
    <t>8D4AB72BE4354ECFB4B2654D2342A7DF</t>
  </si>
  <si>
    <t>production of potting gel layer, isolating DCDC converter, SOFC-bat, Long-Term</t>
  </si>
  <si>
    <t>production of power module, open, wire bonded, isolating DCDC converter, SOFC-bat, Long-Term</t>
  </si>
  <si>
    <t>56D3BCB5E0CA4D8EA721D90E558C1F84</t>
  </si>
  <si>
    <t>0D6F1ADC4711440EAAB32197218F79E8</t>
  </si>
  <si>
    <t>production of Copper Wire, isolating DCDC converter, SOFC-bat, Long-Term</t>
  </si>
  <si>
    <t>production of baseplate module with frame, cleaned, isolating DCDC converter, SOFC-bat, Long-Term</t>
  </si>
  <si>
    <t>DD2535EF0CA248A4A7C0451C412093A2</t>
  </si>
  <si>
    <t>49E38362F5B643A9B3DBC1F7E85B69F9</t>
  </si>
  <si>
    <t>production of baseplate module with frame, isolating DCDC converter, SOFC-bat, Long-Term</t>
  </si>
  <si>
    <t>0C9833A0ECD94D049093F13F37364787</t>
  </si>
  <si>
    <t>production of baseplate module without frame, cleaned, isolating DCDC converter, SOFC-bat, Long-Term</t>
  </si>
  <si>
    <t>Prodcution of frame with bonded terminals, isolating DCDC converter, SOFC-bat, Long-Term</t>
  </si>
  <si>
    <t>790E9D7E10784339A03E691478E42097</t>
  </si>
  <si>
    <t>740F7588ADF144E3A088EE96E117AFF4</t>
  </si>
  <si>
    <t>production of baseplate module without frame, isolating DCDC converter, SOFC-bat, Long-Term</t>
  </si>
  <si>
    <t>5878EB279FDA4D86938FEB5F627B5426</t>
  </si>
  <si>
    <t>production of DCB, with IGBT chips attached, isolating DCDC converter, SOFC-bat, Long-Term</t>
  </si>
  <si>
    <t>production of baseplate, to furnace, isolating DCDC converter, SOFC-bat, Long-Term</t>
  </si>
  <si>
    <t>2A081E3004C04D4FACF1721EEA1F3B96</t>
  </si>
  <si>
    <t>production of baseplate, cleaned and baked, isolating DCDC converter, SOFC-bat, Long-Term</t>
  </si>
  <si>
    <t>985A751CFA824A79A4740AFBB012C32C</t>
  </si>
  <si>
    <t>production of baseplate, nickel plated, isolating DCDC converter, SOFC-bat, Long-Term</t>
  </si>
  <si>
    <t>B5E48C5FA0844F12BFBBA27797866E6D</t>
  </si>
  <si>
    <t>production of cleaned bus bars, contacts, plates and foils, isolating DCDC converter, SOFC-bat, Long-Term</t>
  </si>
  <si>
    <t>nickel in sulfanate is zero</t>
  </si>
  <si>
    <t>B706FA6970504C3590D40BAF610C8C81</t>
  </si>
  <si>
    <t>error in their units assuming the weight and area they give corresponds</t>
  </si>
  <si>
    <t>EC744BBD8F25446BB20F4CBD546765A1</t>
  </si>
  <si>
    <t>production of DCB substrate, to furnace, isolating DCDC converter, SOFC-bat, Long-Term</t>
  </si>
  <si>
    <t>production of diced IGBT chips, isolating DCDC converter, SOFC-bat, Long-Term</t>
  </si>
  <si>
    <t>D2DF0898309A4090B1E19DA1D7EFEB02</t>
  </si>
  <si>
    <t>35F46A223F07408B8FBF4CEC8F8120AB</t>
  </si>
  <si>
    <t>production of DCB substrate, cleaned and baked, isolating DCDC converter, SOFC-bat, Long-Term</t>
  </si>
  <si>
    <t>8AA13D16F1304C7CBDB4DE5B41C2E9C7</t>
  </si>
  <si>
    <t>production of DCB, patterned, nickel plated, isolating DCDC converter, SOFC-bat, Long-Term</t>
  </si>
  <si>
    <t>2F9887DF26E14D059D5BC1C23914F40E</t>
  </si>
  <si>
    <t>production of DCB, patterned, isolating DCDC converter, SOFC-bat, Long-Term</t>
  </si>
  <si>
    <t>F4F5C433601846C2B6DDD6457F2C9A0C</t>
  </si>
  <si>
    <t>production of DCB, before etching, isolating DCDC converter, SOFC-bat, Long-Term</t>
  </si>
  <si>
    <t>ABD1644163934994B33FFFF33F630166</t>
  </si>
  <si>
    <t>production of Alumina substrate, isolating DCDC converter, SOFC-bat, Long-Term</t>
  </si>
  <si>
    <t>B0F3EC5D9BAC4E65A0D50008175E38BA</t>
  </si>
  <si>
    <t>6BCC41189D284DA0A9483EFB1D4E645E</t>
  </si>
  <si>
    <t>production of  IGBT power module, complete,non-isolating unidirectional FC DCDC converter, SOFC-bat, Long-Term</t>
  </si>
  <si>
    <t>production of Galvanized terminals, screws and washers,non-isolating unidirectional FC DCDC converter, SOFC-bat, Long-Term</t>
  </si>
  <si>
    <t>production of plated cable glands,non-isolating unidirectional FC DCDC converter, SOFC-bat, Long-Term</t>
  </si>
  <si>
    <t>Bus bar, laminated,non-isolating unidirectional FC DCDC converter, SOFC-bat, Long-Term</t>
  </si>
  <si>
    <t>production of machined casing,non-isolating unidirectional FC DCDC converter, SOFC-bat, Long-Term</t>
  </si>
  <si>
    <t>16,67 kg</t>
  </si>
  <si>
    <t>weight check</t>
  </si>
  <si>
    <t>for this one the masses indicated in the LCI do not match the masses indicated in the background file procvided for the LCI ( background files were deemed more detailed and used here)</t>
  </si>
  <si>
    <t>B8215BA25C49425DA291348A64235DC7</t>
  </si>
  <si>
    <t>production of Galvanization layer,non-isolating unidirectional FC DCDC converter, SOFC-bat, Long-Term</t>
  </si>
  <si>
    <t>production of Cleaned terminals, screws and washers,non-isolating unidirectional FC DCDC converter, SOFC-bat, Long-Term</t>
  </si>
  <si>
    <t>D8BF6A72D046402BAF5A6A57BB3CD528</t>
  </si>
  <si>
    <t>5107E691C36F403A91124C94585DDDCE</t>
  </si>
  <si>
    <t>so 0,27 kg screws per 0.05 m2</t>
  </si>
  <si>
    <t>production of Steel terminals, screws and washers,non-isolating unidirectional FC DCDC converter, SOFC-bat, Long-Term</t>
  </si>
  <si>
    <t>production of nickel in plated layer,non-isolating unidirectional FC DCDC converter, SOFC-bat, Long-Term</t>
  </si>
  <si>
    <t>CA9CA15DDD8D407F9C485B5EE3DC3002</t>
  </si>
  <si>
    <t>3C894773F2C740D3B8A55F2CD7A0D8D3</t>
  </si>
  <si>
    <t>production of copper bus bars, contacts, plates and foils,non-isolating unidirectional FC DCDC converter, SOFC-bat, Long-Term</t>
  </si>
  <si>
    <t>7807C19C2CE045449212414441A6B652</t>
  </si>
  <si>
    <t>8771D6FA45D44E5688CF03270938230E</t>
  </si>
  <si>
    <t>44115799F5BB4E7F8DCC6221A61A6A4C</t>
  </si>
  <si>
    <t>production of cleaned cable glands,non-isolating unidirectional FC DCDC converter, SOFC-bat, Long-Term</t>
  </si>
  <si>
    <t>4FAA044AD272496B8EDB60691E940CAC</t>
  </si>
  <si>
    <t>production of brass cable glands,non-isolating unidirectional FC DCDC converter, SOFC-bat, Long-Term</t>
  </si>
  <si>
    <t>D720C034581B47109E5287C1EA953F4E</t>
  </si>
  <si>
    <t>8946CB52DCB5490C964CD3DB64F9A99A</t>
  </si>
  <si>
    <t>production of machined casing, mass scaled activities,non-isolating unidirectional FC DCDC converter, SOFC-bat, Long-Term</t>
  </si>
  <si>
    <t>7E70066AFDB24C58803D39B3192FAA61</t>
  </si>
  <si>
    <t>production of die cast casing parts,non-isolating unidirectional FC DCDC converter, SOFC-bat, Long-Term</t>
  </si>
  <si>
    <t>F838559FA5874EE59631D6BB96DF6930</t>
  </si>
  <si>
    <t>542665720E8A4D9D89E5AD7359430B22</t>
  </si>
  <si>
    <t>production of Power module, open, potted,non-isolating unidirectional FC DCDC converter, SOFC-bat, Long-Term</t>
  </si>
  <si>
    <t>production of Lid, injection moulded,non-isolating unidirectional FC DCDC converter, SOFC-bat, Long-Term</t>
  </si>
  <si>
    <t>BDED7A3C8F934C5CB7765F62FA2EF5DF</t>
  </si>
  <si>
    <t>5521C469436E46CA836C0CADEDD1F6DC</t>
  </si>
  <si>
    <t>production of potting gel layer,non-isolating unidirectional FC DCDC converter, SOFC-bat, Long-Term</t>
  </si>
  <si>
    <t>production of power module, open, wire bonded,non-isolating unidirectional FC DCDC converter, SOFC-bat, Long-Term</t>
  </si>
  <si>
    <t>D2101A7B8F164ED9A4A850412AF3AC62</t>
  </si>
  <si>
    <t>55DF9C5FD9D54CBC9D96BDA5E7A71157</t>
  </si>
  <si>
    <t>production of Copper Wire,non-isolating unidirectional FC DCDC converter, SOFC-bat, Long-Term</t>
  </si>
  <si>
    <t>production of baseplate module with frame, cleaned,non-isolating unidirectional FC DCDC converter, SOFC-bat, Long-Term</t>
  </si>
  <si>
    <t>641E3002E7444515919DED8284BDBF1E</t>
  </si>
  <si>
    <t>6B2ECBEB153C4299A7DFFEE5D12D0CDA</t>
  </si>
  <si>
    <t>production of baseplate module with frame,non-isolating unidirectional FC DCDC converter, SOFC-bat, Long-Term</t>
  </si>
  <si>
    <t>10B6A40D3F0A4B6CB1A056AAB80F9F5C</t>
  </si>
  <si>
    <t>production of baseplate module without frame, cleaned,non-isolating unidirectional FC DCDC converter, SOFC-bat, Long-Term</t>
  </si>
  <si>
    <t>assuming (from sheet reusable)</t>
  </si>
  <si>
    <t>Prodcution of frame with bonded terminals,non-isolating unidirectional FC DCDC converter, SOFC-bat, Long-Term</t>
  </si>
  <si>
    <t>59EBAB9996BF4FDB985734BB835BC0A0</t>
  </si>
  <si>
    <t>57479A811C5F44D59513C503584A9612</t>
  </si>
  <si>
    <t>production of baseplate module without frame,non-isolating unidirectional FC DCDC converter, SOFC-bat, Long-Term</t>
  </si>
  <si>
    <t>4E0DEC8BECBD42DF81522CF04649DBE3</t>
  </si>
  <si>
    <t>production of DCB, with IGBT chips attached,non-isolating unidirectional FC DCDC converter, SOFC-bat, Long-Term</t>
  </si>
  <si>
    <t>production of baseplate, to furnace,non-isolating unidirectional FC DCDC converter, SOFC-bat, Long-Term</t>
  </si>
  <si>
    <t>86CC5D79342B4F8795EBC402DBDF642C</t>
  </si>
  <si>
    <t>production of baseplate, cleaned and baked,non-isolating unidirectional FC DCDC converter, SOFC-bat, Long-Term</t>
  </si>
  <si>
    <t>8FAB4DA65F3341F685F3CC6911AFF03D</t>
  </si>
  <si>
    <t>production of baseplate, nickel plated,non-isolating unidirectional FC DCDC converter, SOFC-bat, Long-Term</t>
  </si>
  <si>
    <t>E85124293A364B1994F13A55E98F800C</t>
  </si>
  <si>
    <t>production of cleaned bus bars, contacts, plates and foils,non-isolating unidirectional FC DCDC converter, SOFC-bat, Long-Term</t>
  </si>
  <si>
    <t>5B0854816AFB4EDAA80F9EA4BECD9C25</t>
  </si>
  <si>
    <t>740C13EA54A7407BB0CFF6A704A7ED6C</t>
  </si>
  <si>
    <t>production of DCB substrate, to furnace,non-isolating unidirectional FC DCDC converter, SOFC-bat, Long-Term</t>
  </si>
  <si>
    <t>production of diced IGBT chips,non-isolating unidirectional FC DCDC converter, SOFC-bat, Long-Term</t>
  </si>
  <si>
    <t>89911DB16B834738B611A84A4E4E0FEE</t>
  </si>
  <si>
    <t>cm²</t>
  </si>
  <si>
    <t>9FE32EA0CC0D4AD1BA728547CD84F5A1</t>
  </si>
  <si>
    <t>production of DCB substrate, cleaned and baked,non-isolating unidirectional FC DCDC converter, SOFC-bat, Long-Term</t>
  </si>
  <si>
    <t>CE3D32FC6FA14F24B9E05FEA5B1E04E7</t>
  </si>
  <si>
    <t>production of DCB, patterned, nickel plated,non-isolating unidirectional FC DCDC converter, SOFC-bat, Long-Term</t>
  </si>
  <si>
    <t>EC01FB0762BF4E3FA5D18062F52C84E1</t>
  </si>
  <si>
    <t>production of DCB, patterned,non-isolating unidirectional FC DCDC converter, SOFC-bat, Long-Term</t>
  </si>
  <si>
    <t>A976D7D5B9BC4D558BECFA97906388D7</t>
  </si>
  <si>
    <t>production of DCB, before etching,non-isolating unidirectional FC DCDC converter, SOFC-bat, Long-Term</t>
  </si>
  <si>
    <t>0953F5EC11A545CAA5325F9A86C8C5D8</t>
  </si>
  <si>
    <t>production of Alumina substrate,non-isolating unidirectional FC DCDC converter, SOFC-bat, Long-Term</t>
  </si>
  <si>
    <t>CBAC99E9966B4AE7A293ACB09EC0563A</t>
  </si>
  <si>
    <t>E012FE8F4B7C41EAA08DC43B12C996E0</t>
  </si>
  <si>
    <t>production of  IGBT power module, complete, motor traction drive inverter DCAC, SOFC-bat, Long-Term</t>
  </si>
  <si>
    <t>production of Galvanized terminals, screws and washers, motor traction drive inverter DCAC, SOFC-bat, Long-Term</t>
  </si>
  <si>
    <t>production of plated cable glands, motor traction drive inverter DCAC, SOFC-bat, Long-Term</t>
  </si>
  <si>
    <t>Bus bar, laminated, motor traction drive inverter DCAC, SOFC-bat, Long-Term</t>
  </si>
  <si>
    <t>production of machined casing, motor traction drive inverter DCAC, SOFC-bat, Long-Term</t>
  </si>
  <si>
    <t>weight check 11,635 kg</t>
  </si>
  <si>
    <t>76E1983329264C739D4367DB4C3787D3</t>
  </si>
  <si>
    <t>Assuming (see below) that</t>
  </si>
  <si>
    <t>production of Galvanization layer, motor traction drive inverter DCAC, SOFC-bat, Long-Term</t>
  </si>
  <si>
    <t>production of Cleaned terminals, screws and washers, motor traction drive inverter DCAC, SOFC-bat, Long-Term</t>
  </si>
  <si>
    <t>55C985CD13014CD1B79844339B98BA55</t>
  </si>
  <si>
    <t>A65F907FB8534397A19B02B9E1065CEB</t>
  </si>
  <si>
    <t>so 0,27 kg screws corresponds to 0,05m2</t>
  </si>
  <si>
    <t>production of Steel terminals, screws and washers, motor traction drive inverter DCAC, SOFC-bat, Long-Term</t>
  </si>
  <si>
    <t>assuming that the input is the same as output of nestled process</t>
  </si>
  <si>
    <t>production of nickel in plated layer, motor traction drive inverter DCAC, SOFC-bat, Long-Term</t>
  </si>
  <si>
    <t>BE6E5F9599CA4A8F9141484A7D75DED8</t>
  </si>
  <si>
    <t>E10D5AEF35E64BA3A12C2C603DC27EFC</t>
  </si>
  <si>
    <t>production of copper bus bars, contacts, plates and foils, motor traction drive inverter DCAC, SOFC-bat, Long-Term</t>
  </si>
  <si>
    <t>AE26AFC38BC54E5B9F4B35FBBC215236</t>
  </si>
  <si>
    <t>D2807E161BD64FFAAA3D603F80E06D4E</t>
  </si>
  <si>
    <t>EA309D1C0C55410385C97E7D0C14D177</t>
  </si>
  <si>
    <t>production of cleaned cable glands, motor traction drive inverter DCAC, SOFC-bat, Long-Term</t>
  </si>
  <si>
    <t>31FC1F8086A64F31AB45D53207131FE6</t>
  </si>
  <si>
    <t>production of brass cable glands, motor traction drive inverter DCAC, SOFC-bat, Long-Term</t>
  </si>
  <si>
    <t>91C18A29A28A4DD18F80A2ED18D72DAE</t>
  </si>
  <si>
    <t>CD4E211778A848589ABC3511D31C0B22</t>
  </si>
  <si>
    <t>production of machined casing, mass scaled activities, motor traction drive inverter DCAC, SOFC-bat, Long-Term</t>
  </si>
  <si>
    <t>75B295C0CB2E4544B5269FAC3D98E35B</t>
  </si>
  <si>
    <t>production of die cast casing parts, motor traction drive inverter DCAC, SOFC-bat, Long-Term</t>
  </si>
  <si>
    <t>3150BC6C961341BA9809DCC605B7BB78</t>
  </si>
  <si>
    <t>3B080C736C8C48BAB4846B6FC5363364</t>
  </si>
  <si>
    <t>production of Power module, open, potted, motor traction drive inverter DCAC, SOFC-bat, Long-Term</t>
  </si>
  <si>
    <t>production of Lid, injection moulded, motor traction drive inverter DCAC, SOFC-bat, Long-Term</t>
  </si>
  <si>
    <t>0A775C80D87B4BD49063C4A1FDE27BEC</t>
  </si>
  <si>
    <t>D840D3EAC9864E0DA00343466B405509</t>
  </si>
  <si>
    <t>production of potting gel layer, motor traction drive inverter DCAC, SOFC-bat, Long-Term</t>
  </si>
  <si>
    <t>production of power module, open, wire bonded, motor traction drive inverter DCAC, SOFC-bat, Long-Term</t>
  </si>
  <si>
    <t>3A117C865F15473892797AB9835F5879</t>
  </si>
  <si>
    <t>B20BD7AAC0E44E96A738F54DD3029D41</t>
  </si>
  <si>
    <t>production of Copper Wire, motor traction drive inverter DCAC, SOFC-bat, Long-Term</t>
  </si>
  <si>
    <t>production of baseplate module with frame, cleaned, motor traction drive inverter DCAC, SOFC-bat, Long-Term</t>
  </si>
  <si>
    <t>94ACDE45E45E4D5EB3E9C247F1B57A87</t>
  </si>
  <si>
    <t>FF158654F3EF457496B582E6EC338E3C</t>
  </si>
  <si>
    <t>production of baseplate module with frame, motor traction drive inverter DCAC, SOFC-bat, Long-Term</t>
  </si>
  <si>
    <t>83847543A39043A7A7F3648C0B8EC6C4</t>
  </si>
  <si>
    <t>assuming (see sheet "reusable")</t>
  </si>
  <si>
    <t>production of baseplate module without frame, cleaned, motor traction drive inverter DCAC, SOFC-bat, Long-Term</t>
  </si>
  <si>
    <t>Prodcution of frame with bonded terminals, motor traction drive inverter DCAC, SOFC-bat, Long-Term</t>
  </si>
  <si>
    <t>8648432542294593B22C8942CC28A530</t>
  </si>
  <si>
    <t>1C3CEE17699D4A019AAA9BB291835CFD</t>
  </si>
  <si>
    <t>production of baseplate module without frame, motor traction drive inverter DCAC, SOFC-bat, Long-Term</t>
  </si>
  <si>
    <t>44ED7F7355F24302B3C72D4EF4662647</t>
  </si>
  <si>
    <t>production of DCB, with IGBT chips attached, motor traction drive inverter DCAC, SOFC-bat, Long-Term</t>
  </si>
  <si>
    <t>production of baseplate, to furnace, motor traction drive inverter DCAC, SOFC-bat, Long-Term</t>
  </si>
  <si>
    <t>1FF8D0252772435EA4474DFBA7E124A0</t>
  </si>
  <si>
    <t>production of baseplate, cleaned and baked, motor traction drive inverter DCAC, SOFC-bat, Long-Term</t>
  </si>
  <si>
    <t>8BBEECD0FC1A4078B154CB399AD5D086</t>
  </si>
  <si>
    <t>production of baseplate, nickel plated, motor traction drive inverter DCAC, SOFC-bat, Long-Term</t>
  </si>
  <si>
    <t>55CBAFD473D840088AC74A79962A0342</t>
  </si>
  <si>
    <t>production of cleaned bus bars, contacts, plates and foils, motor traction drive inverter DCAC, SOFC-bat, Long-Term</t>
  </si>
  <si>
    <t>C357828A714A4A62B167CCE46A1E7877</t>
  </si>
  <si>
    <t>98B763651D6947CCA6FFDEE9DC22CB84</t>
  </si>
  <si>
    <t>production of DCB substrate, to furnace, motor traction drive inverter DCAC, SOFC-bat, Long-Term</t>
  </si>
  <si>
    <t>production of diced IGBT chips, motor traction drive inverter DCAC, SOFC-bat, Long-Term</t>
  </si>
  <si>
    <t>C552DAEB804E42F582F55F8B8D8ABB6B</t>
  </si>
  <si>
    <t>8E36B037D58840F1BC6A7960DF54CE6C</t>
  </si>
  <si>
    <t>production of DCB substrate, cleaned and baked, motor traction drive inverter DCAC, SOFC-bat, Long-Term</t>
  </si>
  <si>
    <t>515DB25EDCD74391B9E353436B4877B4</t>
  </si>
  <si>
    <t>production of DCB, patterned, nickel plated, motor traction drive inverter DCAC, SOFC-bat, Long-Term</t>
  </si>
  <si>
    <t>4C2EE490290747E09D0438EDAFFE7E43</t>
  </si>
  <si>
    <t>production of DCB, patterned, motor traction drive inverter DCAC, SOFC-bat, Long-Term</t>
  </si>
  <si>
    <t>19CCF0D5B086447DA4BDCC5AEFCB5882</t>
  </si>
  <si>
    <t>production of DCB, before etching, motor traction drive inverter DCAC, SOFC-bat, Long-Term</t>
  </si>
  <si>
    <t>9A12D9AE092642B1BAE0522F9C82AE12</t>
  </si>
  <si>
    <t>production of Alumina substrate, motor traction drive inverter DCAC, SOFC-bat, Long-Term</t>
  </si>
  <si>
    <t>C964316CCEA24F488DDB7C793418C0F4</t>
  </si>
  <si>
    <t>ACFDB3EA76E64509B2E5F66F01BE5808</t>
  </si>
  <si>
    <t>production of  IGBT power module, complete, bidirectional battery DCDC converter, SOFC-bat, Long-Term</t>
  </si>
  <si>
    <t>production of Galvanized terminals, screws and washers, bidirectional battery DCDC converter, SOFC-bat, Long-Term</t>
  </si>
  <si>
    <t>production of plated cable glands, bidirectional battery DCDC converter, SOFC-bat, Long-Term</t>
  </si>
  <si>
    <t>Bus bar, laminated, bidirectional battery DCDC converter, SOFC-bat, Long-Term</t>
  </si>
  <si>
    <t>production of machined casing, bidirectional battery DCDC converter, SOFC-bat, Long-Term</t>
  </si>
  <si>
    <t>weight check 36,6 kg</t>
  </si>
  <si>
    <t>BB50377461A4473EA5458EB120D0A778</t>
  </si>
  <si>
    <t>production of Galvanization layer, bidirectional battery DCDC converter, SOFC-bat, Long-Term</t>
  </si>
  <si>
    <t>production of Cleaned terminals, screws and washers, bidirectional battery DCDC converter, SOFC-bat, Long-Term</t>
  </si>
  <si>
    <t>2EA0EB2DBEDB4506A70B0030778B043C</t>
  </si>
  <si>
    <t>35E3CA0BACD94B0684D7ADBE095DE2E0</t>
  </si>
  <si>
    <t>so 0,05 m2 = 0,32 kg</t>
  </si>
  <si>
    <t>so 0,16 kg screws corresponds to 0,25 m2</t>
  </si>
  <si>
    <t>production of Steel terminals, screws and washers, bidirectional battery DCDC converter, SOFC-bat, Long-Term</t>
  </si>
  <si>
    <t>production of nickel in plated layer, bidirectional battery DCDC converter, SOFC-bat, Long-Term</t>
  </si>
  <si>
    <t>B4FDBEC73D2F41A99B0FED079C9DDF93</t>
  </si>
  <si>
    <t>82E3603AD94B4F3185E2DD2351EC3C42</t>
  </si>
  <si>
    <t>production of copper bus bars, contacts, plates and foils, bidirectional battery DCDC converter, SOFC-bat, Long-Term</t>
  </si>
  <si>
    <t>1B9AF7978581421AB8DA73D6FF47897F</t>
  </si>
  <si>
    <t>7249C6AAA38841E9B63AB648F59D12B0</t>
  </si>
  <si>
    <t>6354F6F87BFD4E9E90E9C0E02B21A673</t>
  </si>
  <si>
    <t>assuming that the area is equivbalent to teh weight in mother process</t>
  </si>
  <si>
    <t>production of cleaned cable glands, bidirectional battery DCDC converter, SOFC-bat, Long-Term</t>
  </si>
  <si>
    <t>B5F36E10A0F546038ADB454AC1A5F686</t>
  </si>
  <si>
    <t>production of brass cable glands, bidirectional battery DCDC converter, SOFC-bat, Long-Term</t>
  </si>
  <si>
    <t>571B83BC63B74191978C4B91ACB61227</t>
  </si>
  <si>
    <t>assuming that the weight of 3,13kg is equivalent to area in mother process</t>
  </si>
  <si>
    <t>596478C78965431FBDA07BAC7CE9C452</t>
  </si>
  <si>
    <t>production of machined casing, mass scaled activities, bidirectional battery DCDC converter, SOFC-bat, Long-Term</t>
  </si>
  <si>
    <t>D11C323AAD8F4F61A3FEE5717B9AA0B9</t>
  </si>
  <si>
    <t>production of die cast casing parts, bidirectional battery DCDC converter, SOFC-bat, Long-Term</t>
  </si>
  <si>
    <t>FA92801B9170428A95F10286F32D098A</t>
  </si>
  <si>
    <t>B1C1BF9646D54226B4DE5140AD996CF3</t>
  </si>
  <si>
    <t>ASSUMING THAT 1 unit is equivalent to the weight in mother processs</t>
  </si>
  <si>
    <t>production of Power module, open, potted, bidirectional battery DCDC converter, SOFC-bat, Long-Term</t>
  </si>
  <si>
    <t>production of Lid, injection moulded, bidirectional battery DCDC converter, SOFC-bat, Long-Term</t>
  </si>
  <si>
    <t>4CFF7333B2E5460096B313965C6FD174</t>
  </si>
  <si>
    <t>91E0C80243284373BBB6181DF29002CC</t>
  </si>
  <si>
    <t>production of potting gel layer, bidirectional battery DCDC converter, SOFC-bat, Long-Term</t>
  </si>
  <si>
    <t>production of power module, open, wire bonded, bidirectional battery DCDC converter, SOFC-bat, Long-Term</t>
  </si>
  <si>
    <t>2513B353A7EB4CCD96C57A18244B062D</t>
  </si>
  <si>
    <t>7C5159708D6C44A3895377C6DFE2A5B8</t>
  </si>
  <si>
    <t>production of Copper Wire, bidirectional battery DCDC converter, SOFC-bat, Long-Term</t>
  </si>
  <si>
    <t>production of baseplate module with frame, cleaned, bidirectional battery DCDC converter, SOFC-bat, Long-Term</t>
  </si>
  <si>
    <t>5C2ACF94FC074F73AA50A170B0EC9161</t>
  </si>
  <si>
    <t>9A3A9D3792EE4D9C9E293C9783C34675</t>
  </si>
  <si>
    <t>production of baseplate module with frame, bidirectional battery DCDC converter, SOFC-bat, Long-Term</t>
  </si>
  <si>
    <t>DB9454FA4D254994A07E83C16B9FAF01</t>
  </si>
  <si>
    <t>production of baseplate module without frame, cleaned, bidirectional battery DCDC converter, SOFC-bat, Long-Term</t>
  </si>
  <si>
    <t>Prodcution of frame with bonded terminals, bidirectional battery DCDC converter, SOFC-bat, Long-Term</t>
  </si>
  <si>
    <t>9AECFD1F95264577BE0A839F852AD20D</t>
  </si>
  <si>
    <t>C7CAEFB4A03143FB808594F7D8C48FCB</t>
  </si>
  <si>
    <t>production of baseplate module without frame, bidirectional battery DCDC converter, SOFC-bat, Long-Term</t>
  </si>
  <si>
    <t>87BE4BAE765842FFB0D2D289CA2E6304</t>
  </si>
  <si>
    <t>production of DCB, with IGBT chips attached, bidirectional battery DCDC converter, SOFC-bat, Long-Term</t>
  </si>
  <si>
    <t>production of baseplate, to furnace, bidirectional battery DCDC converter, SOFC-bat, Long-Term</t>
  </si>
  <si>
    <t>629F2E5D3A664ABDA6EFB41227C93901</t>
  </si>
  <si>
    <t>production of baseplate, cleaned and baked, bidirectional battery DCDC converter, SOFC-bat, Long-Term</t>
  </si>
  <si>
    <t>2D7E1C6D209440F08D71F27E3730DA98</t>
  </si>
  <si>
    <t>production of baseplate, nickel plated, bidirectional battery DCDC converter, SOFC-bat, Long-Term</t>
  </si>
  <si>
    <t>A5EBF9D448F844668271B7E966EE9D70</t>
  </si>
  <si>
    <t>production of cleaned bus bars, contacts, plates and foils, bidirectional battery DCDC converter, SOFC-bat, Long-Term</t>
  </si>
  <si>
    <t>D960AB1FAEB049C7BE9D13A1A9011CB9</t>
  </si>
  <si>
    <t>0B9540C4701E443E8C900FA08C93E933</t>
  </si>
  <si>
    <t>production of DCB substrate, to furnace, bidirectional battery DCDC converter, SOFC-bat, Long-Term</t>
  </si>
  <si>
    <t>production of diced IGBT chips, bidirectional battery DCDC converter, SOFC-bat, Long-Term</t>
  </si>
  <si>
    <t>D3E8DE6863284E7082893D52E03A8C96</t>
  </si>
  <si>
    <t>A80630864A464AC5933AA0D393DB323F</t>
  </si>
  <si>
    <t>production of DCB substrate, cleaned and baked, bidirectional battery DCDC converter, SOFC-bat, Long-Term</t>
  </si>
  <si>
    <t>E8D67A1FC40A495BB2EF6908540CC537</t>
  </si>
  <si>
    <t>production of DCB, patterned, nickel plated, bidirectional battery DCDC converter, SOFC-bat, Long-Term</t>
  </si>
  <si>
    <t>B95A1078B2D3404FB6F5EEE22638B0B2</t>
  </si>
  <si>
    <t>production of DCB, patterned, bidirectional battery DCDC converter, SOFC-bat, Long-Term</t>
  </si>
  <si>
    <t>6DC4451556794A84ADA72580FA4652E0</t>
  </si>
  <si>
    <t>production of DCB, before etching, bidirectional battery DCDC converter, SOFC-bat, Long-Term</t>
  </si>
  <si>
    <t>F305630AC27147F79E01710FB9F4AAAB</t>
  </si>
  <si>
    <t>production of Alumina substrate, bidirectional battery DCDC converter, SOFC-bat, Long-Term</t>
  </si>
  <si>
    <t>0B735AEFA4444CA4A18282D25FF0C11C</t>
  </si>
  <si>
    <t>production of hydrogen</t>
  </si>
  <si>
    <t>H2</t>
  </si>
  <si>
    <t>7FF6FD3A7B6243C5BFAFA159602A1B81</t>
  </si>
  <si>
    <t>Production of 1 kg of hydrogen in gaseous form</t>
  </si>
  <si>
    <t>contruction of H2 production plant</t>
  </si>
  <si>
    <t>Assuming that the stack will last 75.000 hours and the production volume a day is around 50.000 kg</t>
  </si>
  <si>
    <t>Electrical consumption 47 kWhe/kg H2 taken from Table 5 in Delpierre et al. (2021)</t>
  </si>
  <si>
    <t>Water consumption 9 kg/kg H2 taken from Table 5 in Delpierre et al. (2021)</t>
  </si>
  <si>
    <t>KOH consumption (AE) 1 g/kg H2 taken from Table 5 in Delpierre et al. (2021)</t>
  </si>
  <si>
    <t>Oxygen</t>
  </si>
  <si>
    <t>The factor 8 comes from the chemical equation (ratio H2/O2 is 1:8)</t>
  </si>
  <si>
    <t>liquefaction of hydrogen</t>
  </si>
  <si>
    <t>7EDDE36D2A21408CA42EC77715817886</t>
  </si>
  <si>
    <t>Liquefaction of 1 kg of hydrogen</t>
  </si>
  <si>
    <t>construction of H2 liquefaction system (for liquid H2)</t>
  </si>
  <si>
    <t>30 years lifetime and 16666667 kg/year</t>
  </si>
  <si>
    <t>Mixed refrigerant</t>
  </si>
  <si>
    <t>market for natural gas liquids</t>
  </si>
  <si>
    <t>market for ethane</t>
  </si>
  <si>
    <t>market for propane</t>
  </si>
  <si>
    <t>market for butane</t>
  </si>
  <si>
    <t>hydrogen</t>
  </si>
  <si>
    <t>554E2955018E488BBEA9843C01A1EE93</t>
  </si>
  <si>
    <t>1 kg of liquified hydrogen at airport</t>
  </si>
  <si>
    <t>construction of H2 supply system</t>
  </si>
  <si>
    <t>8018DC49F9014D7B83465A1CF7FBB823</t>
  </si>
  <si>
    <t>Construction of an alkaline electrolyzer with a power of 200MW</t>
  </si>
  <si>
    <t>production of electrolyzer module (20 MW)</t>
  </si>
  <si>
    <t>Electrolyser EoL, H2 plant construction EoL, SOFC-bat</t>
  </si>
  <si>
    <t>B81F73C255C34B7995CA12EF9D46773C</t>
  </si>
  <si>
    <t>Production of one electrolzer module with 20 MW (3316122 kg)</t>
  </si>
  <si>
    <t>production of stack</t>
  </si>
  <si>
    <t>production of BoP components</t>
  </si>
  <si>
    <t>production of outdoor housing</t>
  </si>
  <si>
    <t>7D88165F751244C998F02916FE07AA05</t>
  </si>
  <si>
    <t>Production of 1 stack which equals 585508 kg</t>
  </si>
  <si>
    <t>market for aluminium, primary, ingot</t>
  </si>
  <si>
    <t>IAI Area, EU27 &amp; EFTA</t>
  </si>
  <si>
    <t>market for copper collector foil, for Li-ion battery</t>
  </si>
  <si>
    <t>market for flat glass, uncoated</t>
  </si>
  <si>
    <t>market for platinum</t>
  </si>
  <si>
    <t>market for rhodium</t>
  </si>
  <si>
    <t>market for palladium</t>
  </si>
  <si>
    <t>market for polyester resin, unsaturated</t>
  </si>
  <si>
    <t>market for polyurethane, rigid foam</t>
  </si>
  <si>
    <t>market for polyvinylchloride, bulk polymerised</t>
  </si>
  <si>
    <t xml:space="preserve">market for polypropylene, granulate </t>
  </si>
  <si>
    <t>market for acrylonitrile-butadiene-styrene copolymer</t>
  </si>
  <si>
    <t>505C84A8D991460EA12916D8BEE3F7E6</t>
  </si>
  <si>
    <t>Production of base of plate components (818125 kg) according to Table A1.2 as in GENESIS_LCI_H2_production_&amp;_supply_v01.xlsx</t>
  </si>
  <si>
    <t>production of chiller</t>
  </si>
  <si>
    <t>production of closed loop cooling</t>
  </si>
  <si>
    <t>production of control panel</t>
  </si>
  <si>
    <t>production of demi water supply</t>
  </si>
  <si>
    <t>production of hydrogen purification system</t>
  </si>
  <si>
    <t>production of instrument air</t>
  </si>
  <si>
    <t>production of nitrogen panel</t>
  </si>
  <si>
    <t>966517BF195F44238F1B667AC0F9EB74</t>
  </si>
  <si>
    <t>Production of chiller (50753 kg) according to Table A1.2.1 as in GENESIS_LCI_H2_production_&amp;_supply_v01.xlsx</t>
  </si>
  <si>
    <t>market for ferrochromium, high-carbon, 55% Cr</t>
  </si>
  <si>
    <t>market for packaging glass, white</t>
  </si>
  <si>
    <t>market for brass</t>
  </si>
  <si>
    <t>EFD45AD1D14A4090879ED48C16FF108B</t>
  </si>
  <si>
    <t>Production of closed loop cooling (224860 kg) according to Table A1.2.2 as in GENESIS_LCI_H2_production_&amp;_supply_v01.xlsx</t>
  </si>
  <si>
    <t>market for fibre, polyester</t>
  </si>
  <si>
    <t>polyvinylchloride production, suspension polymerisation</t>
  </si>
  <si>
    <t>market for cast iron</t>
  </si>
  <si>
    <t>540AE9013F7A48F596CE65E6B517FE36</t>
  </si>
  <si>
    <t>Production of control panel (342000 kg) according to Table A1.2.3 as in GENESIS_LCI_H2_production_&amp;_supply_v01.xlsx</t>
  </si>
  <si>
    <t>F974BA2368834B479272A05B3D4D45DC</t>
  </si>
  <si>
    <t>Production of demi water supply (52686 kg) according to Table A1.2.4 as in GENESIS_LCI_H2_production_&amp;_supply_v01.xlsx</t>
  </si>
  <si>
    <t>anionic resin production</t>
  </si>
  <si>
    <t>Styrene divinylbenzene copolymer</t>
  </si>
  <si>
    <t>market for activated silica</t>
  </si>
  <si>
    <t>Nitrile butadiene rubber (NBR)</t>
  </si>
  <si>
    <t>market for carbon black</t>
  </si>
  <si>
    <t>1B9428FCC44F492DA30BEEB0F5A4FF5D</t>
  </si>
  <si>
    <t>Production of hydrogen purification system (109260kg) according to Table A1.2.5 as in GENESIS_LCI_H2_production_&amp;_supply_v01.xlsx</t>
  </si>
  <si>
    <t>market for platinum group metal concentrate</t>
  </si>
  <si>
    <t>ZA</t>
  </si>
  <si>
    <t>market for ceramic tile</t>
  </si>
  <si>
    <t>ceramic</t>
  </si>
  <si>
    <t>Ethylene propylene diene monomer (EPDM)</t>
  </si>
  <si>
    <t>EF943BC249BF497CB7E8F14722668962</t>
  </si>
  <si>
    <t>Production of instrument air (34380 kg) according to Table A1.2.6 as in GENESIS_LCI_H2_production_&amp;_supply_v01.xlsx</t>
  </si>
  <si>
    <t>market for bronze</t>
  </si>
  <si>
    <t>0C2F00E5D92644929EF9C4C36E0FD0BC</t>
  </si>
  <si>
    <t>Production of nitrogen panel (4187 kg) according to Table A1.2.7 as in GENESIS_LCI_H2_production_&amp;_supply_v01.xlsx</t>
  </si>
  <si>
    <t>B8AA581E5FC84B60961872D14824420C</t>
  </si>
  <si>
    <t>Production of outdoor housing (1912579 kg) according to Table A1.3 as in GENESIS_LCI_H2_production_&amp;_supply_v01.xlsx</t>
  </si>
  <si>
    <t>market for compact fluorescent lamp</t>
  </si>
  <si>
    <t>Acrylonitrile butadiene styrene (ABS)</t>
  </si>
  <si>
    <t>market for alkyd paint, white, without solvent, in 60% solution state</t>
  </si>
  <si>
    <t>Exterior paint</t>
  </si>
  <si>
    <t>treatment of aluminium, H2 plant construction EoL, SOFC-bat</t>
  </si>
  <si>
    <t>powerplant EoL, SOFC-bat, Medium-Term</t>
  </si>
  <si>
    <t>1ECFE0AF7F3D41E4B11243DA01CB63E5</t>
  </si>
  <si>
    <t>H2 plant construction EoL</t>
  </si>
  <si>
    <t>H2 plant construction EoL, SOFC-bat, Medium-Term</t>
  </si>
  <si>
    <t>treatment of copper, H2 plant construction EoL, SOFC-bat</t>
  </si>
  <si>
    <t>7E0A13BD861F41CAA8B821B812480552</t>
  </si>
  <si>
    <t>treatment of steel, H2 plant construction EoL, SOFC-bat</t>
  </si>
  <si>
    <t>82AD17443EF04B2BA3E03E6E9B6537AF</t>
  </si>
  <si>
    <t>treatment of composites, H2 plant construction EoL, SOFC-bat</t>
  </si>
  <si>
    <t>0BF47AE75CEB45CD9C74B747B612EB51</t>
  </si>
  <si>
    <t>H2 plant construction EoL, for plastics, rubber, nylon and silicone</t>
  </si>
  <si>
    <t>treatment of graphite and resin, H2 plant construction EoL</t>
  </si>
  <si>
    <t>934CB6D79C2C42148C9962E54F070279</t>
  </si>
  <si>
    <t>treatment of electronics, H2 plant construction EoL, SOFC-bat</t>
  </si>
  <si>
    <t>9CD299E302B241498475A1DE30250D20</t>
  </si>
  <si>
    <t>E51BA324C6B942CE83624DDC89C787DF</t>
  </si>
  <si>
    <t>aluminium</t>
  </si>
  <si>
    <t>copper</t>
  </si>
  <si>
    <t xml:space="preserve">polyethylene </t>
  </si>
  <si>
    <t>polypropylene</t>
  </si>
  <si>
    <t>polyurethane</t>
  </si>
  <si>
    <t>polyester</t>
  </si>
  <si>
    <t>alkyd paint</t>
  </si>
  <si>
    <t>1355143549354DCA9C4B80F34717E6C2</t>
  </si>
  <si>
    <t>construction of H2 liquefaction system (for liquid H2) according to GENESIS_LCI_H2_production_&amp;_supply_v01.xlsx Table AB. System weighs 1321410 kg</t>
  </si>
  <si>
    <t>market group for concrete, normal</t>
  </si>
  <si>
    <t>treatment of H2 liquefaction system, H2 liquefaction, SOFC-bat</t>
  </si>
  <si>
    <t>treatment of aluminium, H2 liquefaction, SOFC-bat</t>
  </si>
  <si>
    <t>H2 liquefaction</t>
  </si>
  <si>
    <t>H2 liquefaction, SOFC-bat, Medium-Term</t>
  </si>
  <si>
    <t>treatment of copper, H2 liquefaction, SOFC-bat</t>
  </si>
  <si>
    <t>3E9158A987BF493D84247F7A8178747A</t>
  </si>
  <si>
    <t>treatment of steel, H2 liquefaction, SOFC-bat</t>
  </si>
  <si>
    <t>823C92560B2B4CC2898D0DB10CBDD0C1</t>
  </si>
  <si>
    <t>treatment of concrete, H2 liquefaction, SOFC-bat</t>
  </si>
  <si>
    <t>57FBD49885F9430B8694279CB2346027</t>
  </si>
  <si>
    <t>treatment of waste concrete, not reinforced, recycling</t>
  </si>
  <si>
    <t>78D645BE5FE3497FB84AFBE7CDFDCF90</t>
  </si>
  <si>
    <t>assumed density 2300 kg/m3</t>
  </si>
  <si>
    <t>23,32 m3</t>
  </si>
  <si>
    <t>3E2F8CDE3B37498C97ED538BC272A2A4</t>
  </si>
  <si>
    <t>construction of H2 supply system according to GENESIS_LCI_H2_production_&amp;_supply_v01.xlsx Table B assuming that 1 kg of hydrogen is transported over a distance of 48.8 km</t>
  </si>
  <si>
    <t>transport, freight, lorry, unspecified, regional delivery</t>
  </si>
  <si>
    <t>ton kilometer</t>
  </si>
  <si>
    <t>production of LH2 transport storage tank</t>
  </si>
  <si>
    <t>same as for truck</t>
  </si>
  <si>
    <t>1752DD1B830449ECB5656E3CA2FD0B60</t>
  </si>
  <si>
    <t>construction of LH2 transport storage tank according to GENESIS_LCI_H2_production_&amp;_supply_v01.xlsx Table B1.1</t>
  </si>
  <si>
    <t>treatment of H2 storage tank (transport), SOFC-bat</t>
  </si>
  <si>
    <t>treatment of aluminium, H2 storage tank (transport), SOFC-bat</t>
  </si>
  <si>
    <t>DB430B1EFBA84A2DAE91E6A555592582</t>
  </si>
  <si>
    <t>H2 transport</t>
  </si>
  <si>
    <t>treatment of polyurethane, H2 storage tank (transport), SOFC-bat</t>
  </si>
  <si>
    <t>0CBD14AB46424409B040D91D75AF828B</t>
  </si>
  <si>
    <t>73A5EC095AF04C4DBB4F7BEAB1384BB9</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</si>
  <si>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</si>
  <si>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</si>
  <si>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</si>
  <si>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</si>
  <si>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</si>
  <si>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</si>
  <si>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</si>
  <si>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</si>
  <si>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</si>
  <si>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NL</t>
  </si>
  <si>
    <t>Airport infrastructure with lifetime of 100y</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</si>
  <si>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</si>
  <si>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</si>
  <si>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</si>
  <si>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</si>
  <si>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</si>
  <si>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</si>
  <si>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</si>
  <si>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</si>
  <si>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</si>
  <si>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</si>
  <si>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</si>
  <si>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</si>
  <si>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long-term</t>
  </si>
  <si>
    <t>airport</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</si>
  <si>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</si>
  <si>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</si>
  <si>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</si>
  <si>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</si>
  <si>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</si>
  <si>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</si>
  <si>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</si>
  <si>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</si>
  <si>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</si>
  <si>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</si>
  <si>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</si>
  <si>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</si>
  <si>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</si>
  <si>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</si>
  <si>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</si>
  <si>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</si>
  <si>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</si>
  <si>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</si>
  <si>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</si>
  <si>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</si>
  <si>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</si>
  <si>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</si>
  <si>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</si>
  <si>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</si>
  <si>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</si>
  <si>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</si>
  <si>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</si>
  <si>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</si>
  <si>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</si>
  <si>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</si>
  <si>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</si>
  <si>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</si>
  <si>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</si>
  <si>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</si>
  <si>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</si>
  <si>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</si>
  <si>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</si>
  <si>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</si>
  <si>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</si>
  <si>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</si>
  <si>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</si>
  <si>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</si>
  <si>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</si>
  <si>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</si>
  <si>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</si>
  <si>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</si>
  <si>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</si>
  <si>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</si>
  <si>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</si>
  <si>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</si>
  <si>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</si>
  <si>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</si>
  <si>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</si>
  <si>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</si>
  <si>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</si>
  <si>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</si>
  <si>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</si>
  <si>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</si>
  <si>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</si>
  <si>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</si>
  <si>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</si>
  <si>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</si>
  <si>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</si>
  <si>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</si>
  <si>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</si>
  <si>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</si>
  <si>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</si>
  <si>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</si>
  <si>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</si>
  <si>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</si>
  <si>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</si>
  <si>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</si>
  <si>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</si>
  <si>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</si>
  <si>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</si>
  <si>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</si>
  <si>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</si>
  <si>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</si>
  <si>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</si>
  <si>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</si>
  <si>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</si>
  <si>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</si>
  <si>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</si>
  <si>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</si>
  <si>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</si>
  <si>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</si>
  <si>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</si>
  <si>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</si>
  <si>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</si>
  <si>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</si>
  <si>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</si>
  <si>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</si>
  <si>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</si>
  <si>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</si>
  <si>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</si>
  <si>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</si>
  <si>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</si>
  <si>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</si>
  <si>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</si>
  <si>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</si>
  <si>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</si>
  <si>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Decommissioning of battery ch. station, Gt-bat, Long-term</t>
  </si>
  <si>
    <t>EoL, Gt-bat, Long-term</t>
  </si>
  <si>
    <t>56956B4D6B16463AB6FBEF7D2D9CB8B6</t>
  </si>
  <si>
    <t xml:space="preserve">. </t>
  </si>
  <si>
    <t>EoL power electronics, GT-bat, Long-term</t>
  </si>
  <si>
    <t>treatment of circuit components,Battery charging station, GT-bat, Long-term</t>
  </si>
  <si>
    <t>power electronics EoL, Gt-bat, Long-term</t>
  </si>
  <si>
    <t>962E71A5EF7B4C83B8BB8A616159299C</t>
  </si>
  <si>
    <t>treatment of metals,Battery charging station, GT-bat, Long-term</t>
  </si>
  <si>
    <t>BD06A45BD83347D2A64A54A31AE2B77F</t>
  </si>
  <si>
    <t>treatment of plastics,Battery charging station, GT-bat, Long-term</t>
  </si>
  <si>
    <t>65AC15BDDA974F56A20D5A04E349FA05</t>
  </si>
  <si>
    <t>treatment of remaining material components,Battery charging station, GT-bat, Long-term</t>
  </si>
  <si>
    <t>96DF35C75C064018BB968199F8A59DA4</t>
  </si>
  <si>
    <t>treatment of power electronics,Battery charging station, GT-bat, Long-term</t>
  </si>
  <si>
    <t>DE21012213D9430AB0170FC53C934253</t>
  </si>
  <si>
    <t>accounting for the 48 stations</t>
  </si>
  <si>
    <t>treatment of alu,Battery charging station, GT-bat, Long-term</t>
  </si>
  <si>
    <t>AC360DA78B5546B2A68C992CCEA9A204</t>
  </si>
  <si>
    <t>motors and drives EoL, Gt-bat, Long-term</t>
  </si>
  <si>
    <t>BBA75FD1E30342A99BD480C45E1251BA</t>
  </si>
  <si>
    <t>treatment of steel,Battery charging station, Gt-bat, Long-term</t>
  </si>
  <si>
    <t>motors and drives, GT-bat, Long-term</t>
  </si>
  <si>
    <t>BABEC4F131064B0DA2F9F5DF3D8D3D7B</t>
  </si>
  <si>
    <t>treatment of ferrite ,Battery charging station, Gt-bat, Long-term</t>
  </si>
  <si>
    <t>treatment of scrap steel, municipal incineration</t>
  </si>
  <si>
    <t>market for ferrite</t>
  </si>
  <si>
    <t>from ecoinvent process for treatment</t>
  </si>
  <si>
    <t>354FFEDB89904551A9A9E2CF1601AE39</t>
  </si>
  <si>
    <t>treatment of electronic components and cables ,Battery charging station, Gt-bat, Long-term</t>
  </si>
  <si>
    <t>assuming that half the wires will be reused</t>
  </si>
  <si>
    <t>353E3AC068524E0C9EE180D12CDD7A85</t>
  </si>
  <si>
    <t>treatment of remaining components,Battery charging station, GT-bat, Long-term</t>
  </si>
  <si>
    <t>production of casing</t>
  </si>
  <si>
    <t>B6F596DBDD1844EE930544B90A4858B8</t>
  </si>
  <si>
    <t>total weight : 2494 kg</t>
  </si>
  <si>
    <t>9b20aabdab5590c519bb3d717c77acf2</t>
  </si>
  <si>
    <t>this process models all the steel plates components of the casing</t>
  </si>
  <si>
    <t>production of display unit</t>
  </si>
  <si>
    <t>DFB80C16145A4B1F839E23271BACC3BC</t>
  </si>
  <si>
    <t>total weight 257 kg</t>
  </si>
  <si>
    <t>market for electronic component, active, unspecified</t>
  </si>
  <si>
    <t>52c4f6d2e1ec507b1ccc96056a761c0d</t>
  </si>
  <si>
    <t>6a887870a4c93245f87c847a969ea18f</t>
  </si>
  <si>
    <t>production of plug</t>
  </si>
  <si>
    <t>FF3166E8B44F4982A9EEC35A560063C4</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</si>
  <si>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</si>
  <si>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</si>
  <si>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</si>
  <si>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</si>
  <si>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</si>
  <si>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</si>
  <si>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</si>
  <si>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E273023275094F8195D3F03BCCA9946C</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</si>
  <si>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</si>
  <si>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</si>
  <si>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</si>
  <si>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</si>
  <si>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</si>
  <si>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</si>
  <si>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</si>
  <si>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</si>
  <si>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</si>
  <si>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EF6B3F5E63DC47D3A0BBBDF84D4281CE</t>
  </si>
  <si>
    <t>output. Total 85.62 kg. Insulation fabric material is declared in the LCI but unspecified mass and material type. Hence it was not reported here</t>
  </si>
  <si>
    <t>683c18c43d5d1a5b067eb690cc9eb9f2</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</si>
  <si>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</si>
  <si>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</si>
  <si>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</si>
  <si>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</si>
  <si>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</si>
  <si>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</si>
  <si>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6EA2BFB3D2844F798A82A1136EA2A047</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</si>
  <si>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</si>
  <si>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</si>
  <si>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</si>
  <si>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</si>
  <si>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FB10AE9851404A5D9E9C092A15A46419</t>
  </si>
  <si>
    <t>output. Total 33 kg.</t>
  </si>
  <si>
    <t>F15282F3A61E494E8F559DE5517C07DB</t>
  </si>
  <si>
    <t>total weight : 178217.72  kg. Please use 1 unit of this process to model the total amount of charging stations needed for the medium term scenario</t>
  </si>
  <si>
    <t>Battery Charging modules</t>
  </si>
  <si>
    <t>18kg</t>
  </si>
  <si>
    <t>14 kg</t>
  </si>
  <si>
    <t>Solder paste waste, battery charging, long-term</t>
  </si>
  <si>
    <t>9DED47B556444549974E273FE40598A0</t>
  </si>
  <si>
    <t>Hazardous waste incineration, battery charging, long-term</t>
  </si>
  <si>
    <t>B63AE1A2A3AF439BB86547A55250C029</t>
  </si>
  <si>
    <t>production of driver board, assembled, battery charging, long-term</t>
  </si>
  <si>
    <t>5EC22B8AF8A34499A7C308D8BC55ED3B</t>
  </si>
  <si>
    <t>SAME!</t>
  </si>
  <si>
    <t>production of driver board, unassembled, battery charging, long-term</t>
  </si>
  <si>
    <t>48567EAB200E478BBFBCF41451E17856</t>
  </si>
  <si>
    <t>production of logic board, assembled, with connector, battery charging, long-term</t>
  </si>
  <si>
    <t>D8E30C10589D44018463C3D01CDDD948</t>
  </si>
  <si>
    <t>production of logic board, assembled, without connector, battery charging, long-term</t>
  </si>
  <si>
    <t>5768476ED4EE41D5B0F0EB4D26228F6E</t>
  </si>
  <si>
    <t>production of logic board, unassembled, battery charging, long-term</t>
  </si>
  <si>
    <t>7B45524238644E8C875A4763FC587DB2</t>
  </si>
  <si>
    <t>production of ACDC power module, battery charging, long-term</t>
  </si>
  <si>
    <t>FACBC3E417194852B8E4083D698D8ED2</t>
  </si>
  <si>
    <t>Table B1 of GENESIS_LCI_power_elec_drives_long-term_v01.xlsx. 1 unit corresponds to 4.4 kg of DC/AC grid inverter</t>
  </si>
  <si>
    <t>production of  IGBT power module, complete, ACDC power module, battery charging, long-term</t>
  </si>
  <si>
    <t>production of Galvanized terminals, screws and washers, ACDC power module, battery charging, long-term</t>
  </si>
  <si>
    <t>production of plated cable glands, ACDC power module, battery charging, long-term</t>
  </si>
  <si>
    <t>Bus bar, laminated,ACDC powert module, battery charging, long-term</t>
  </si>
  <si>
    <t>production of machined casing, DCDC power module, battery charging, long-term</t>
  </si>
  <si>
    <t>weight check 18 kg</t>
  </si>
  <si>
    <t>372930B3DEAE40068BC416F6B2C4AA09</t>
  </si>
  <si>
    <t>production of Galvanization layer, ACDC power module, battery charging, long-term</t>
  </si>
  <si>
    <t xml:space="preserve">assuming </t>
  </si>
  <si>
    <t>production of Cleaned terminals, screws and washers, ACDC power module, battery charging, long-term</t>
  </si>
  <si>
    <t>423BE6401C2D4402BA39A8086DA1FD09</t>
  </si>
  <si>
    <t>9BE88CEB1997403A8E7A100901AAA3BA</t>
  </si>
  <si>
    <t>so 0,05 m2 = 0,28 kg</t>
  </si>
  <si>
    <t>production of Steel terminals, screws and washers, ACDC power module, battery charging, long-term</t>
  </si>
  <si>
    <t>production of nickel in plated layer, ACDC power module, battery charging, long-term</t>
  </si>
  <si>
    <t>7B5C34E39E3E4BEB850B09538476A556</t>
  </si>
  <si>
    <t>0AB4C37C561D41E29D0BCC81A4AAAFA8</t>
  </si>
  <si>
    <t>production of copper bus bars, contacts, plates and foils, ACDC power module, battery charging, long-term</t>
  </si>
  <si>
    <t>FE12D9A354A4421E9EA13802AC9B545C</t>
  </si>
  <si>
    <t>0E369EDCA3664C36BA6D1EA31E766D25</t>
  </si>
  <si>
    <t>DBE2BD76B87D4AAA9928752BFCA17E86</t>
  </si>
  <si>
    <t>production of cleaned cable glands, ACDC power module, battery charging, long-term</t>
  </si>
  <si>
    <t>563BDF12E3EF4529A86EBE9DF54BE739</t>
  </si>
  <si>
    <t>production of brass cable glands, ACDC power module, battery charging, long-term</t>
  </si>
  <si>
    <t>FC4B0BD0EFB14C90A77451E5BF55B1EC</t>
  </si>
  <si>
    <t>production of machined casing, ACDC power module, battery charging, long-term</t>
  </si>
  <si>
    <t>DDAFF33FE4E2499BB80AB5D442D30020</t>
  </si>
  <si>
    <t>production of machined casing, mass scaled activities, ACDC power module, battery charging, long-term</t>
  </si>
  <si>
    <t>5EEAEB2CD62844359F130A29FAE0D266</t>
  </si>
  <si>
    <t>production of die cast casing parts, ACDC power module, battery charging, long-term</t>
  </si>
  <si>
    <t>E7F5271C5DF84A60924E54CD11ABE6F0</t>
  </si>
  <si>
    <t>78D12051B4D9401485EFB3C31384D0DF</t>
  </si>
  <si>
    <t>production of Power module, open, potted, ACDC power module, battery charging, long-term</t>
  </si>
  <si>
    <t>production of Lid, injection moulded, ACDC power module, battery charging, long-term</t>
  </si>
  <si>
    <t>F0CC24CD1DC24C3BA1F097C3AE81B589</t>
  </si>
  <si>
    <t>8877CBD7A846405D967353DE567D7C59</t>
  </si>
  <si>
    <t>production of potting gel layer, ACDC power module, battery charging, long-term</t>
  </si>
  <si>
    <t>production of power module, open, wire bonded, ACDC power module, battery charging, long-term</t>
  </si>
  <si>
    <t>4C71E27D769D4087B04EC67795BC36B6</t>
  </si>
  <si>
    <t>81B27DA38F5448AD8E48037DD5367A21</t>
  </si>
  <si>
    <t>production of Copper Wire, ACDC power module, battery charging, long-term</t>
  </si>
  <si>
    <t>production of baseplate module with frame, cleaned, ACDC power module, battery charging, long-term</t>
  </si>
  <si>
    <t>C94B1874C037414E909FC4A6E005EA42</t>
  </si>
  <si>
    <t>329FAB204C554A4DA7C49D226A236C8D</t>
  </si>
  <si>
    <t>production of baseplate module with frame, ACDC power module, battery charging, long-term</t>
  </si>
  <si>
    <t>08512AFD770F42AE943F662CE076AC59</t>
  </si>
  <si>
    <t>production of baseplate module without frame, cleaned, ACDC power module, battery charging, long-term</t>
  </si>
  <si>
    <t>Prodcution of frame with bonded terminals, ACDC power module, battery charging, long-term</t>
  </si>
  <si>
    <t>B335C8A9E2D545A6A5F9D570AF83B224</t>
  </si>
  <si>
    <t>51DCA0BCA5514B0DB7F5C6827A110388</t>
  </si>
  <si>
    <t>production of baseplate module without frame, ACDC power module, battery charging, long-term</t>
  </si>
  <si>
    <t>3286010E5CAA4CFEA38214CAE7774F01</t>
  </si>
  <si>
    <t>production of DCB, with IGBT chips attached, ACDC power module, battery charging, long-term</t>
  </si>
  <si>
    <t>production of baseplate, to furnace, ACDC power module, battery charging, long-term</t>
  </si>
  <si>
    <t>147787895DA44CCD85FE6207340A142B</t>
  </si>
  <si>
    <t>production of baseplate, cleaned and baked, ACDC power module, battery charging, long-term</t>
  </si>
  <si>
    <t>BD04FB99D72D42D387DAA6D5013E1777</t>
  </si>
  <si>
    <t>production of baseplate, nickel plated, ACDC power module, battery charging, long-term</t>
  </si>
  <si>
    <t>F6373A8019B24F648E0B6D5673F37900</t>
  </si>
  <si>
    <t>production of cleaned bus bars, contacts, plates and foils, ACDC power module, battery charging, long-term</t>
  </si>
  <si>
    <t>063BA0B728A24B6AB7D4FD16E2A11432</t>
  </si>
  <si>
    <t xml:space="preserve">error in their units assuming the weight and area they give corresponds - yes it seems like a high amount </t>
  </si>
  <si>
    <t>6B75E7C80BD34E08A836FC0643D176D8</t>
  </si>
  <si>
    <t>production of DCB substrate, to furnace, ACDC power module, battery charging, long-term</t>
  </si>
  <si>
    <t>production of diced IGBT chips, ACDC power module, battery charging, long-term</t>
  </si>
  <si>
    <t>4BC96EEECAFA4FA4875E925AE3DFE579</t>
  </si>
  <si>
    <t>8119B94B67BB4652B7F49AAEE1658A74</t>
  </si>
  <si>
    <t>production of DCB substrate, cleaned and baked, ACDC power module, battery charging, long-term</t>
  </si>
  <si>
    <t>BF8E10FF31124361B9FA262740B5CB20</t>
  </si>
  <si>
    <t>production of DCB, patterned, nickel plated, ACDC power module, battery charging, long-term</t>
  </si>
  <si>
    <t>1013CB6CE09A408887F7AF41FB0A5D7A</t>
  </si>
  <si>
    <t>production of DCB, patterned, ACDC power module, battery charging, long-term</t>
  </si>
  <si>
    <t>100ADBB3DF4A406B97FE422C6920FF3F</t>
  </si>
  <si>
    <t>production of DCB, before etching, ACDC power module, battery charging, long-term</t>
  </si>
  <si>
    <t>70F4E0C8C5F14E5DBECC12B7FC6726D6</t>
  </si>
  <si>
    <t>production of Alumina substrate, ACDC power module, battery charging, long-term</t>
  </si>
  <si>
    <t>D59557F6F400497B90FF13B1211E06DF</t>
  </si>
  <si>
    <t>production of DCDC power module, battery charging, long-term</t>
  </si>
  <si>
    <t>1B2098F46C1D45D891A50C0C0AA76792</t>
  </si>
  <si>
    <t>production of  IGBT power module, complete, DCDC power module, battery charging, long-term</t>
  </si>
  <si>
    <t>production of Galvanized terminals, screws and washers, DCDC power module, battery charging, long-term</t>
  </si>
  <si>
    <t>production of plated cable glands, DCDC power module, battery charging, long-term</t>
  </si>
  <si>
    <t>Bus bar, laminated, DCDC power module, battery charging, long-term</t>
  </si>
  <si>
    <t>weight check 14 kg</t>
  </si>
  <si>
    <t>A16637F7C2E84E568C3933F223E96FBA</t>
  </si>
  <si>
    <t>production of Galvanization layer, DCDC power module, battery charging, long-term</t>
  </si>
  <si>
    <t>assuming (see below)</t>
  </si>
  <si>
    <t>production of Cleaned terminals, screws and washers, DCDC power module, battery charging, long-term</t>
  </si>
  <si>
    <t>9239C949D8E7428EA617FADFB1293167</t>
  </si>
  <si>
    <t>47C70A686D294A6ABF643E3202E4D2F7</t>
  </si>
  <si>
    <t>so 0,29 kg screws corresponds to 0,05 m2</t>
  </si>
  <si>
    <t>production of Steel terminals, screws and washers, DCDC power module, battery charging, long-term</t>
  </si>
  <si>
    <t>production of nickel in plated layer, DCDC power module, battery charging, long-term</t>
  </si>
  <si>
    <t>A931A0F240324B9E85B06FE9B7D86DFE</t>
  </si>
  <si>
    <t>SAME SCALE!</t>
  </si>
  <si>
    <t>E6A6DE62C0624B9AA83E3EF2D117968C</t>
  </si>
  <si>
    <t>production of copper bus bars, contacts, plates and foils, DCDC power module, battery charging, long-term</t>
  </si>
  <si>
    <t>F25FF7219364473DAABA5261A2D55840</t>
  </si>
  <si>
    <t>1DE19BFAD6924123A5B7FEA6A384E96F</t>
  </si>
  <si>
    <t>same scale</t>
  </si>
  <si>
    <t>50629E07C2D54910AE7FF804E9C874B7</t>
  </si>
  <si>
    <t>production of cleaned cable glands, DCDC power module, battery charging, long-term</t>
  </si>
  <si>
    <t>2822909A68B346CDB8E578F648396E9D</t>
  </si>
  <si>
    <t>production of brass cable glands, DCDC power module, battery charging, long-term</t>
  </si>
  <si>
    <t>A3C61BAB619B40D79CDB594B3EA25199</t>
  </si>
  <si>
    <t>8C2E9EB69AB04822BC9167631795AB0A</t>
  </si>
  <si>
    <t>production of machined casing, mass scaled activities, DCDC power module, battery charging, long-term</t>
  </si>
  <si>
    <t>D48784E1EE2640B0B5B5AA2D04C74203</t>
  </si>
  <si>
    <t>production of die cast casing parts, DCDC power module, battery charging, long-term</t>
  </si>
  <si>
    <t>1F15590A182D44C3B9C41188E83AE665</t>
  </si>
  <si>
    <t>F94483F07CA6495E90717991053E8FC8</t>
  </si>
  <si>
    <t>production of Power module, open, potted, DCDC power module, battery charging, long-term</t>
  </si>
  <si>
    <t>production of Lid, injection moulded, DCDC power module, battery charging, long-term</t>
  </si>
  <si>
    <t>D5D9AF4520EC46898AEE3F05AB98A817</t>
  </si>
  <si>
    <t>849EC260F1414DECA643455510AF1869</t>
  </si>
  <si>
    <t>production of potting gel layer, DCDC power module, battery charging, long-term</t>
  </si>
  <si>
    <t>production of power module, open, wire bonded, DCDC power module, battery charging, long-term</t>
  </si>
  <si>
    <t>05F53A1129BC46A1868A8ED2B27281F7</t>
  </si>
  <si>
    <t>7C8E328146A54E4B82292365977674E1</t>
  </si>
  <si>
    <t>production of Copper Wire, DCDC power module, battery charging, long-term</t>
  </si>
  <si>
    <t>production of baseplate module with frame, cleaned, DCDC power module, battery charging, long-term</t>
  </si>
  <si>
    <t>E70E181F5FEC46609CD79C71F5250747</t>
  </si>
  <si>
    <t>4CD6E1B938A3488FBD7594D9B5243BFD</t>
  </si>
  <si>
    <t>production of baseplate module with frame, DCDC power module, battery charging, long-term</t>
  </si>
  <si>
    <t>B85E767B87264425ACD39CD4CE8E46E9</t>
  </si>
  <si>
    <t>production of baseplate module without frame, cleaned, DCDC power module, battery charging, long-term</t>
  </si>
  <si>
    <t>Prodcution of frame with bonded terminals, DCDC power module, battery charging, long-term</t>
  </si>
  <si>
    <t>FAB4906191FE401EB7757E6DA9AAEDFC</t>
  </si>
  <si>
    <t>F9C5DF9A19E548E79BF175199AE81B2A</t>
  </si>
  <si>
    <t>production of baseplate module without frame, DCDC power module, battery charging, long-term</t>
  </si>
  <si>
    <t>850794892E114FBDB48973F4B8EEED26</t>
  </si>
  <si>
    <t>production of DCB, with IGBT chips attached, DCDC power module, battery charging, long-term</t>
  </si>
  <si>
    <t>production of baseplate, to furnace, DCDC power module, battery charging, long-term</t>
  </si>
  <si>
    <t>036B09ED7B2649A5B10F4F83777AA4CF</t>
  </si>
  <si>
    <t>production of baseplate, cleaned and baked, DCDC power module, battery charging, long-term</t>
  </si>
  <si>
    <t>5CA5EAEA1EAD4C27B45F8FC2B6BE3598</t>
  </si>
  <si>
    <t>production of baseplate, nickel plated, DCDC power module, battery charging, long-term</t>
  </si>
  <si>
    <t>07F112CF928940DAA5889C488BCBA7D4</t>
  </si>
  <si>
    <t>production of cleaned bus bars, contacts, plates and foils, DCDC power module, battery charging, long-term</t>
  </si>
  <si>
    <t>53CAAF836FD14130AD410E14E8A57FCF</t>
  </si>
  <si>
    <t>error in their units assuming the weight and area they give corresponds - yes it seems like a lot</t>
  </si>
  <si>
    <t>43B048207CA74396B7FB6A752D9AE6E5</t>
  </si>
  <si>
    <t>production of DCB substrate, to furnace, DCDC power module, battery charging, long-term</t>
  </si>
  <si>
    <t>production of diced IGBT chips, DCDC power module, battery charging, long-term</t>
  </si>
  <si>
    <t>01DFA428803149C6AF39778236E0C5F3</t>
  </si>
  <si>
    <t>BAD94C7D96D74568AD2DE8055A9384A3</t>
  </si>
  <si>
    <t>production of DCB substrate, cleaned and baked, DCDC power module, battery charging, long-term</t>
  </si>
  <si>
    <t>C8001308CEC64FED806644BEEBAC12F7</t>
  </si>
  <si>
    <t>production of DCB, patterned, nickel plated, DCDC power module, battery charging, long-term</t>
  </si>
  <si>
    <t>81C580D3E78248F0B3BDBE320E8A69AA</t>
  </si>
  <si>
    <t>production of DCB, patterned, DCDC power module, battery charging, long-term</t>
  </si>
  <si>
    <t>48F94DDFE1594ACC9849577AF6A174EC</t>
  </si>
  <si>
    <t>production of DCB, before etching, DCDC power module, battery charging, long-term</t>
  </si>
  <si>
    <t>5AB6E4A90760472393181EFBFD11CAFA</t>
  </si>
  <si>
    <t>production of Alumina substrate, DCDC power module, battery charging, long-term</t>
  </si>
  <si>
    <t>4E1D6C55143440F697995A26CB5FF682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</si>
</sst>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E+00"/>
    <numFmt numFmtId="166" formatCode="0.0000"/>
    <numFmt numFmtId="167" formatCode="0.000"/>
    <numFmt numFmtId="168" formatCode="0E+00"/>
    <numFmt numFmtId="169" formatCode="_-* #,##0.00000000_-;\-* #,##0.00000000_-;_-* &quot;-&quot;??_-;_-@_-"/>
    <numFmt numFmtId="170" formatCode="_-* #,##0.0000_-;\-* #,##0.0000_-;_-* &quot;-&quot;??_-;_-@_-"/>
    <numFmt numFmtId="171" formatCode="0.000000"/>
    <numFmt numFmtId="172" formatCode="_-* #,##0.0000000_-;\-* #,##0.0000000_-;_-* &quot;-&quot;??_-;_-@_-"/>
  </numFmts>
  <fonts count="5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0"/>
      <color rgb="FFFF0000"/>
      <name val="Calibri"/>
      <family val="2"/>
      <scheme val="minor"/>
    </font>
    <font>
      <b/>
      <sz val="10"/>
      <color theme="1"/>
      <name val="Calibri"/>
      <family val="2"/>
      <scheme val="minor"/>
    </font>
    <font>
      <strike/>
      <sz val="11"/>
      <color theme="1"/>
      <name val="Calibri"/>
      <family val="2"/>
      <scheme val="minor"/>
    </font>
    <font>
      <sz val="10"/>
      <color theme="1"/>
      <name val="Arial Unicode MS"/>
    </font>
    <font>
      <sz val="11"/>
      <color rgb="FF000000"/>
      <name val="Calibri"/>
      <family val="2"/>
      <scheme val="minor"/>
    </font>
    <font>
      <sz val="11"/>
      <name val="Arial"/>
      <family val="2"/>
    </font>
    <font>
      <sz val="11"/>
      <color theme="1"/>
      <name val="Times New Roman"/>
      <family val="1"/>
    </font>
    <font>
      <sz val="11"/>
      <color theme="1"/>
      <name val="Arial"/>
      <family val="2"/>
    </font>
    <font>
      <sz val="10"/>
      <color theme="1"/>
      <name val="Var(--jp-code-font-family)"/>
    </font>
    <font>
      <b/>
      <sz val="11"/>
      <color rgb="FF000000"/>
      <name val="Calibri"/>
      <family val="2"/>
      <scheme val="minor"/>
    </font>
    <font>
      <i/>
      <sz val="11"/>
      <color theme="1"/>
      <name val="Calibri"/>
      <family val="2"/>
    </font>
    <font>
      <i/>
      <sz val="11"/>
      <color rgb="FF000000"/>
      <name val="Calibri"/>
      <family val="2"/>
      <scheme val="minor"/>
    </font>
    <font>
      <sz val="10"/>
      <name val="Var(--jp-code-font-family)"/>
    </font>
    <font>
      <b/>
      <sz val="12"/>
      <name val="Calibri"/>
      <family val="2"/>
      <scheme val="minor"/>
    </font>
    <font>
      <sz val="11"/>
      <color rgb="FF222222"/>
      <name val="Helvetica LT Pro Light"/>
      <family val="2"/>
    </font>
    <font>
      <b/>
      <sz val="10"/>
      <color theme="1"/>
      <name val="Var(--jp-code-font-family)"/>
    </font>
    <font>
      <sz val="11"/>
      <color rgb="FF000000"/>
      <name val="Calibri"/>
      <scheme val="minor"/>
    </font>
    <font>
      <b/>
      <sz val="11"/>
      <name val="Calibri"/>
      <family val="2"/>
      <scheme val="minor"/>
    </font>
    <font>
      <b/>
      <sz val="12"/>
      <color rgb="FF000000"/>
      <name val="Calibri"/>
      <family val="2"/>
      <scheme val="minor"/>
    </font>
    <font>
      <sz val="12"/>
      <color rgb="FF000000"/>
      <name val="Calibri"/>
      <family val="2"/>
      <scheme val="minor"/>
    </font>
    <font>
      <sz val="10"/>
      <color rgb="FF000000"/>
      <name val="Var(--jp-code-font-family)"/>
    </font>
    <font>
      <sz val="11"/>
      <color rgb="FF000000"/>
      <name val="Times New Roman"/>
      <family val="1"/>
    </font>
    <font>
      <sz val="10"/>
      <color rgb="FF000000"/>
      <name val="Calibri"/>
      <family val="2"/>
      <scheme val="minor"/>
    </font>
    <font>
      <sz val="11"/>
      <color rgb="FF444444"/>
      <name val="Calibri"/>
      <family val="2"/>
      <scheme val="minor"/>
    </font>
    <font>
      <sz val="11"/>
      <color rgb="FF000000"/>
      <name val="Calibri"/>
      <family val="2"/>
    </font>
    <font>
      <sz val="11"/>
      <color rgb="FF222222"/>
      <name val="Calibri"/>
      <family val="2"/>
      <scheme val="minor"/>
    </font>
    <font>
      <sz val="10"/>
      <color rgb="FF000000"/>
      <name val="Calibri"/>
      <family val="2"/>
    </font>
    <font>
      <sz val="12"/>
      <color rgb="FF000000"/>
      <name val="Calibri"/>
      <family val="2"/>
    </font>
    <font>
      <b/>
      <i/>
      <sz val="11"/>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b/>
      <sz val="10"/>
      <name val="Calibri"/>
      <family val="2"/>
      <scheme val="minor"/>
    </font>
    <font>
      <sz val="10"/>
      <color rgb="FF222222"/>
      <name val="Calibri"/>
      <family val="2"/>
      <scheme val="minor"/>
    </font>
    <font>
      <sz val="10"/>
      <color rgb="FF222222"/>
      <name val="Helvetica LT Pro Light"/>
      <family val="2"/>
    </font>
    <font>
      <b/>
      <sz val="10"/>
      <color rgb="FFFF0000"/>
      <name val="Calibri"/>
      <family val="2"/>
      <scheme val="minor"/>
    </font>
  </fonts>
  <fills count="3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rgb="FFFFC000"/>
      </patternFill>
    </fill>
    <fill>
      <patternFill patternType="solid">
        <fgColor theme="9"/>
        <bgColor indexed="64"/>
      </patternFill>
    </fill>
    <fill>
      <patternFill patternType="solid">
        <fgColor theme="8" tint="0.39997558519241921"/>
        <bgColor indexed="64"/>
      </patternFill>
    </fill>
    <fill>
      <patternFill patternType="solid">
        <fgColor rgb="FFFFFFFF"/>
        <bgColor rgb="FFFFFFFF"/>
      </patternFill>
    </fill>
    <fill>
      <patternFill patternType="solid">
        <fgColor theme="6"/>
        <bgColor indexed="64"/>
      </patternFill>
    </fill>
    <fill>
      <patternFill patternType="solid">
        <fgColor rgb="FFB8CCE4"/>
        <bgColor rgb="FFB8CCE4"/>
      </patternFill>
    </fill>
    <fill>
      <patternFill patternType="solid">
        <fgColor rgb="FF4BACC6"/>
        <bgColor rgb="FF4BACC6"/>
      </patternFill>
    </fill>
    <fill>
      <patternFill patternType="solid">
        <fgColor rgb="FFFFC000"/>
        <bgColor indexed="64"/>
      </patternFill>
    </fill>
    <fill>
      <patternFill patternType="solid">
        <fgColor rgb="FF92D050"/>
        <bgColor rgb="FF92D050"/>
      </patternFill>
    </fill>
    <fill>
      <patternFill patternType="solid">
        <fgColor rgb="FFFF0000"/>
        <bgColor rgb="FF000000"/>
      </patternFill>
    </fill>
    <fill>
      <patternFill patternType="solid">
        <fgColor rgb="FFFF0000"/>
        <bgColor indexed="64"/>
      </patternFill>
    </fill>
    <fill>
      <patternFill patternType="solid">
        <fgColor rgb="FFFFFFFF"/>
        <bgColor rgb="FF000000"/>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0"/>
        <bgColor rgb="FFD9D9D9"/>
      </patternFill>
    </fill>
    <fill>
      <patternFill patternType="solid">
        <fgColor theme="5"/>
        <bgColor indexed="64"/>
      </patternFill>
    </fill>
    <fill>
      <patternFill patternType="solid">
        <fgColor theme="4" tint="0.59999389629810485"/>
        <bgColor indexed="64"/>
      </patternFill>
    </fill>
    <fill>
      <patternFill patternType="solid">
        <fgColor theme="7"/>
        <bgColor indexed="64"/>
      </patternFill>
    </fill>
    <fill>
      <patternFill patternType="solid">
        <fgColor theme="0" tint="-4.9989318521683403E-2"/>
        <bgColor indexed="64"/>
      </patternFill>
    </fill>
    <fill>
      <patternFill patternType="solid">
        <fgColor theme="8"/>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rgb="FFFFFFFF"/>
      </patternFill>
    </fill>
    <fill>
      <patternFill patternType="solid">
        <fgColor theme="6" tint="0.39997558519241921"/>
        <bgColor rgb="FFFFFFFF"/>
      </patternFill>
    </fill>
    <fill>
      <patternFill patternType="solid">
        <fgColor theme="9" tint="0.59999389629810485"/>
        <bgColor indexed="64"/>
      </patternFill>
    </fill>
  </fills>
  <borders count="3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84">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2" fontId="0" fillId="0" borderId="0" xfId="0" applyNumberForma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5"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3" fillId="0" borderId="9" xfId="0" applyFont="1" applyBorder="1" applyAlignment="1">
      <alignment horizontal="center" vertical="center"/>
    </xf>
    <xf numFmtId="0" fontId="8" fillId="0" borderId="10" xfId="0" applyFont="1" applyBorder="1" applyAlignment="1">
      <alignment horizontal="center" vertical="center"/>
    </xf>
    <xf numFmtId="0" fontId="0" fillId="4" borderId="0" xfId="0" applyFill="1"/>
    <xf numFmtId="0" fontId="1" fillId="4" borderId="0" xfId="0" applyFont="1" applyFill="1"/>
    <xf numFmtId="0" fontId="14" fillId="4" borderId="0" xfId="0" applyFont="1" applyFill="1"/>
    <xf numFmtId="0" fontId="2" fillId="4" borderId="0" xfId="0" applyFont="1" applyFill="1"/>
    <xf numFmtId="0" fontId="0" fillId="4" borderId="2" xfId="0" applyFill="1" applyBorder="1"/>
    <xf numFmtId="0" fontId="5" fillId="4" borderId="2" xfId="0" applyFont="1" applyFill="1" applyBorder="1"/>
    <xf numFmtId="0" fontId="2" fillId="4" borderId="2" xfId="0" applyFont="1" applyFill="1" applyBorder="1"/>
    <xf numFmtId="0" fontId="15" fillId="0" borderId="0" xfId="0" applyFont="1" applyAlignment="1">
      <alignment vertical="center"/>
    </xf>
    <xf numFmtId="0" fontId="16" fillId="0" borderId="0" xfId="0" applyFont="1"/>
    <xf numFmtId="0" fontId="17" fillId="0" borderId="0" xfId="0" applyFont="1"/>
    <xf numFmtId="0" fontId="6" fillId="4" borderId="0" xfId="0" applyFont="1" applyFill="1"/>
    <xf numFmtId="0" fontId="18" fillId="0" borderId="0" xfId="0" applyFont="1"/>
    <xf numFmtId="0" fontId="18" fillId="4" borderId="0" xfId="0" applyFont="1" applyFill="1"/>
    <xf numFmtId="0" fontId="19" fillId="4" borderId="0" xfId="0" applyFont="1" applyFill="1"/>
    <xf numFmtId="0" fontId="17" fillId="4" borderId="0" xfId="0" applyFont="1" applyFill="1"/>
    <xf numFmtId="0" fontId="20" fillId="4" borderId="0" xfId="0" applyFont="1" applyFill="1" applyAlignment="1">
      <alignment horizontal="left" vertical="center"/>
    </xf>
    <xf numFmtId="0" fontId="5" fillId="4" borderId="0" xfId="0" applyFont="1" applyFill="1"/>
    <xf numFmtId="0" fontId="1" fillId="0" borderId="3" xfId="0" applyFont="1" applyBorder="1"/>
    <xf numFmtId="0" fontId="0" fillId="0" borderId="0" xfId="0" applyAlignment="1">
      <alignment horizontal="left" vertical="center"/>
    </xf>
    <xf numFmtId="0" fontId="2" fillId="0" borderId="3" xfId="0" applyFont="1" applyBorder="1"/>
    <xf numFmtId="0" fontId="0" fillId="0" borderId="3" xfId="0" applyBorder="1"/>
    <xf numFmtId="0" fontId="0" fillId="0" borderId="0" xfId="0" applyAlignment="1">
      <alignment wrapText="1"/>
    </xf>
    <xf numFmtId="0" fontId="5" fillId="0" borderId="0" xfId="0" applyFont="1"/>
    <xf numFmtId="0" fontId="0" fillId="0" borderId="2" xfId="0" applyBorder="1"/>
    <xf numFmtId="0" fontId="5" fillId="0" borderId="2" xfId="0" applyFont="1" applyBorder="1"/>
    <xf numFmtId="0" fontId="2" fillId="0" borderId="2" xfId="0" applyFont="1" applyBorder="1"/>
    <xf numFmtId="0" fontId="2" fillId="0" borderId="1" xfId="0" applyFont="1" applyBorder="1"/>
    <xf numFmtId="164" fontId="0" fillId="5" borderId="11" xfId="0" applyNumberFormat="1" applyFill="1" applyBorder="1" applyAlignment="1">
      <alignment horizontal="center"/>
    </xf>
    <xf numFmtId="0" fontId="0" fillId="5" borderId="11" xfId="0" applyFill="1" applyBorder="1"/>
    <xf numFmtId="1" fontId="0" fillId="5" borderId="12" xfId="0" applyNumberFormat="1" applyFill="1" applyBorder="1" applyAlignment="1">
      <alignment horizontal="center"/>
    </xf>
    <xf numFmtId="0" fontId="0" fillId="5" borderId="12" xfId="0" applyFill="1" applyBorder="1"/>
    <xf numFmtId="164" fontId="0" fillId="5" borderId="12" xfId="0" applyNumberFormat="1" applyFill="1" applyBorder="1" applyAlignment="1">
      <alignment horizontal="center"/>
    </xf>
    <xf numFmtId="1" fontId="0" fillId="5" borderId="11" xfId="0" applyNumberFormat="1" applyFill="1" applyBorder="1" applyAlignment="1">
      <alignment horizontal="center"/>
    </xf>
    <xf numFmtId="0" fontId="21" fillId="0" borderId="0" xfId="0" applyFont="1"/>
    <xf numFmtId="0" fontId="20" fillId="0" borderId="0" xfId="0" applyFont="1" applyAlignment="1">
      <alignment horizontal="left" vertical="center"/>
    </xf>
    <xf numFmtId="165" fontId="0" fillId="0" borderId="0" xfId="0" applyNumberFormat="1"/>
    <xf numFmtId="165" fontId="0" fillId="5" borderId="12" xfId="0" applyNumberFormat="1" applyFill="1" applyBorder="1" applyAlignment="1">
      <alignment horizontal="center"/>
    </xf>
    <xf numFmtId="2" fontId="0" fillId="5" borderId="12" xfId="0" applyNumberFormat="1" applyFill="1" applyBorder="1" applyAlignment="1">
      <alignment horizontal="center"/>
    </xf>
    <xf numFmtId="165" fontId="22" fillId="0" borderId="12" xfId="0" applyNumberFormat="1" applyFont="1" applyBorder="1" applyAlignment="1">
      <alignment horizontal="center" vertical="top" wrapText="1"/>
    </xf>
    <xf numFmtId="0" fontId="22" fillId="0" borderId="12" xfId="0" applyFont="1" applyBorder="1" applyAlignment="1">
      <alignment horizontal="left" vertical="top" wrapText="1"/>
    </xf>
    <xf numFmtId="0" fontId="11" fillId="0" borderId="0" xfId="0" applyFont="1"/>
    <xf numFmtId="0" fontId="0" fillId="6" borderId="0" xfId="0" applyFill="1"/>
    <xf numFmtId="0" fontId="1" fillId="7" borderId="13" xfId="0" applyFont="1" applyFill="1" applyBorder="1"/>
    <xf numFmtId="0" fontId="23" fillId="0" borderId="12" xfId="0" applyFont="1" applyBorder="1" applyAlignment="1">
      <alignment horizontal="center" vertical="center" wrapText="1"/>
    </xf>
    <xf numFmtId="0" fontId="23" fillId="8" borderId="14" xfId="0" applyFont="1" applyFill="1" applyBorder="1"/>
    <xf numFmtId="0" fontId="23" fillId="8" borderId="12" xfId="0" applyFont="1" applyFill="1" applyBorder="1"/>
    <xf numFmtId="0" fontId="23" fillId="5" borderId="12" xfId="0" applyFont="1" applyFill="1" applyBorder="1" applyAlignment="1">
      <alignment horizontal="center" vertical="center" wrapText="1"/>
    </xf>
    <xf numFmtId="0" fontId="16" fillId="5" borderId="12" xfId="0" applyFont="1" applyFill="1" applyBorder="1"/>
    <xf numFmtId="0" fontId="20" fillId="2" borderId="13" xfId="0" applyFont="1" applyFill="1" applyBorder="1" applyAlignment="1">
      <alignment horizontal="left" vertical="center"/>
    </xf>
    <xf numFmtId="0" fontId="1" fillId="9" borderId="3" xfId="0" applyFont="1" applyFill="1" applyBorder="1"/>
    <xf numFmtId="0" fontId="20" fillId="9" borderId="0" xfId="0" applyFont="1" applyFill="1" applyAlignment="1">
      <alignment horizontal="left" vertical="center"/>
    </xf>
    <xf numFmtId="0" fontId="23" fillId="0" borderId="12" xfId="0" applyFont="1" applyBorder="1"/>
    <xf numFmtId="0" fontId="20" fillId="2" borderId="10" xfId="0" applyFont="1" applyFill="1" applyBorder="1" applyAlignment="1">
      <alignment horizontal="left" vertical="center"/>
    </xf>
    <xf numFmtId="0" fontId="20" fillId="2" borderId="9" xfId="0" applyFont="1" applyFill="1" applyBorder="1" applyAlignment="1">
      <alignment horizontal="left" vertical="center"/>
    </xf>
    <xf numFmtId="0" fontId="24" fillId="9" borderId="2" xfId="0" applyFont="1" applyFill="1" applyBorder="1" applyAlignment="1">
      <alignment horizontal="left" vertical="center"/>
    </xf>
    <xf numFmtId="0" fontId="20" fillId="2" borderId="0" xfId="0" applyFont="1" applyFill="1" applyAlignment="1">
      <alignment horizontal="left" vertical="center"/>
    </xf>
    <xf numFmtId="0" fontId="9" fillId="0" borderId="2" xfId="0" applyFont="1" applyBorder="1"/>
    <xf numFmtId="0" fontId="16" fillId="5" borderId="12" xfId="0" applyFont="1" applyFill="1" applyBorder="1" applyAlignment="1">
      <alignment horizontal="center"/>
    </xf>
    <xf numFmtId="0" fontId="16" fillId="5" borderId="0" xfId="0" applyFont="1" applyFill="1" applyAlignment="1">
      <alignment horizontal="center"/>
    </xf>
    <xf numFmtId="0" fontId="16" fillId="5" borderId="0" xfId="0" applyFont="1" applyFill="1"/>
    <xf numFmtId="0" fontId="1" fillId="9" borderId="0" xfId="0" applyFont="1" applyFill="1"/>
    <xf numFmtId="11" fontId="0" fillId="0" borderId="0" xfId="0" applyNumberFormat="1"/>
    <xf numFmtId="166" fontId="16" fillId="0" borderId="0" xfId="0" applyNumberFormat="1" applyFont="1" applyAlignment="1">
      <alignment horizontal="center" vertical="center" wrapText="1"/>
    </xf>
    <xf numFmtId="0" fontId="11" fillId="0" borderId="3" xfId="0" applyFont="1" applyBorder="1"/>
    <xf numFmtId="0" fontId="16" fillId="0" borderId="0" xfId="0" applyFont="1" applyAlignment="1">
      <alignment horizontal="center"/>
    </xf>
    <xf numFmtId="167" fontId="0" fillId="0" borderId="0" xfId="0" applyNumberFormat="1"/>
    <xf numFmtId="0" fontId="24" fillId="0" borderId="0" xfId="0" applyFont="1" applyAlignment="1">
      <alignment horizontal="left" vertical="center"/>
    </xf>
    <xf numFmtId="0" fontId="25" fillId="0" borderId="3" xfId="0" applyFont="1" applyBorder="1"/>
    <xf numFmtId="0" fontId="6" fillId="0" borderId="3" xfId="0" applyFont="1" applyBorder="1"/>
    <xf numFmtId="0" fontId="25" fillId="0" borderId="1" xfId="0" applyFont="1" applyBorder="1"/>
    <xf numFmtId="0" fontId="7" fillId="0" borderId="0" xfId="0" applyFont="1"/>
    <xf numFmtId="0" fontId="7" fillId="0" borderId="3" xfId="0" applyFont="1" applyBorder="1"/>
    <xf numFmtId="168" fontId="0" fillId="0" borderId="0" xfId="0" applyNumberFormat="1"/>
    <xf numFmtId="0" fontId="16" fillId="10" borderId="12" xfId="0" applyFont="1" applyFill="1" applyBorder="1" applyAlignment="1">
      <alignment horizontal="center"/>
    </xf>
    <xf numFmtId="0" fontId="16" fillId="10" borderId="12" xfId="0" applyFont="1" applyFill="1" applyBorder="1"/>
    <xf numFmtId="0" fontId="26" fillId="0" borderId="0" xfId="0" applyFont="1"/>
    <xf numFmtId="0" fontId="27" fillId="0" borderId="2" xfId="0" applyFont="1" applyBorder="1" applyAlignment="1">
      <alignment horizontal="left" vertical="center"/>
    </xf>
    <xf numFmtId="11" fontId="16" fillId="11" borderId="12" xfId="0" applyNumberFormat="1" applyFont="1" applyFill="1" applyBorder="1" applyAlignment="1">
      <alignment horizontal="center"/>
    </xf>
    <xf numFmtId="0" fontId="16" fillId="11" borderId="12" xfId="0" applyFont="1" applyFill="1" applyBorder="1"/>
    <xf numFmtId="0" fontId="23" fillId="0" borderId="0" xfId="0" applyFont="1" applyAlignment="1">
      <alignment horizontal="center"/>
    </xf>
    <xf numFmtId="0" fontId="23" fillId="0" borderId="0" xfId="0" applyFont="1"/>
    <xf numFmtId="0" fontId="16" fillId="0" borderId="12" xfId="0" applyFont="1" applyBorder="1" applyAlignment="1">
      <alignment horizontal="center"/>
    </xf>
    <xf numFmtId="0" fontId="0" fillId="9" borderId="0" xfId="0" applyFill="1"/>
    <xf numFmtId="0" fontId="28" fillId="10" borderId="12" xfId="0" applyFont="1" applyFill="1" applyBorder="1" applyAlignment="1">
      <alignment horizontal="center"/>
    </xf>
    <xf numFmtId="0" fontId="28" fillId="5" borderId="12" xfId="0" applyFont="1" applyFill="1" applyBorder="1" applyAlignment="1">
      <alignment horizontal="center"/>
    </xf>
    <xf numFmtId="0" fontId="28" fillId="11" borderId="12" xfId="0" applyFont="1" applyFill="1" applyBorder="1" applyAlignment="1">
      <alignment horizontal="center"/>
    </xf>
    <xf numFmtId="0" fontId="0" fillId="0" borderId="13" xfId="0" applyBorder="1"/>
    <xf numFmtId="11" fontId="0" fillId="0" borderId="13" xfId="0" applyNumberFormat="1" applyBorder="1"/>
    <xf numFmtId="11" fontId="0" fillId="12" borderId="13" xfId="0" applyNumberFormat="1" applyFill="1" applyBorder="1"/>
    <xf numFmtId="0" fontId="0" fillId="0" borderId="15" xfId="0" applyBorder="1"/>
    <xf numFmtId="0" fontId="0" fillId="0" borderId="16" xfId="0" applyBorder="1"/>
    <xf numFmtId="0" fontId="9" fillId="0" borderId="17" xfId="0" applyFont="1" applyBorder="1"/>
    <xf numFmtId="11" fontId="16" fillId="0" borderId="12" xfId="0" applyNumberFormat="1" applyFont="1" applyBorder="1" applyAlignment="1">
      <alignment horizontal="center"/>
    </xf>
    <xf numFmtId="0" fontId="9" fillId="0" borderId="0" xfId="0" applyFont="1"/>
    <xf numFmtId="0" fontId="16" fillId="0" borderId="3" xfId="0" applyFont="1" applyBorder="1" applyAlignment="1">
      <alignment horizontal="left" vertical="center"/>
    </xf>
    <xf numFmtId="0" fontId="16" fillId="11" borderId="12" xfId="0" applyFont="1" applyFill="1" applyBorder="1" applyAlignment="1">
      <alignment horizontal="center"/>
    </xf>
    <xf numFmtId="49" fontId="6" fillId="0" borderId="0" xfId="0" applyNumberFormat="1" applyFont="1"/>
    <xf numFmtId="49" fontId="6" fillId="0" borderId="0" xfId="0" applyNumberFormat="1" applyFont="1" applyAlignment="1">
      <alignment horizontal="right" vertical="center"/>
    </xf>
    <xf numFmtId="0" fontId="23" fillId="0" borderId="14" xfId="0" applyFont="1" applyBorder="1" applyAlignment="1">
      <alignment horizontal="center"/>
    </xf>
    <xf numFmtId="0" fontId="16" fillId="0" borderId="2" xfId="0" applyFont="1" applyBorder="1" applyAlignment="1">
      <alignment horizontal="center"/>
    </xf>
    <xf numFmtId="0" fontId="16" fillId="0" borderId="2" xfId="0" applyFont="1" applyBorder="1"/>
    <xf numFmtId="11" fontId="23" fillId="0" borderId="14" xfId="0" applyNumberFormat="1" applyFont="1" applyBorder="1" applyAlignment="1">
      <alignment horizontal="center"/>
    </xf>
    <xf numFmtId="11" fontId="16" fillId="10" borderId="12" xfId="0" applyNumberFormat="1" applyFont="1" applyFill="1" applyBorder="1" applyAlignment="1">
      <alignment horizontal="center"/>
    </xf>
    <xf numFmtId="11" fontId="16" fillId="5" borderId="12" xfId="0" applyNumberFormat="1" applyFont="1" applyFill="1" applyBorder="1" applyAlignment="1">
      <alignment horizontal="center"/>
    </xf>
    <xf numFmtId="11" fontId="28" fillId="10" borderId="12" xfId="0" applyNumberFormat="1" applyFont="1" applyFill="1" applyBorder="1" applyAlignment="1">
      <alignment horizontal="center"/>
    </xf>
    <xf numFmtId="166" fontId="0" fillId="0" borderId="0" xfId="0" applyNumberFormat="1"/>
    <xf numFmtId="11" fontId="28" fillId="5" borderId="12" xfId="0" applyNumberFormat="1" applyFont="1" applyFill="1" applyBorder="1" applyAlignment="1">
      <alignment horizontal="center"/>
    </xf>
    <xf numFmtId="0" fontId="23" fillId="8" borderId="12" xfId="0" applyFont="1" applyFill="1" applyBorder="1" applyAlignment="1">
      <alignment horizontal="center"/>
    </xf>
    <xf numFmtId="11" fontId="23" fillId="8" borderId="12" xfId="0" applyNumberFormat="1" applyFont="1" applyFill="1" applyBorder="1" applyAlignment="1">
      <alignment horizontal="center"/>
    </xf>
    <xf numFmtId="0" fontId="16" fillId="10" borderId="18" xfId="0" applyFont="1" applyFill="1" applyBorder="1"/>
    <xf numFmtId="11" fontId="23" fillId="0" borderId="12" xfId="0" applyNumberFormat="1" applyFont="1" applyBorder="1" applyAlignment="1">
      <alignment horizontal="center" vertical="center" wrapText="1"/>
    </xf>
    <xf numFmtId="0" fontId="21" fillId="0" borderId="2" xfId="0" applyFont="1" applyBorder="1"/>
    <xf numFmtId="11" fontId="23" fillId="0" borderId="12" xfId="0" applyNumberFormat="1" applyFont="1" applyBorder="1" applyAlignment="1">
      <alignment horizontal="center" vertical="top" wrapText="1"/>
    </xf>
    <xf numFmtId="0" fontId="23" fillId="0" borderId="12" xfId="0" applyFont="1" applyBorder="1" applyAlignment="1">
      <alignment horizontal="left" vertical="top" wrapText="1"/>
    </xf>
    <xf numFmtId="169" fontId="0" fillId="0" borderId="0" xfId="29" applyNumberFormat="1" applyFont="1"/>
    <xf numFmtId="0" fontId="16" fillId="0" borderId="12" xfId="0" applyFont="1" applyBorder="1"/>
    <xf numFmtId="11" fontId="23" fillId="0" borderId="19" xfId="0" applyNumberFormat="1" applyFont="1" applyBorder="1" applyAlignment="1">
      <alignment horizontal="center" vertical="center" wrapText="1"/>
    </xf>
    <xf numFmtId="11" fontId="23" fillId="0" borderId="13" xfId="0" applyNumberFormat="1" applyFont="1" applyBorder="1" applyAlignment="1">
      <alignment horizontal="center"/>
    </xf>
    <xf numFmtId="166" fontId="16" fillId="0" borderId="0" xfId="0" applyNumberFormat="1" applyFont="1" applyAlignment="1">
      <alignment horizontal="right" vertical="center" wrapText="1"/>
    </xf>
    <xf numFmtId="0" fontId="16" fillId="13" borderId="12" xfId="0" applyFont="1" applyFill="1" applyBorder="1" applyAlignment="1">
      <alignment horizontal="center"/>
    </xf>
    <xf numFmtId="0" fontId="0" fillId="5" borderId="20" xfId="0" applyFill="1" applyBorder="1"/>
    <xf numFmtId="167" fontId="0" fillId="0" borderId="0" xfId="0" applyNumberFormat="1" applyAlignment="1">
      <alignment horizontal="center"/>
    </xf>
    <xf numFmtId="167" fontId="0" fillId="5" borderId="12" xfId="0" applyNumberFormat="1" applyFill="1" applyBorder="1" applyAlignment="1">
      <alignment horizontal="center"/>
    </xf>
    <xf numFmtId="0" fontId="0" fillId="5" borderId="19" xfId="0" applyFill="1" applyBorder="1"/>
    <xf numFmtId="0" fontId="16" fillId="0" borderId="21" xfId="0" applyFont="1" applyBorder="1"/>
    <xf numFmtId="0" fontId="0" fillId="3" borderId="0" xfId="0" applyFill="1"/>
    <xf numFmtId="11" fontId="28" fillId="11" borderId="12" xfId="0" applyNumberFormat="1" applyFont="1" applyFill="1" applyBorder="1" applyAlignment="1">
      <alignment horizontal="center"/>
    </xf>
    <xf numFmtId="0" fontId="29" fillId="0" borderId="0" xfId="0" applyFont="1"/>
    <xf numFmtId="0" fontId="30" fillId="0" borderId="2" xfId="0" applyFont="1" applyBorder="1"/>
    <xf numFmtId="0" fontId="16" fillId="14" borderId="0" xfId="0" applyFont="1" applyFill="1"/>
    <xf numFmtId="0" fontId="31" fillId="0" borderId="0" xfId="0" applyFont="1"/>
    <xf numFmtId="0" fontId="30" fillId="0" borderId="0" xfId="0" applyFont="1"/>
    <xf numFmtId="0" fontId="30" fillId="3" borderId="2" xfId="0" applyFont="1" applyFill="1" applyBorder="1"/>
    <xf numFmtId="0" fontId="5" fillId="3" borderId="2" xfId="0" applyFont="1" applyFill="1" applyBorder="1"/>
    <xf numFmtId="0" fontId="16" fillId="3" borderId="2" xfId="0" applyFont="1" applyFill="1" applyBorder="1"/>
    <xf numFmtId="0" fontId="0" fillId="3" borderId="2" xfId="0" applyFill="1" applyBorder="1"/>
    <xf numFmtId="0" fontId="16" fillId="15" borderId="0" xfId="0" applyFont="1" applyFill="1"/>
    <xf numFmtId="0" fontId="16" fillId="0" borderId="0" xfId="0" applyFont="1" applyAlignment="1">
      <alignment horizontal="right"/>
    </xf>
    <xf numFmtId="0" fontId="8" fillId="0" borderId="0" xfId="0" applyFont="1"/>
    <xf numFmtId="0" fontId="32" fillId="0" borderId="0" xfId="0" applyFont="1" applyAlignment="1">
      <alignment horizontal="left" vertical="center"/>
    </xf>
    <xf numFmtId="0" fontId="33" fillId="16" borderId="3" xfId="0" applyFont="1" applyFill="1" applyBorder="1"/>
    <xf numFmtId="0" fontId="33" fillId="0" borderId="0" xfId="0" applyFont="1"/>
    <xf numFmtId="0" fontId="34" fillId="0" borderId="0" xfId="0" applyFont="1"/>
    <xf numFmtId="11" fontId="8" fillId="0" borderId="0" xfId="0" applyNumberFormat="1" applyFont="1" applyAlignment="1">
      <alignment vertical="center"/>
    </xf>
    <xf numFmtId="167" fontId="8" fillId="0" borderId="0" xfId="0" applyNumberFormat="1" applyFont="1" applyAlignment="1">
      <alignment vertical="center"/>
    </xf>
    <xf numFmtId="166" fontId="8" fillId="0" borderId="0" xfId="0" applyNumberFormat="1" applyFont="1" applyAlignment="1">
      <alignment vertical="center"/>
    </xf>
    <xf numFmtId="0" fontId="8" fillId="0" borderId="0" xfId="0" applyFont="1" applyAlignment="1">
      <alignment vertical="center" wrapText="1"/>
    </xf>
    <xf numFmtId="170" fontId="9" fillId="0" borderId="0" xfId="29" applyNumberFormat="1" applyFont="1" applyFill="1"/>
    <xf numFmtId="0" fontId="0" fillId="17" borderId="0" xfId="0" applyFill="1"/>
    <xf numFmtId="0" fontId="31" fillId="17" borderId="0" xfId="0" applyFont="1" applyFill="1"/>
    <xf numFmtId="0" fontId="16" fillId="17" borderId="0" xfId="0" applyFont="1" applyFill="1"/>
    <xf numFmtId="0" fontId="16" fillId="6" borderId="0" xfId="0" applyFont="1" applyFill="1"/>
    <xf numFmtId="2" fontId="9" fillId="3" borderId="0" xfId="29" applyNumberFormat="1" applyFont="1" applyFill="1"/>
    <xf numFmtId="170" fontId="9" fillId="0" borderId="0" xfId="29" applyNumberFormat="1" applyFont="1"/>
    <xf numFmtId="2" fontId="0" fillId="3" borderId="0" xfId="0" applyNumberFormat="1" applyFill="1"/>
    <xf numFmtId="0" fontId="6" fillId="0" borderId="0" xfId="0" applyFont="1" applyAlignment="1">
      <alignment horizontal="left" vertical="center"/>
    </xf>
    <xf numFmtId="0" fontId="6" fillId="0" borderId="0" xfId="0" applyFont="1" applyAlignment="1">
      <alignment vertical="center"/>
    </xf>
    <xf numFmtId="2" fontId="9" fillId="0" borderId="0" xfId="29" applyNumberFormat="1" applyFont="1"/>
    <xf numFmtId="0" fontId="35" fillId="0" borderId="0" xfId="0" applyFont="1"/>
    <xf numFmtId="0" fontId="36" fillId="0" borderId="22" xfId="0" applyFont="1" applyBorder="1"/>
    <xf numFmtId="0" fontId="0" fillId="0" borderId="23" xfId="0" applyBorder="1"/>
    <xf numFmtId="0" fontId="0" fillId="0" borderId="22" xfId="0" applyBorder="1"/>
    <xf numFmtId="0" fontId="16" fillId="18" borderId="0" xfId="0" applyFont="1" applyFill="1"/>
    <xf numFmtId="0" fontId="36" fillId="0" borderId="24" xfId="0" applyFont="1" applyBorder="1"/>
    <xf numFmtId="0" fontId="0" fillId="0" borderId="25" xfId="0" applyBorder="1"/>
    <xf numFmtId="0" fontId="0" fillId="0" borderId="24" xfId="0" applyBorder="1"/>
    <xf numFmtId="0" fontId="6" fillId="18" borderId="0" xfId="0" applyFont="1" applyFill="1"/>
    <xf numFmtId="0" fontId="0" fillId="19" borderId="0" xfId="0" applyFill="1"/>
    <xf numFmtId="167" fontId="0" fillId="19" borderId="0" xfId="0" applyNumberFormat="1" applyFill="1"/>
    <xf numFmtId="167" fontId="0" fillId="19" borderId="7" xfId="0" applyNumberFormat="1" applyFill="1" applyBorder="1"/>
    <xf numFmtId="0" fontId="9" fillId="18" borderId="26" xfId="0" applyFont="1" applyFill="1" applyBorder="1"/>
    <xf numFmtId="0" fontId="9" fillId="18" borderId="27" xfId="0" applyFont="1" applyFill="1" applyBorder="1"/>
    <xf numFmtId="0" fontId="0" fillId="18" borderId="27" xfId="0" applyFill="1" applyBorder="1"/>
    <xf numFmtId="0" fontId="0" fillId="18" borderId="25" xfId="0" applyFill="1" applyBorder="1"/>
    <xf numFmtId="0" fontId="9" fillId="0" borderId="23" xfId="0" applyFont="1" applyBorder="1"/>
    <xf numFmtId="0" fontId="9" fillId="0" borderId="22" xfId="0" applyFont="1" applyBorder="1"/>
    <xf numFmtId="0" fontId="6" fillId="20" borderId="0" xfId="0" applyFont="1" applyFill="1"/>
    <xf numFmtId="0" fontId="0" fillId="20" borderId="0" xfId="0" applyFill="1"/>
    <xf numFmtId="0" fontId="0" fillId="21" borderId="0" xfId="0" applyFill="1"/>
    <xf numFmtId="0" fontId="9" fillId="22" borderId="2" xfId="0" applyFont="1" applyFill="1" applyBorder="1"/>
    <xf numFmtId="0" fontId="6" fillId="0" borderId="2" xfId="0" applyFont="1" applyBorder="1"/>
    <xf numFmtId="0" fontId="6" fillId="15" borderId="0" xfId="0" applyFont="1" applyFill="1"/>
    <xf numFmtId="0" fontId="6" fillId="0" borderId="0" xfId="0" applyFont="1" applyAlignment="1">
      <alignment horizontal="right" vertical="center"/>
    </xf>
    <xf numFmtId="0" fontId="37" fillId="0" borderId="0" xfId="0" applyFont="1"/>
    <xf numFmtId="0" fontId="11" fillId="0" borderId="0" xfId="0" applyFont="1" applyAlignment="1">
      <alignment horizontal="right" vertical="center"/>
    </xf>
    <xf numFmtId="167" fontId="1" fillId="0" borderId="0" xfId="0" applyNumberFormat="1" applyFont="1"/>
    <xf numFmtId="0" fontId="38" fillId="0" borderId="0" xfId="0" applyFont="1" applyAlignment="1">
      <alignment horizontal="left" vertical="center"/>
    </xf>
    <xf numFmtId="0" fontId="16" fillId="0" borderId="0" xfId="0" applyFont="1" applyAlignment="1">
      <alignment horizontal="right" vertical="center"/>
    </xf>
    <xf numFmtId="164" fontId="0" fillId="0" borderId="0" xfId="0" applyNumberFormat="1" applyAlignment="1">
      <alignment horizontal="right" vertical="center"/>
    </xf>
    <xf numFmtId="0" fontId="0" fillId="0" borderId="0" xfId="0" applyAlignment="1">
      <alignment horizontal="right" vertical="center"/>
    </xf>
    <xf numFmtId="164" fontId="6" fillId="0" borderId="0" xfId="0" applyNumberFormat="1" applyFont="1" applyAlignment="1">
      <alignment horizontal="right" vertical="center"/>
    </xf>
    <xf numFmtId="164" fontId="6" fillId="0" borderId="0" xfId="0" applyNumberFormat="1" applyFont="1"/>
    <xf numFmtId="0" fontId="11" fillId="0" borderId="0" xfId="0" applyFont="1" applyAlignment="1">
      <alignment vertical="center"/>
    </xf>
    <xf numFmtId="164" fontId="6" fillId="0" borderId="0" xfId="0" applyNumberFormat="1" applyFont="1" applyAlignment="1">
      <alignment vertical="center"/>
    </xf>
    <xf numFmtId="0" fontId="0" fillId="0" borderId="0" xfId="0" quotePrefix="1"/>
    <xf numFmtId="164" fontId="0" fillId="0" borderId="0" xfId="0" applyNumberFormat="1"/>
    <xf numFmtId="0" fontId="0" fillId="21" borderId="0" xfId="0" applyFill="1" applyAlignment="1">
      <alignment horizontal="left" vertical="center"/>
    </xf>
    <xf numFmtId="0" fontId="0" fillId="20" borderId="1" xfId="0" applyFill="1" applyBorder="1" applyAlignment="1">
      <alignment horizontal="left" vertical="center"/>
    </xf>
    <xf numFmtId="0" fontId="0" fillId="20" borderId="2" xfId="0" applyFill="1" applyBorder="1"/>
    <xf numFmtId="0" fontId="6" fillId="0" borderId="4" xfId="0" applyFont="1" applyBorder="1"/>
    <xf numFmtId="0" fontId="0" fillId="20" borderId="6" xfId="0" applyFill="1" applyBorder="1" applyAlignment="1">
      <alignment horizontal="left" vertical="center"/>
    </xf>
    <xf numFmtId="0" fontId="0" fillId="20" borderId="7" xfId="0" applyFill="1" applyBorder="1"/>
    <xf numFmtId="0" fontId="6" fillId="0" borderId="8" xfId="0" applyFont="1" applyBorder="1"/>
    <xf numFmtId="0" fontId="0" fillId="20" borderId="3" xfId="0" applyFill="1" applyBorder="1" applyAlignment="1">
      <alignment horizontal="left" vertical="center"/>
    </xf>
    <xf numFmtId="0" fontId="6" fillId="0" borderId="5" xfId="0" applyFont="1" applyBorder="1"/>
    <xf numFmtId="0" fontId="0" fillId="0" borderId="0" xfId="0" applyAlignment="1">
      <alignment horizontal="right"/>
    </xf>
    <xf numFmtId="167" fontId="0" fillId="21" borderId="0" xfId="0" applyNumberFormat="1" applyFill="1" applyAlignment="1">
      <alignment horizontal="right"/>
    </xf>
    <xf numFmtId="0" fontId="0" fillId="21" borderId="0" xfId="0" applyFill="1" applyAlignment="1">
      <alignment horizontal="right"/>
    </xf>
    <xf numFmtId="0" fontId="16" fillId="23" borderId="17" xfId="0" applyFont="1" applyFill="1" applyBorder="1"/>
    <xf numFmtId="0" fontId="6" fillId="20" borderId="16" xfId="0" applyFont="1" applyFill="1" applyBorder="1" applyAlignment="1">
      <alignment horizontal="right"/>
    </xf>
    <xf numFmtId="0" fontId="6" fillId="20" borderId="16" xfId="0" applyFont="1" applyFill="1" applyBorder="1"/>
    <xf numFmtId="0" fontId="6" fillId="0" borderId="15" xfId="0" applyFont="1" applyBorder="1"/>
    <xf numFmtId="0" fontId="6" fillId="20" borderId="2" xfId="0" applyFont="1" applyFill="1" applyBorder="1" applyAlignment="1">
      <alignment horizontal="right"/>
    </xf>
    <xf numFmtId="0" fontId="6" fillId="20" borderId="2" xfId="0" applyFont="1" applyFill="1" applyBorder="1"/>
    <xf numFmtId="0" fontId="6" fillId="20" borderId="7" xfId="0" applyFont="1" applyFill="1" applyBorder="1" applyAlignment="1">
      <alignment horizontal="right"/>
    </xf>
    <xf numFmtId="0" fontId="6" fillId="20" borderId="7" xfId="0" applyFont="1" applyFill="1" applyBorder="1"/>
    <xf numFmtId="0" fontId="6" fillId="20" borderId="0" xfId="0" applyFont="1" applyFill="1" applyAlignment="1">
      <alignment horizontal="right"/>
    </xf>
    <xf numFmtId="0" fontId="0" fillId="20" borderId="7" xfId="0" applyFill="1" applyBorder="1" applyAlignment="1">
      <alignment horizontal="right"/>
    </xf>
    <xf numFmtId="0" fontId="6" fillId="0" borderId="0" xfId="0" applyFont="1" applyAlignment="1">
      <alignment horizontal="right"/>
    </xf>
    <xf numFmtId="0" fontId="6" fillId="20" borderId="16" xfId="0" applyFont="1" applyFill="1" applyBorder="1" applyAlignment="1">
      <alignment horizontal="right" vertical="center"/>
    </xf>
    <xf numFmtId="0" fontId="0" fillId="20" borderId="2" xfId="0" applyFill="1" applyBorder="1" applyAlignment="1">
      <alignment horizontal="right" vertical="center"/>
    </xf>
    <xf numFmtId="0" fontId="0" fillId="20" borderId="0" xfId="0" applyFill="1" applyAlignment="1">
      <alignment horizontal="right" vertical="center"/>
    </xf>
    <xf numFmtId="0" fontId="0" fillId="20" borderId="7" xfId="0" applyFill="1" applyBorder="1" applyAlignment="1">
      <alignment horizontal="right" vertical="center"/>
    </xf>
    <xf numFmtId="49" fontId="0" fillId="0" borderId="0" xfId="0" applyNumberFormat="1"/>
    <xf numFmtId="0" fontId="0" fillId="0" borderId="7" xfId="0" applyBorder="1" applyAlignment="1">
      <alignment horizontal="left" vertical="center"/>
    </xf>
    <xf numFmtId="0" fontId="0" fillId="0" borderId="7" xfId="0" applyBorder="1"/>
    <xf numFmtId="0" fontId="20" fillId="0" borderId="7" xfId="0" applyFont="1" applyBorder="1" applyAlignment="1">
      <alignment horizontal="left" vertical="center"/>
    </xf>
    <xf numFmtId="0" fontId="0" fillId="21" borderId="7" xfId="0" applyFill="1" applyBorder="1"/>
    <xf numFmtId="0" fontId="6" fillId="0" borderId="7" xfId="0" applyFont="1" applyBorder="1"/>
    <xf numFmtId="49" fontId="16" fillId="0" borderId="0" xfId="0" applyNumberFormat="1" applyFont="1"/>
    <xf numFmtId="49" fontId="0" fillId="0" borderId="0" xfId="0" applyNumberFormat="1" applyAlignment="1">
      <alignment horizontal="right" vertical="center"/>
    </xf>
    <xf numFmtId="49" fontId="11"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167" fontId="0" fillId="4" borderId="0" xfId="0" applyNumberFormat="1" applyFill="1"/>
    <xf numFmtId="2" fontId="0" fillId="4" borderId="0" xfId="0" applyNumberFormat="1" applyFill="1"/>
    <xf numFmtId="167" fontId="2" fillId="4" borderId="0" xfId="0" applyNumberFormat="1" applyFont="1" applyFill="1"/>
    <xf numFmtId="2" fontId="2" fillId="4" borderId="0" xfId="0" applyNumberFormat="1" applyFont="1" applyFill="1"/>
    <xf numFmtId="0" fontId="1" fillId="6" borderId="0" xfId="0" applyFont="1" applyFill="1"/>
    <xf numFmtId="167" fontId="1" fillId="4" borderId="0" xfId="0" applyNumberFormat="1" applyFont="1" applyFill="1"/>
    <xf numFmtId="2" fontId="1" fillId="4" borderId="0" xfId="0" applyNumberFormat="1" applyFont="1" applyFill="1"/>
    <xf numFmtId="0" fontId="2" fillId="6" borderId="2" xfId="0" applyFont="1" applyFill="1" applyBorder="1"/>
    <xf numFmtId="167" fontId="2" fillId="4" borderId="2" xfId="0" applyNumberFormat="1" applyFont="1" applyFill="1" applyBorder="1"/>
    <xf numFmtId="2" fontId="0" fillId="4" borderId="2" xfId="0" applyNumberFormat="1" applyFill="1" applyBorder="1"/>
    <xf numFmtId="0" fontId="15" fillId="4" borderId="0" xfId="0" applyFont="1" applyFill="1" applyAlignment="1">
      <alignment vertical="center"/>
    </xf>
    <xf numFmtId="0" fontId="26" fillId="0" borderId="13" xfId="0" applyFont="1" applyBorder="1"/>
    <xf numFmtId="0" fontId="19" fillId="0" borderId="0" xfId="0" quotePrefix="1" applyFont="1"/>
    <xf numFmtId="0" fontId="16" fillId="3" borderId="0" xfId="0" applyFont="1" applyFill="1" applyAlignment="1">
      <alignment vertical="center"/>
    </xf>
    <xf numFmtId="1" fontId="1" fillId="4" borderId="0" xfId="0" applyNumberFormat="1" applyFont="1" applyFill="1"/>
    <xf numFmtId="0" fontId="0" fillId="4" borderId="0" xfId="0" applyFill="1" applyAlignment="1">
      <alignment wrapText="1"/>
    </xf>
    <xf numFmtId="0" fontId="36" fillId="16" borderId="0" xfId="0" applyFont="1" applyFill="1"/>
    <xf numFmtId="0" fontId="39" fillId="16" borderId="0" xfId="0" applyFont="1" applyFill="1"/>
    <xf numFmtId="0" fontId="16" fillId="4" borderId="0" xfId="0" applyFont="1" applyFill="1"/>
    <xf numFmtId="164" fontId="0" fillId="4" borderId="0" xfId="0" applyNumberFormat="1" applyFill="1"/>
    <xf numFmtId="11" fontId="0" fillId="4" borderId="0" xfId="0" applyNumberFormat="1" applyFill="1"/>
    <xf numFmtId="0" fontId="16" fillId="4" borderId="0" xfId="0" applyFont="1" applyFill="1" applyAlignment="1">
      <alignment vertical="center"/>
    </xf>
    <xf numFmtId="0" fontId="0" fillId="4" borderId="0" xfId="0" applyFill="1" applyAlignment="1">
      <alignment vertical="center"/>
    </xf>
    <xf numFmtId="0" fontId="16" fillId="24" borderId="0" xfId="0" applyFont="1" applyFill="1"/>
    <xf numFmtId="0" fontId="2" fillId="25" borderId="2" xfId="0" applyFont="1" applyFill="1" applyBorder="1"/>
    <xf numFmtId="0" fontId="16" fillId="4" borderId="0" xfId="0" applyFont="1" applyFill="1" applyAlignment="1">
      <alignment wrapText="1"/>
    </xf>
    <xf numFmtId="3" fontId="0" fillId="4" borderId="0" xfId="0" applyNumberFormat="1" applyFill="1"/>
    <xf numFmtId="0" fontId="1" fillId="4" borderId="0" xfId="0" applyFont="1" applyFill="1" applyAlignment="1">
      <alignment vertical="center"/>
    </xf>
    <xf numFmtId="0" fontId="0" fillId="26" borderId="0" xfId="0" applyFill="1" applyAlignment="1">
      <alignment horizontal="center" vertical="center"/>
    </xf>
    <xf numFmtId="166" fontId="0" fillId="4" borderId="0" xfId="0" applyNumberFormat="1" applyFill="1"/>
    <xf numFmtId="0" fontId="2" fillId="27" borderId="2" xfId="0" applyFont="1" applyFill="1" applyBorder="1"/>
    <xf numFmtId="0" fontId="6" fillId="4" borderId="5" xfId="0" applyFont="1" applyFill="1" applyBorder="1" applyAlignment="1">
      <alignment horizontal="left" vertical="top"/>
    </xf>
    <xf numFmtId="167" fontId="1" fillId="27" borderId="0" xfId="0" applyNumberFormat="1" applyFont="1" applyFill="1"/>
    <xf numFmtId="171" fontId="0" fillId="4" borderId="0" xfId="0" applyNumberFormat="1" applyFill="1"/>
    <xf numFmtId="167" fontId="15" fillId="4" borderId="0" xfId="0" applyNumberFormat="1" applyFont="1" applyFill="1" applyAlignment="1">
      <alignment vertical="center"/>
    </xf>
    <xf numFmtId="0" fontId="8" fillId="0" borderId="7" xfId="0" applyFont="1" applyBorder="1"/>
    <xf numFmtId="0" fontId="13" fillId="0" borderId="3" xfId="0" applyFont="1" applyBorder="1"/>
    <xf numFmtId="0" fontId="13" fillId="0" borderId="0" xfId="0" applyFont="1"/>
    <xf numFmtId="0" fontId="12" fillId="0" borderId="0" xfId="0" applyFont="1"/>
    <xf numFmtId="0" fontId="8" fillId="0" borderId="3" xfId="0" applyFont="1" applyBorder="1"/>
    <xf numFmtId="0" fontId="8" fillId="0" borderId="0" xfId="0" applyFont="1" applyAlignment="1">
      <alignment wrapText="1"/>
    </xf>
    <xf numFmtId="0" fontId="8" fillId="28" borderId="0" xfId="0" applyFont="1" applyFill="1"/>
    <xf numFmtId="0" fontId="8" fillId="0" borderId="28" xfId="0" applyFont="1" applyBorder="1"/>
    <xf numFmtId="167" fontId="8" fillId="0" borderId="0" xfId="0" applyNumberFormat="1" applyFont="1"/>
    <xf numFmtId="0" fontId="8" fillId="0" borderId="1" xfId="0" applyFont="1" applyBorder="1"/>
    <xf numFmtId="0" fontId="34" fillId="0" borderId="2" xfId="0" applyFont="1" applyBorder="1" applyAlignment="1">
      <alignment vertical="center"/>
    </xf>
    <xf numFmtId="0" fontId="8" fillId="0" borderId="2" xfId="0" applyFont="1" applyBorder="1"/>
    <xf numFmtId="0" fontId="34" fillId="0" borderId="0" xfId="0" applyFont="1" applyAlignment="1">
      <alignment vertical="center"/>
    </xf>
    <xf numFmtId="0" fontId="8" fillId="18" borderId="1" xfId="0" applyFont="1" applyFill="1" applyBorder="1"/>
    <xf numFmtId="2" fontId="8" fillId="0" borderId="2" xfId="0" applyNumberFormat="1" applyFont="1" applyBorder="1"/>
    <xf numFmtId="0" fontId="24" fillId="18" borderId="3" xfId="0" applyFont="1" applyFill="1" applyBorder="1" applyAlignment="1">
      <alignment horizontal="left" vertical="center"/>
    </xf>
    <xf numFmtId="2" fontId="8" fillId="0" borderId="0" xfId="0" applyNumberFormat="1" applyFont="1"/>
    <xf numFmtId="0" fontId="24" fillId="18" borderId="6" xfId="0" applyFont="1" applyFill="1" applyBorder="1" applyAlignment="1">
      <alignment horizontal="left" vertical="center"/>
    </xf>
    <xf numFmtId="0" fontId="8" fillId="18" borderId="2" xfId="0" applyFont="1" applyFill="1" applyBorder="1"/>
    <xf numFmtId="0" fontId="8" fillId="18" borderId="0" xfId="0" applyFont="1" applyFill="1" applyAlignment="1">
      <alignment horizontal="left" vertical="center"/>
    </xf>
    <xf numFmtId="0" fontId="8" fillId="18" borderId="3" xfId="0" applyFont="1" applyFill="1" applyBorder="1" applyAlignment="1">
      <alignment horizontal="left" vertical="center"/>
    </xf>
    <xf numFmtId="0" fontId="20" fillId="17" borderId="29" xfId="0" applyFont="1" applyFill="1" applyBorder="1" applyAlignment="1">
      <alignment horizontal="left" vertical="center"/>
    </xf>
    <xf numFmtId="0" fontId="8" fillId="0" borderId="29" xfId="0" applyFont="1" applyBorder="1"/>
    <xf numFmtId="0" fontId="8" fillId="0" borderId="28" xfId="0" applyFont="1" applyBorder="1" applyAlignment="1">
      <alignment horizontal="left" vertical="center"/>
    </xf>
    <xf numFmtId="0" fontId="8" fillId="0" borderId="2" xfId="0" applyFont="1" applyBorder="1" applyAlignment="1">
      <alignment horizontal="left" vertical="center"/>
    </xf>
    <xf numFmtId="0" fontId="8" fillId="18" borderId="3" xfId="0" applyFont="1" applyFill="1" applyBorder="1"/>
    <xf numFmtId="0" fontId="8" fillId="18" borderId="6" xfId="0" applyFont="1" applyFill="1" applyBorder="1"/>
    <xf numFmtId="0" fontId="8" fillId="0" borderId="30" xfId="0" applyFont="1" applyBorder="1"/>
    <xf numFmtId="0" fontId="13" fillId="0" borderId="1" xfId="0" applyFont="1" applyBorder="1"/>
    <xf numFmtId="0" fontId="13" fillId="0" borderId="2" xfId="0" applyFont="1" applyBorder="1"/>
    <xf numFmtId="0" fontId="12" fillId="0" borderId="2" xfId="0" applyFont="1" applyBorder="1"/>
    <xf numFmtId="0" fontId="34" fillId="27" borderId="5" xfId="0" applyFont="1" applyFill="1" applyBorder="1" applyAlignment="1">
      <alignment vertical="center"/>
    </xf>
    <xf numFmtId="0" fontId="8" fillId="27" borderId="0" xfId="0" applyFont="1" applyFill="1"/>
    <xf numFmtId="0" fontId="8" fillId="6" borderId="0" xfId="0" applyFont="1" applyFill="1"/>
    <xf numFmtId="0" fontId="8" fillId="29" borderId="0" xfId="0" applyFont="1" applyFill="1"/>
    <xf numFmtId="0" fontId="8" fillId="3" borderId="0" xfId="0" applyFont="1" applyFill="1"/>
    <xf numFmtId="0" fontId="8" fillId="30" borderId="0" xfId="0" applyFont="1" applyFill="1"/>
    <xf numFmtId="0" fontId="40" fillId="0" borderId="0" xfId="0" applyFont="1" applyAlignment="1">
      <alignment vertical="center"/>
    </xf>
    <xf numFmtId="0" fontId="16" fillId="0" borderId="0" xfId="0" applyFont="1" applyAlignment="1">
      <alignment horizontal="left" vertical="center"/>
    </xf>
    <xf numFmtId="0" fontId="16" fillId="0" borderId="0" xfId="0" applyFont="1" applyAlignment="1">
      <alignment vertical="center"/>
    </xf>
    <xf numFmtId="0" fontId="41" fillId="0" borderId="0" xfId="0" applyFont="1"/>
    <xf numFmtId="0" fontId="42" fillId="0" borderId="0" xfId="0" applyFont="1"/>
    <xf numFmtId="0" fontId="8" fillId="5" borderId="12" xfId="0" applyFont="1" applyFill="1" applyBorder="1"/>
    <xf numFmtId="164" fontId="8" fillId="5" borderId="12" xfId="0" applyNumberFormat="1" applyFont="1" applyFill="1" applyBorder="1" applyAlignment="1">
      <alignment horizontal="center"/>
    </xf>
    <xf numFmtId="0" fontId="8" fillId="5" borderId="11" xfId="0" applyFont="1" applyFill="1" applyBorder="1"/>
    <xf numFmtId="164" fontId="8" fillId="5" borderId="11" xfId="0" applyNumberFormat="1" applyFont="1" applyFill="1" applyBorder="1" applyAlignment="1">
      <alignment horizontal="center"/>
    </xf>
    <xf numFmtId="1" fontId="8" fillId="5" borderId="11" xfId="0" applyNumberFormat="1" applyFont="1" applyFill="1" applyBorder="1" applyAlignment="1">
      <alignment horizontal="center"/>
    </xf>
    <xf numFmtId="1" fontId="8" fillId="5" borderId="12" xfId="0" applyNumberFormat="1" applyFont="1" applyFill="1" applyBorder="1" applyAlignment="1">
      <alignment horizontal="center"/>
    </xf>
    <xf numFmtId="0" fontId="43" fillId="0" borderId="0" xfId="0" applyFont="1"/>
    <xf numFmtId="0" fontId="44" fillId="0" borderId="12" xfId="0" applyFont="1" applyBorder="1" applyAlignment="1">
      <alignment horizontal="left" vertical="top" wrapText="1"/>
    </xf>
    <xf numFmtId="165" fontId="44" fillId="0" borderId="12" xfId="0" applyNumberFormat="1" applyFont="1" applyBorder="1" applyAlignment="1">
      <alignment horizontal="center" vertical="top" wrapText="1"/>
    </xf>
    <xf numFmtId="165" fontId="8" fillId="0" borderId="0" xfId="0" applyNumberFormat="1" applyFont="1"/>
    <xf numFmtId="2" fontId="8" fillId="5" borderId="12" xfId="0" applyNumberFormat="1" applyFont="1" applyFill="1" applyBorder="1" applyAlignment="1">
      <alignment horizontal="center"/>
    </xf>
    <xf numFmtId="165" fontId="8" fillId="5" borderId="12" xfId="0" applyNumberFormat="1" applyFont="1" applyFill="1" applyBorder="1" applyAlignment="1">
      <alignment horizontal="center"/>
    </xf>
    <xf numFmtId="0" fontId="8" fillId="9" borderId="3" xfId="0" applyFont="1" applyFill="1" applyBorder="1"/>
    <xf numFmtId="0" fontId="45" fillId="8" borderId="12" xfId="0" applyFont="1" applyFill="1" applyBorder="1"/>
    <xf numFmtId="0" fontId="45" fillId="0" borderId="12" xfId="0" applyFont="1" applyBorder="1" applyAlignment="1">
      <alignment horizontal="center" vertical="center" wrapText="1"/>
    </xf>
    <xf numFmtId="0" fontId="8" fillId="9" borderId="0" xfId="0" applyFont="1" applyFill="1" applyAlignment="1">
      <alignment horizontal="left" vertical="center"/>
    </xf>
    <xf numFmtId="0" fontId="8" fillId="9" borderId="2" xfId="0" applyFont="1" applyFill="1" applyBorder="1" applyAlignment="1">
      <alignment horizontal="left" vertical="center"/>
    </xf>
    <xf numFmtId="0" fontId="45" fillId="8" borderId="14" xfId="0" applyFont="1" applyFill="1" applyBorder="1"/>
    <xf numFmtId="0" fontId="34" fillId="5" borderId="12" xfId="0" applyFont="1" applyFill="1" applyBorder="1"/>
    <xf numFmtId="0" fontId="45" fillId="5" borderId="12" xfId="0" applyFont="1" applyFill="1" applyBorder="1" applyAlignment="1">
      <alignment horizontal="center" vertical="center" wrapText="1"/>
    </xf>
    <xf numFmtId="0" fontId="8" fillId="2" borderId="3" xfId="0" applyFont="1" applyFill="1" applyBorder="1"/>
    <xf numFmtId="0" fontId="46" fillId="0" borderId="1" xfId="0" applyFont="1" applyBorder="1"/>
    <xf numFmtId="0" fontId="13" fillId="0" borderId="2" xfId="0" applyFont="1" applyBorder="1" applyAlignment="1">
      <alignment horizontal="left" vertical="center"/>
    </xf>
    <xf numFmtId="0" fontId="41" fillId="0" borderId="3" xfId="0" applyFont="1" applyBorder="1"/>
    <xf numFmtId="0" fontId="46" fillId="0" borderId="3" xfId="0" applyFont="1" applyBorder="1"/>
    <xf numFmtId="0" fontId="8" fillId="9" borderId="0" xfId="0" applyFont="1" applyFill="1"/>
    <xf numFmtId="0" fontId="45" fillId="0" borderId="0" xfId="0" applyFont="1"/>
    <xf numFmtId="0" fontId="45" fillId="0" borderId="0" xfId="0" applyFont="1" applyAlignment="1">
      <alignment horizontal="center"/>
    </xf>
    <xf numFmtId="0" fontId="43" fillId="3" borderId="0" xfId="0" applyFont="1" applyFill="1"/>
    <xf numFmtId="0" fontId="41" fillId="0" borderId="0" xfId="0" applyFont="1" applyAlignment="1">
      <alignment horizontal="left" vertical="center"/>
    </xf>
    <xf numFmtId="0" fontId="47" fillId="0" borderId="0" xfId="0" applyFont="1"/>
    <xf numFmtId="0" fontId="34" fillId="5" borderId="12" xfId="0" applyFont="1" applyFill="1" applyBorder="1" applyAlignment="1">
      <alignment horizontal="center"/>
    </xf>
    <xf numFmtId="11" fontId="8" fillId="0" borderId="0" xfId="0" applyNumberFormat="1" applyFont="1"/>
    <xf numFmtId="0" fontId="34" fillId="11" borderId="12" xfId="0" applyFont="1" applyFill="1" applyBorder="1"/>
    <xf numFmtId="11" fontId="34" fillId="11" borderId="12" xfId="0" applyNumberFormat="1" applyFont="1" applyFill="1" applyBorder="1" applyAlignment="1">
      <alignment horizontal="center"/>
    </xf>
    <xf numFmtId="0" fontId="34" fillId="10" borderId="12" xfId="0" applyFont="1" applyFill="1" applyBorder="1"/>
    <xf numFmtId="0" fontId="34" fillId="10" borderId="12" xfId="0" applyFont="1" applyFill="1" applyBorder="1" applyAlignment="1">
      <alignment horizontal="center"/>
    </xf>
    <xf numFmtId="168" fontId="8" fillId="0" borderId="0" xfId="0" applyNumberFormat="1" applyFont="1"/>
    <xf numFmtId="0" fontId="34" fillId="0" borderId="0" xfId="0" applyFont="1" applyAlignment="1">
      <alignment horizontal="center"/>
    </xf>
    <xf numFmtId="0" fontId="1" fillId="0" borderId="2" xfId="0" applyFont="1" applyBorder="1"/>
    <xf numFmtId="0" fontId="31" fillId="0" borderId="0" xfId="0" applyFont="1" applyAlignment="1">
      <alignment horizontal="center"/>
    </xf>
    <xf numFmtId="0" fontId="43" fillId="0" borderId="3" xfId="0" applyFont="1" applyBorder="1"/>
    <xf numFmtId="166" fontId="34" fillId="0" borderId="0" xfId="0" applyNumberFormat="1" applyFont="1" applyAlignment="1">
      <alignment horizontal="center" vertical="center" wrapText="1"/>
    </xf>
    <xf numFmtId="11" fontId="1" fillId="0" borderId="0" xfId="0" applyNumberFormat="1" applyFont="1"/>
    <xf numFmtId="0" fontId="13" fillId="0" borderId="17" xfId="0" applyFont="1" applyBorder="1"/>
    <xf numFmtId="0" fontId="8" fillId="0" borderId="16" xfId="0" applyFont="1" applyBorder="1"/>
    <xf numFmtId="0" fontId="8" fillId="0" borderId="15" xfId="0" applyFont="1" applyBorder="1"/>
    <xf numFmtId="11" fontId="8" fillId="0" borderId="13" xfId="0" applyNumberFormat="1" applyFont="1" applyBorder="1"/>
    <xf numFmtId="0" fontId="8" fillId="0" borderId="13" xfId="0" applyFont="1" applyBorder="1"/>
    <xf numFmtId="0" fontId="34" fillId="5" borderId="0" xfId="0" applyFont="1" applyFill="1"/>
    <xf numFmtId="0" fontId="34" fillId="5" borderId="0" xfId="0" applyFont="1" applyFill="1" applyAlignment="1">
      <alignment horizontal="center"/>
    </xf>
    <xf numFmtId="172" fontId="8" fillId="0" borderId="0" xfId="29" applyNumberFormat="1" applyFont="1"/>
    <xf numFmtId="0" fontId="8" fillId="0" borderId="0" xfId="0" applyFont="1" applyAlignment="1">
      <alignment textRotation="90" wrapText="1"/>
    </xf>
    <xf numFmtId="0" fontId="34" fillId="0" borderId="2" xfId="0" applyFont="1" applyBorder="1"/>
    <xf numFmtId="0" fontId="34" fillId="0" borderId="2" xfId="0" applyFont="1" applyBorder="1" applyAlignment="1">
      <alignment horizontal="center"/>
    </xf>
    <xf numFmtId="0" fontId="34" fillId="0" borderId="3" xfId="0" applyFont="1" applyBorder="1" applyAlignment="1">
      <alignment horizontal="left" vertical="center"/>
    </xf>
    <xf numFmtId="0" fontId="34" fillId="11" borderId="12" xfId="0" applyFont="1" applyFill="1" applyBorder="1" applyAlignment="1">
      <alignment horizontal="center"/>
    </xf>
    <xf numFmtId="167" fontId="8" fillId="5" borderId="12" xfId="0" applyNumberFormat="1" applyFont="1" applyFill="1" applyBorder="1" applyAlignment="1">
      <alignment horizontal="center"/>
    </xf>
    <xf numFmtId="166" fontId="8" fillId="0" borderId="0" xfId="0" applyNumberFormat="1" applyFont="1"/>
    <xf numFmtId="0" fontId="8" fillId="5" borderId="20" xfId="0" applyFont="1" applyFill="1" applyBorder="1"/>
    <xf numFmtId="165" fontId="8" fillId="5" borderId="20" xfId="0" applyNumberFormat="1" applyFont="1" applyFill="1" applyBorder="1" applyAlignment="1">
      <alignment horizontal="center"/>
    </xf>
    <xf numFmtId="0" fontId="8" fillId="31" borderId="0" xfId="0" applyFont="1" applyFill="1"/>
    <xf numFmtId="166" fontId="34" fillId="0" borderId="0" xfId="0" applyNumberFormat="1" applyFont="1" applyAlignment="1">
      <alignment horizontal="right" vertical="center" wrapText="1"/>
    </xf>
    <xf numFmtId="0" fontId="42" fillId="0" borderId="2" xfId="0" applyFont="1" applyBorder="1"/>
    <xf numFmtId="0" fontId="34" fillId="10" borderId="18" xfId="0" applyFont="1" applyFill="1" applyBorder="1"/>
    <xf numFmtId="0" fontId="34" fillId="10" borderId="18" xfId="0" applyFont="1" applyFill="1" applyBorder="1" applyAlignment="1">
      <alignment horizontal="center"/>
    </xf>
    <xf numFmtId="0" fontId="34" fillId="0" borderId="12" xfId="0" applyFont="1" applyBorder="1"/>
    <xf numFmtId="11" fontId="34" fillId="0" borderId="12" xfId="0" applyNumberFormat="1" applyFont="1" applyBorder="1" applyAlignment="1">
      <alignment horizontal="center"/>
    </xf>
    <xf numFmtId="169" fontId="8" fillId="0" borderId="0" xfId="29" applyNumberFormat="1" applyFont="1"/>
    <xf numFmtId="11" fontId="34" fillId="5" borderId="12" xfId="0" applyNumberFormat="1" applyFont="1" applyFill="1" applyBorder="1" applyAlignment="1">
      <alignment horizontal="center"/>
    </xf>
    <xf numFmtId="11" fontId="34" fillId="10" borderId="12" xfId="0" applyNumberFormat="1" applyFont="1" applyFill="1" applyBorder="1" applyAlignment="1">
      <alignment horizontal="center"/>
    </xf>
    <xf numFmtId="11" fontId="45" fillId="8" borderId="12" xfId="0" applyNumberFormat="1" applyFont="1" applyFill="1" applyBorder="1" applyAlignment="1">
      <alignment horizontal="center"/>
    </xf>
    <xf numFmtId="0" fontId="45" fillId="8" borderId="12" xfId="0" applyFont="1" applyFill="1" applyBorder="1" applyAlignment="1">
      <alignment horizontal="center"/>
    </xf>
    <xf numFmtId="0" fontId="8" fillId="3" borderId="2" xfId="0" applyFont="1" applyFill="1" applyBorder="1" applyAlignment="1">
      <alignment horizontal="left" vertical="center"/>
    </xf>
    <xf numFmtId="0" fontId="45" fillId="3" borderId="12" xfId="0" applyFont="1" applyFill="1" applyBorder="1"/>
    <xf numFmtId="0" fontId="45" fillId="32" borderId="12" xfId="0" applyFont="1" applyFill="1" applyBorder="1"/>
    <xf numFmtId="0" fontId="45" fillId="0" borderId="12" xfId="0" applyFont="1" applyBorder="1"/>
    <xf numFmtId="0" fontId="8" fillId="7" borderId="3" xfId="0" applyFont="1" applyFill="1" applyBorder="1"/>
    <xf numFmtId="11" fontId="8" fillId="12" borderId="13" xfId="0" applyNumberFormat="1" applyFont="1" applyFill="1" applyBorder="1"/>
    <xf numFmtId="0" fontId="34" fillId="0" borderId="12" xfId="0" applyFont="1" applyBorder="1" applyAlignment="1">
      <alignment horizontal="center"/>
    </xf>
    <xf numFmtId="164" fontId="8" fillId="0" borderId="0" xfId="0" applyNumberFormat="1" applyFont="1"/>
    <xf numFmtId="0" fontId="48" fillId="0" borderId="0" xfId="0" applyFont="1"/>
    <xf numFmtId="0" fontId="45" fillId="0" borderId="14" xfId="0" applyFont="1" applyBorder="1" applyAlignment="1">
      <alignment horizontal="center"/>
    </xf>
    <xf numFmtId="49" fontId="41" fillId="0" borderId="0" xfId="0" applyNumberFormat="1" applyFont="1" applyAlignment="1">
      <alignment horizontal="right" vertical="center"/>
    </xf>
    <xf numFmtId="49" fontId="41" fillId="0" borderId="0" xfId="0" applyNumberFormat="1" applyFont="1"/>
    <xf numFmtId="167" fontId="8" fillId="0" borderId="0" xfId="0" applyNumberFormat="1" applyFont="1" applyAlignment="1">
      <alignment horizontal="center"/>
    </xf>
    <xf numFmtId="11" fontId="45" fillId="0" borderId="14" xfId="0" applyNumberFormat="1" applyFont="1" applyBorder="1" applyAlignment="1">
      <alignment horizontal="center"/>
    </xf>
    <xf numFmtId="11" fontId="45" fillId="0" borderId="12" xfId="0" applyNumberFormat="1" applyFont="1" applyBorder="1" applyAlignment="1">
      <alignment horizontal="center" vertical="center" wrapText="1"/>
    </xf>
    <xf numFmtId="0" fontId="45" fillId="0" borderId="12" xfId="0" applyFont="1" applyBorder="1" applyAlignment="1">
      <alignment horizontal="left" vertical="top" wrapText="1"/>
    </xf>
    <xf numFmtId="11" fontId="45" fillId="0" borderId="12" xfId="0" applyNumberFormat="1" applyFont="1" applyBorder="1" applyAlignment="1">
      <alignment horizontal="center" vertical="top" wrapText="1"/>
    </xf>
    <xf numFmtId="0" fontId="45" fillId="8" borderId="12" xfId="0" applyFont="1" applyFill="1" applyBorder="1" applyAlignment="1">
      <alignment horizontal="right"/>
    </xf>
    <xf numFmtId="0" fontId="45" fillId="0" borderId="0" xfId="0" applyFont="1" applyAlignment="1">
      <alignment horizontal="left" vertical="top" wrapText="1"/>
    </xf>
    <xf numFmtId="11" fontId="45" fillId="0" borderId="0" xfId="0" applyNumberFormat="1" applyFont="1" applyAlignment="1">
      <alignment horizontal="center" vertical="top" wrapText="1"/>
    </xf>
    <xf numFmtId="11" fontId="45" fillId="0" borderId="0" xfId="0" applyNumberFormat="1" applyFont="1" applyAlignment="1">
      <alignment horizontal="center"/>
    </xf>
    <xf numFmtId="0" fontId="34" fillId="5" borderId="19" xfId="0" applyFont="1" applyFill="1" applyBorder="1"/>
    <xf numFmtId="0" fontId="34" fillId="5" borderId="19" xfId="0" applyFont="1" applyFill="1" applyBorder="1" applyAlignment="1">
      <alignment horizontal="center"/>
    </xf>
    <xf numFmtId="0" fontId="20" fillId="9" borderId="2" xfId="0" applyFont="1" applyFill="1" applyBorder="1" applyAlignment="1">
      <alignment horizontal="left" vertical="center"/>
    </xf>
    <xf numFmtId="166" fontId="34" fillId="0" borderId="0" xfId="0" applyNumberFormat="1" applyFont="1"/>
    <xf numFmtId="0" fontId="34" fillId="0" borderId="21" xfId="0" applyFont="1" applyBorder="1"/>
    <xf numFmtId="0" fontId="45" fillId="0" borderId="15" xfId="0" applyFont="1" applyBorder="1" applyAlignment="1">
      <alignment horizontal="center"/>
    </xf>
    <xf numFmtId="0" fontId="8" fillId="5" borderId="19" xfId="0" applyFont="1" applyFill="1" applyBorder="1"/>
    <xf numFmtId="0" fontId="20" fillId="2" borderId="2" xfId="0" applyFont="1" applyFill="1" applyBorder="1" applyAlignment="1">
      <alignment horizontal="left" vertical="center"/>
    </xf>
    <xf numFmtId="0" fontId="8" fillId="2" borderId="0" xfId="0" applyFont="1" applyFill="1"/>
    <xf numFmtId="0" fontId="45" fillId="2" borderId="12" xfId="0" applyFont="1" applyFill="1" applyBorder="1"/>
    <xf numFmtId="0" fontId="45" fillId="33" borderId="12" xfId="0" applyFont="1" applyFill="1" applyBorder="1"/>
    <xf numFmtId="0" fontId="45" fillId="2" borderId="12" xfId="0" applyFont="1" applyFill="1" applyBorder="1" applyAlignment="1">
      <alignment horizontal="center" vertical="center" wrapText="1"/>
    </xf>
    <xf numFmtId="0" fontId="45" fillId="0" borderId="31" xfId="0" applyFont="1" applyBorder="1" applyAlignment="1">
      <alignment horizontal="center" vertical="center" wrapText="1"/>
    </xf>
    <xf numFmtId="2" fontId="34" fillId="0" borderId="0" xfId="0" applyNumberFormat="1" applyFont="1"/>
    <xf numFmtId="0" fontId="27" fillId="34" borderId="2" xfId="0" applyFont="1" applyFill="1" applyBorder="1" applyAlignment="1">
      <alignment horizontal="left" vertical="center"/>
    </xf>
    <xf numFmtId="11" fontId="34" fillId="0" borderId="32" xfId="0" applyNumberFormat="1" applyFont="1" applyBorder="1" applyAlignment="1">
      <alignment horizontal="right"/>
    </xf>
    <xf numFmtId="11" fontId="34" fillId="0" borderId="33" xfId="0" applyNumberFormat="1" applyFont="1" applyBorder="1" applyAlignment="1">
      <alignment horizontal="right" vertical="top" wrapText="1"/>
    </xf>
    <xf numFmtId="11" fontId="34" fillId="0" borderId="10" xfId="0" applyNumberFormat="1" applyFont="1" applyBorder="1" applyAlignment="1">
      <alignment horizontal="right"/>
    </xf>
    <xf numFmtId="0" fontId="34" fillId="8" borderId="12" xfId="0" applyFont="1" applyFill="1" applyBorder="1" applyAlignment="1">
      <alignment horizontal="right"/>
    </xf>
    <xf numFmtId="11" fontId="34" fillId="0" borderId="14" xfId="0" applyNumberFormat="1" applyFont="1" applyBorder="1" applyAlignment="1">
      <alignment horizontal="right"/>
    </xf>
    <xf numFmtId="0" fontId="8" fillId="7" borderId="13" xfId="0" applyFont="1" applyFill="1" applyBorder="1"/>
    <xf numFmtId="0" fontId="49" fillId="0" borderId="3" xfId="0" applyFont="1" applyBorder="1"/>
    <xf numFmtId="11" fontId="45" fillId="0" borderId="13" xfId="0" applyNumberFormat="1" applyFont="1" applyBorder="1" applyAlignment="1">
      <alignment horizontal="center"/>
    </xf>
    <xf numFmtId="11" fontId="45" fillId="0" borderId="19" xfId="0" applyNumberFormat="1"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6" fillId="0" borderId="2" xfId="0" applyFont="1" applyBorder="1" applyAlignment="1"/>
    <xf numFmtId="0" fontId="16" fillId="0" borderId="0" xfId="0" applyFont="1" applyAlignment="1"/>
  </cellXfs>
  <cellStyles count="30">
    <cellStyle name="Comma" xfId="29" builtinId="3"/>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1">
    <dxf>
      <font>
        <b/>
        <i val="0"/>
      </font>
    </dxf>
  </dxfs>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styles" Target="styles.xml"/><Relationship Id="rId86"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Long_term/SOFC-bat/isolating%20DCDC%20convert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motor%20traction%20drive%20inverter%20DCAC.xlsx" TargetMode="External"/><Relationship Id="rId1" Type="http://schemas.openxmlformats.org/officeDocument/2006/relationships/externalLinkPath" Target="https://dtudk.sharepoint.com/sites/GENESIS/Delte%20dokumenter/General/3_Collaboration/7_BW2/Modeling/LCI/Long_term/SOFC-bat/motor%20traction%20drive%20inverter%20DC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MOTOR DRIVE INVERTER"/>
      <sheetName val="Power electronics"/>
    </sheetNames>
    <sheetDataSet>
      <sheetData sheetId="0"/>
      <sheetData sheetId="1"/>
      <sheetData sheetId="2">
        <row r="46">
          <cell r="B46">
            <v>0.25</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BD1E9-9FD3-43C2-B316-47CA591A4E29}">
  <dimension ref="A1:N35"/>
  <sheetViews>
    <sheetView workbookViewId="0">
      <selection activeCell="N6" sqref="N6"/>
    </sheetView>
  </sheetViews>
  <sheetFormatPr defaultRowHeight="14.45"/>
  <cols>
    <col min="1" max="1" width="38.5703125" bestFit="1" customWidth="1"/>
    <col min="2" max="2" width="42.7109375" bestFit="1" customWidth="1"/>
    <col min="3" max="3" width="12.85546875" bestFit="1" customWidth="1"/>
    <col min="4" max="4" width="32.7109375" bestFit="1" customWidth="1"/>
    <col min="5" max="5" width="11" bestFit="1" customWidth="1"/>
    <col min="6" max="6" width="9" bestFit="1" customWidth="1"/>
    <col min="7" max="7" width="13.42578125" bestFit="1" customWidth="1"/>
    <col min="8" max="8" width="17.7109375" bestFit="1" customWidth="1"/>
    <col min="9" max="10" width="12" bestFit="1" customWidth="1"/>
    <col min="11" max="13" width="10.85546875" bestFit="1" customWidth="1"/>
  </cols>
  <sheetData>
    <row r="1" spans="1:14">
      <c r="A1" t="s">
        <v>0</v>
      </c>
      <c r="B1">
        <v>13</v>
      </c>
      <c r="N1" s="22" t="str">
        <f ca="1">UPPER(CONCATENATE(DEC2HEX(RANDBETWEEN(0,POWER(16,8)),8),DEC2HEX(RANDBETWEEN(0,POWER(16,4)),4),"4",DEC2HEX(RANDBETWEEN(0,POWER(16,3)),3),DEC2HEX(RANDBETWEEN(8,11)),DEC2HEX(RANDBETWEEN(0,POWER(16,3)),3),DEC2HEX(RANDBETWEEN(0,POWER(16,8)),8),DEC2HEX(RANDBETWEEN(0,POWER(16,4)),4)))</f>
        <v>4DB9D445C7714B3D81D5A01FBAF54259</v>
      </c>
    </row>
    <row r="2" spans="1:14" ht="15.6">
      <c r="A2" s="16" t="s">
        <v>1</v>
      </c>
      <c r="B2" s="16" t="s">
        <v>2</v>
      </c>
    </row>
    <row r="3" spans="1:14">
      <c r="A3" t="s">
        <v>3</v>
      </c>
      <c r="B3" t="s">
        <v>4</v>
      </c>
    </row>
    <row r="4" spans="1:14" ht="15.6">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57.95">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6">
      <c r="A12" s="5" t="s">
        <v>19</v>
      </c>
      <c r="B12" s="13"/>
      <c r="C12" s="13"/>
      <c r="D12" s="13"/>
      <c r="E12" s="13"/>
      <c r="F12" s="13"/>
      <c r="G12" s="13"/>
      <c r="H12" s="13"/>
      <c r="I12" s="13"/>
      <c r="J12" s="13"/>
      <c r="K12" s="13"/>
      <c r="L12" s="13"/>
      <c r="M12" s="13"/>
    </row>
    <row r="13" spans="1:14" ht="15.6">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tr">
        <f>B4</f>
        <v>aircraft usage, design mission, SOFC-bat</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162.22999999999999</v>
      </c>
      <c r="C17" t="s">
        <v>37</v>
      </c>
      <c r="D17" t="s">
        <v>2</v>
      </c>
      <c r="E17" t="s">
        <v>29</v>
      </c>
      <c r="F17" t="s">
        <v>14</v>
      </c>
      <c r="G17" t="s">
        <v>33</v>
      </c>
      <c r="H17">
        <v>2</v>
      </c>
      <c r="I17">
        <f>LN(B17)</f>
        <v>5.0890150814223079</v>
      </c>
      <c r="J17">
        <v>5.0990195135927806E-2</v>
      </c>
      <c r="K17" t="s">
        <v>31</v>
      </c>
      <c r="L17" t="s">
        <v>31</v>
      </c>
      <c r="M17" t="s">
        <v>31</v>
      </c>
    </row>
    <row r="18" spans="1:14">
      <c r="A18" t="s">
        <v>38</v>
      </c>
      <c r="B18">
        <v>1803.9702199999999</v>
      </c>
      <c r="C18" t="s">
        <v>39</v>
      </c>
      <c r="D18" t="s">
        <v>40</v>
      </c>
      <c r="E18" t="s">
        <v>29</v>
      </c>
      <c r="F18" t="s">
        <v>14</v>
      </c>
      <c r="G18" t="s">
        <v>33</v>
      </c>
      <c r="H18">
        <v>2</v>
      </c>
      <c r="I18">
        <v>8.4693444839373466</v>
      </c>
      <c r="J18">
        <v>5.0990195135927806E-2</v>
      </c>
      <c r="K18" t="s">
        <v>31</v>
      </c>
      <c r="L18" t="s">
        <v>31</v>
      </c>
      <c r="M18" t="s">
        <v>31</v>
      </c>
    </row>
    <row r="19" spans="1:14">
      <c r="A19" t="s">
        <v>41</v>
      </c>
      <c r="B19">
        <f>N19/1000</f>
        <v>1.450051</v>
      </c>
      <c r="C19" t="s">
        <v>42</v>
      </c>
      <c r="D19" t="s">
        <v>43</v>
      </c>
      <c r="E19" t="s">
        <v>44</v>
      </c>
      <c r="F19" t="s">
        <v>29</v>
      </c>
      <c r="G19" t="s">
        <v>45</v>
      </c>
      <c r="H19">
        <v>2</v>
      </c>
      <c r="I19">
        <f t="shared" ref="I19" si="0">LN(B19)</f>
        <v>0.37159872822774126</v>
      </c>
      <c r="J19">
        <v>5.0990195135927806E-2</v>
      </c>
      <c r="K19" t="s">
        <v>31</v>
      </c>
      <c r="L19" t="s">
        <v>31</v>
      </c>
      <c r="M19" t="s">
        <v>31</v>
      </c>
      <c r="N19">
        <v>1450.0509999999999</v>
      </c>
    </row>
    <row r="20" spans="1:14" ht="15.6">
      <c r="A20" s="1" t="s">
        <v>5</v>
      </c>
      <c r="B20" s="2" t="s">
        <v>46</v>
      </c>
      <c r="C20" s="3"/>
      <c r="D20" s="11"/>
      <c r="E20" s="11"/>
      <c r="F20" s="11"/>
      <c r="G20" s="11"/>
      <c r="H20" s="11"/>
      <c r="I20" s="11"/>
      <c r="J20" s="11"/>
      <c r="K20" s="11"/>
      <c r="L20" s="11"/>
      <c r="M20" s="11"/>
    </row>
    <row r="21" spans="1:14">
      <c r="A21" s="12" t="s">
        <v>7</v>
      </c>
      <c r="B21" s="13" t="s">
        <v>8</v>
      </c>
      <c r="C21" s="4"/>
      <c r="D21" s="13"/>
      <c r="E21" s="13"/>
      <c r="F21" s="13"/>
      <c r="G21" s="13"/>
      <c r="H21" s="13"/>
      <c r="I21" s="13"/>
      <c r="J21" s="13"/>
      <c r="K21" s="13"/>
      <c r="L21" s="13"/>
      <c r="M21" s="13"/>
    </row>
    <row r="22" spans="1:14">
      <c r="A22" s="12" t="s">
        <v>9</v>
      </c>
      <c r="B22" s="13" t="s">
        <v>47</v>
      </c>
      <c r="C22" s="4"/>
      <c r="D22" s="13"/>
      <c r="E22" s="13"/>
      <c r="F22" s="13"/>
      <c r="G22" s="13"/>
      <c r="H22" s="13"/>
      <c r="I22" s="13"/>
      <c r="J22" s="13"/>
      <c r="K22" s="13"/>
      <c r="L22" s="13"/>
      <c r="M22" s="13"/>
    </row>
    <row r="23" spans="1:14" ht="57.95">
      <c r="A23" s="12" t="s">
        <v>11</v>
      </c>
      <c r="B23" s="14" t="s">
        <v>48</v>
      </c>
      <c r="C23" s="13"/>
      <c r="D23" s="13"/>
      <c r="E23" s="13"/>
      <c r="F23" s="13"/>
      <c r="G23" s="13"/>
      <c r="H23" s="13"/>
      <c r="I23" s="13"/>
      <c r="J23" s="13"/>
      <c r="K23" s="13"/>
      <c r="L23" s="13"/>
      <c r="M23" s="13"/>
    </row>
    <row r="24" spans="1:14">
      <c r="A24" s="12" t="s">
        <v>13</v>
      </c>
      <c r="B24" s="13" t="s">
        <v>14</v>
      </c>
      <c r="C24" s="13"/>
      <c r="D24" s="13"/>
      <c r="E24" s="13"/>
      <c r="F24" s="13"/>
      <c r="G24" s="13"/>
      <c r="H24" s="13"/>
      <c r="I24" s="13"/>
      <c r="J24" s="13"/>
      <c r="K24" s="13"/>
      <c r="L24" s="13"/>
      <c r="M24" s="13"/>
    </row>
    <row r="25" spans="1:14">
      <c r="A25" s="12" t="s">
        <v>15</v>
      </c>
      <c r="B25" s="13">
        <v>1</v>
      </c>
      <c r="C25" s="13"/>
      <c r="D25" s="13"/>
      <c r="E25" s="13"/>
      <c r="F25" s="13"/>
      <c r="G25" s="13"/>
      <c r="H25" s="13"/>
      <c r="I25" s="13"/>
      <c r="J25" s="13"/>
      <c r="K25" s="13"/>
      <c r="L25" s="13"/>
      <c r="M25" s="13"/>
    </row>
    <row r="26" spans="1:14">
      <c r="A26" s="12" t="s">
        <v>16</v>
      </c>
      <c r="B26" s="13" t="s">
        <v>17</v>
      </c>
      <c r="C26" s="13"/>
      <c r="D26" s="13"/>
      <c r="E26" s="13"/>
      <c r="F26" s="13"/>
      <c r="G26" s="13"/>
      <c r="H26" s="13"/>
      <c r="I26" s="13"/>
      <c r="J26" s="13"/>
      <c r="K26" s="13"/>
      <c r="L26" s="13"/>
      <c r="M26" s="13"/>
    </row>
    <row r="27" spans="1:14">
      <c r="A27" s="12" t="s">
        <v>18</v>
      </c>
      <c r="B27" s="13" t="s">
        <v>18</v>
      </c>
      <c r="C27" s="13"/>
      <c r="D27" s="13"/>
      <c r="E27" s="13"/>
      <c r="F27" s="13"/>
      <c r="G27" s="13"/>
      <c r="H27" s="13"/>
      <c r="I27" s="13"/>
      <c r="J27" s="13"/>
      <c r="K27" s="13"/>
      <c r="L27" s="13"/>
      <c r="M27" s="13"/>
    </row>
    <row r="28" spans="1:14" ht="15.6">
      <c r="A28" s="5" t="s">
        <v>19</v>
      </c>
      <c r="B28" s="13"/>
      <c r="C28" s="13"/>
      <c r="D28" s="13"/>
      <c r="E28" s="13"/>
      <c r="F28" s="13"/>
      <c r="G28" s="13"/>
      <c r="H28" s="13"/>
      <c r="I28" s="13"/>
      <c r="J28" s="13"/>
      <c r="K28" s="13"/>
      <c r="L28" s="13"/>
      <c r="M28" s="13"/>
    </row>
    <row r="29" spans="1:14" ht="15.6">
      <c r="A29" s="5" t="s">
        <v>20</v>
      </c>
      <c r="B29" s="6" t="s">
        <v>21</v>
      </c>
      <c r="C29" s="6" t="s">
        <v>18</v>
      </c>
      <c r="D29" s="6" t="s">
        <v>22</v>
      </c>
      <c r="E29" s="6" t="s">
        <v>7</v>
      </c>
      <c r="F29" s="6" t="s">
        <v>13</v>
      </c>
      <c r="G29" s="6" t="s">
        <v>16</v>
      </c>
      <c r="H29" s="6" t="s">
        <v>23</v>
      </c>
      <c r="I29" s="6" t="s">
        <v>24</v>
      </c>
      <c r="J29" s="6" t="s">
        <v>25</v>
      </c>
      <c r="K29" s="6" t="s">
        <v>26</v>
      </c>
      <c r="L29" s="6" t="s">
        <v>27</v>
      </c>
      <c r="M29" s="6" t="s">
        <v>28</v>
      </c>
    </row>
    <row r="30" spans="1:14">
      <c r="A30" t="str">
        <f>B20</f>
        <v>aircraft usage, typical mission, SOFC-bat</v>
      </c>
      <c r="B30">
        <v>1</v>
      </c>
      <c r="C30" t="s">
        <v>18</v>
      </c>
      <c r="D30" t="s">
        <v>2</v>
      </c>
      <c r="E30" t="s">
        <v>29</v>
      </c>
      <c r="F30" t="s">
        <v>14</v>
      </c>
      <c r="G30" t="s">
        <v>30</v>
      </c>
      <c r="H30">
        <v>1</v>
      </c>
      <c r="I30">
        <v>1</v>
      </c>
      <c r="J30" t="s">
        <v>31</v>
      </c>
      <c r="K30" t="s">
        <v>31</v>
      </c>
      <c r="L30" t="s">
        <v>31</v>
      </c>
      <c r="M30" t="s">
        <v>31</v>
      </c>
    </row>
    <row r="31" spans="1:14">
      <c r="A31" t="s">
        <v>32</v>
      </c>
      <c r="B31">
        <f>1/(20*365*4)</f>
        <v>3.4246575342465751E-5</v>
      </c>
      <c r="C31" t="s">
        <v>18</v>
      </c>
      <c r="D31" t="s">
        <v>2</v>
      </c>
      <c r="E31" t="s">
        <v>29</v>
      </c>
      <c r="F31" t="s">
        <v>14</v>
      </c>
      <c r="G31" t="s">
        <v>33</v>
      </c>
      <c r="H31">
        <v>1</v>
      </c>
      <c r="I31">
        <v>1</v>
      </c>
      <c r="J31" t="s">
        <v>31</v>
      </c>
      <c r="K31" t="s">
        <v>31</v>
      </c>
      <c r="L31" t="s">
        <v>31</v>
      </c>
      <c r="M31" t="s">
        <v>31</v>
      </c>
    </row>
    <row r="32" spans="1:14">
      <c r="A32" t="s">
        <v>34</v>
      </c>
      <c r="B32">
        <f>1/(18835+18859)</f>
        <v>2.6529421128030986E-5</v>
      </c>
      <c r="C32" t="s">
        <v>18</v>
      </c>
      <c r="D32" t="s">
        <v>2</v>
      </c>
      <c r="E32" t="s">
        <v>29</v>
      </c>
      <c r="F32" t="s">
        <v>35</v>
      </c>
      <c r="G32" t="s">
        <v>33</v>
      </c>
      <c r="H32">
        <v>1</v>
      </c>
      <c r="I32">
        <v>1</v>
      </c>
      <c r="J32" t="s">
        <v>31</v>
      </c>
      <c r="K32" t="s">
        <v>31</v>
      </c>
      <c r="L32" t="s">
        <v>31</v>
      </c>
      <c r="M32" t="s">
        <v>31</v>
      </c>
    </row>
    <row r="33" spans="1:14">
      <c r="A33" t="s">
        <v>36</v>
      </c>
      <c r="B33" s="23">
        <v>46.13</v>
      </c>
      <c r="C33" t="s">
        <v>37</v>
      </c>
      <c r="D33" t="s">
        <v>2</v>
      </c>
      <c r="E33" t="s">
        <v>29</v>
      </c>
      <c r="F33" t="s">
        <v>14</v>
      </c>
      <c r="G33" t="s">
        <v>33</v>
      </c>
      <c r="H33">
        <v>2</v>
      </c>
      <c r="I33">
        <f>LN(B33)</f>
        <v>3.8314634975697293</v>
      </c>
      <c r="J33">
        <v>5.0990195135927806E-2</v>
      </c>
      <c r="K33" t="s">
        <v>31</v>
      </c>
      <c r="L33" t="s">
        <v>31</v>
      </c>
      <c r="M33" t="s">
        <v>31</v>
      </c>
    </row>
    <row r="34" spans="1:14">
      <c r="A34" t="s">
        <v>38</v>
      </c>
      <c r="B34" s="23">
        <v>901.00597919999996</v>
      </c>
      <c r="C34" t="s">
        <v>39</v>
      </c>
      <c r="D34" t="s">
        <v>40</v>
      </c>
      <c r="E34" t="s">
        <v>29</v>
      </c>
      <c r="F34" t="s">
        <v>14</v>
      </c>
      <c r="G34" t="s">
        <v>33</v>
      </c>
      <c r="H34">
        <v>2</v>
      </c>
      <c r="I34">
        <f>LN(B34)</f>
        <v>6.8035118937683388</v>
      </c>
      <c r="J34">
        <v>5.0990195135927806E-2</v>
      </c>
      <c r="K34" t="s">
        <v>31</v>
      </c>
      <c r="L34" t="s">
        <v>31</v>
      </c>
      <c r="M34" t="s">
        <v>31</v>
      </c>
    </row>
    <row r="35" spans="1:14">
      <c r="A35" t="s">
        <v>41</v>
      </c>
      <c r="B35">
        <f>N35/1000</f>
        <v>0.41233999999999998</v>
      </c>
      <c r="C35" t="s">
        <v>42</v>
      </c>
      <c r="D35" t="s">
        <v>43</v>
      </c>
      <c r="E35" t="s">
        <v>44</v>
      </c>
      <c r="F35" t="s">
        <v>29</v>
      </c>
      <c r="G35" t="s">
        <v>45</v>
      </c>
      <c r="H35">
        <v>2</v>
      </c>
      <c r="I35">
        <f t="shared" ref="I35" si="1">LN(B35)</f>
        <v>-0.88590702723971504</v>
      </c>
      <c r="J35">
        <v>5.0990195135927806E-2</v>
      </c>
      <c r="K35" t="s">
        <v>31</v>
      </c>
      <c r="L35" t="s">
        <v>31</v>
      </c>
      <c r="M35" t="s">
        <v>31</v>
      </c>
      <c r="N35">
        <v>412.34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1A8A-A627-4431-8BEB-1A99C9D53DBD}">
  <sheetPr>
    <tabColor theme="9"/>
  </sheetPr>
  <dimension ref="A1:V128"/>
  <sheetViews>
    <sheetView zoomScale="85" zoomScaleNormal="85" workbookViewId="0">
      <selection activeCell="B5" sqref="B5"/>
    </sheetView>
  </sheetViews>
  <sheetFormatPr defaultRowHeight="14.45"/>
  <cols>
    <col min="1" max="1" width="55.28515625" bestFit="1" customWidth="1"/>
    <col min="5" max="5" width="32.7109375" bestFit="1" customWidth="1"/>
    <col min="6" max="6" width="35.7109375" bestFit="1" customWidth="1"/>
  </cols>
  <sheetData>
    <row r="1" spans="1:22">
      <c r="A1" t="s">
        <v>0</v>
      </c>
      <c r="B1">
        <v>14</v>
      </c>
    </row>
    <row r="2" spans="1:22" s="73" customFormat="1" ht="15.6">
      <c r="A2" s="178" t="s">
        <v>5</v>
      </c>
      <c r="B2" s="178" t="s">
        <v>260</v>
      </c>
      <c r="C2" s="178"/>
      <c r="D2" s="74"/>
      <c r="E2" s="150"/>
      <c r="F2" s="150"/>
      <c r="G2" s="150"/>
      <c r="H2" s="150"/>
      <c r="I2" s="150"/>
      <c r="J2" s="150"/>
      <c r="K2" s="150"/>
      <c r="L2" s="150"/>
      <c r="M2" s="150"/>
      <c r="N2" s="150"/>
      <c r="O2" s="150"/>
      <c r="P2" s="150"/>
    </row>
    <row r="3" spans="1:22">
      <c r="A3" s="58" t="s">
        <v>7</v>
      </c>
      <c r="B3" s="58" t="s">
        <v>261</v>
      </c>
      <c r="C3" s="58"/>
      <c r="D3" s="58"/>
      <c r="E3" s="58"/>
      <c r="F3" s="58"/>
      <c r="G3" s="58"/>
      <c r="H3" s="58"/>
      <c r="I3" s="58"/>
      <c r="J3" s="58"/>
      <c r="K3" s="58"/>
      <c r="L3" s="58"/>
      <c r="M3" s="58"/>
      <c r="N3" s="58"/>
      <c r="O3" s="58"/>
      <c r="P3" s="58"/>
    </row>
    <row r="4" spans="1:22">
      <c r="A4" s="58" t="s">
        <v>9</v>
      </c>
      <c r="B4" s="201" t="s">
        <v>262</v>
      </c>
      <c r="C4" s="58"/>
      <c r="D4" s="58"/>
      <c r="E4" s="58"/>
      <c r="F4" s="58"/>
      <c r="G4" s="58"/>
      <c r="H4" s="58"/>
      <c r="I4" s="58"/>
      <c r="J4" s="58"/>
      <c r="K4" s="58"/>
      <c r="L4" s="58"/>
      <c r="M4" s="58"/>
      <c r="N4" s="58"/>
      <c r="O4" s="58"/>
      <c r="P4" s="58"/>
    </row>
    <row r="5" spans="1:22">
      <c r="A5" s="58" t="s">
        <v>11</v>
      </c>
      <c r="B5" s="58" t="s">
        <v>263</v>
      </c>
      <c r="C5" s="58"/>
      <c r="D5" s="58"/>
      <c r="E5" s="58"/>
      <c r="F5" s="58"/>
      <c r="G5" s="58"/>
      <c r="H5" s="58"/>
      <c r="I5" s="58"/>
      <c r="J5" s="58"/>
      <c r="K5" s="58"/>
      <c r="L5" s="58"/>
      <c r="M5" s="58"/>
      <c r="N5" s="58"/>
      <c r="O5" s="58"/>
      <c r="P5" s="58"/>
    </row>
    <row r="6" spans="1:22">
      <c r="A6" s="58" t="s">
        <v>13</v>
      </c>
      <c r="B6" s="58" t="s">
        <v>59</v>
      </c>
      <c r="C6" s="58"/>
      <c r="D6" s="58"/>
      <c r="E6" s="58"/>
      <c r="F6" s="58"/>
      <c r="G6" s="58"/>
      <c r="H6" s="58"/>
      <c r="I6" s="58"/>
      <c r="J6" s="58"/>
      <c r="K6" s="58"/>
      <c r="L6" s="58"/>
      <c r="M6" s="58"/>
      <c r="N6" s="58"/>
      <c r="O6" s="58"/>
      <c r="P6" s="58"/>
    </row>
    <row r="7" spans="1:22">
      <c r="A7" s="58" t="s">
        <v>15</v>
      </c>
      <c r="B7" s="58">
        <v>1</v>
      </c>
      <c r="C7" s="58"/>
      <c r="D7" s="58"/>
      <c r="E7" s="58"/>
      <c r="F7" s="58"/>
      <c r="G7" s="58"/>
      <c r="H7" s="58"/>
      <c r="I7" s="58"/>
      <c r="J7" s="58"/>
      <c r="K7" s="58"/>
      <c r="L7" s="58"/>
      <c r="M7" s="58"/>
      <c r="N7" s="58"/>
      <c r="O7" s="58"/>
      <c r="P7" s="58"/>
    </row>
    <row r="8" spans="1:22">
      <c r="A8" s="58" t="s">
        <v>16</v>
      </c>
      <c r="B8" s="58" t="s">
        <v>17</v>
      </c>
      <c r="C8" s="58"/>
      <c r="D8" s="58"/>
      <c r="E8" s="58"/>
      <c r="F8" s="58"/>
      <c r="G8" s="58"/>
      <c r="H8" s="58"/>
      <c r="I8" s="58"/>
      <c r="J8" s="58"/>
      <c r="K8" s="58"/>
      <c r="L8" s="58"/>
      <c r="M8" s="58"/>
      <c r="N8" s="58"/>
      <c r="O8" s="58"/>
      <c r="P8" s="58"/>
    </row>
    <row r="9" spans="1:22" ht="15.6">
      <c r="A9" s="58" t="s">
        <v>18</v>
      </c>
      <c r="B9" s="180" t="s">
        <v>37</v>
      </c>
      <c r="C9" s="58"/>
      <c r="D9" s="58"/>
      <c r="E9" s="58" t="s">
        <v>185</v>
      </c>
      <c r="F9" s="58"/>
      <c r="G9" s="58"/>
      <c r="H9" s="58"/>
      <c r="I9" s="58"/>
      <c r="J9" s="58"/>
      <c r="K9" s="58"/>
      <c r="L9" s="58"/>
      <c r="M9" s="58"/>
      <c r="N9" s="58"/>
      <c r="O9" s="58"/>
      <c r="P9" s="58"/>
    </row>
    <row r="10" spans="1:22" ht="15.6">
      <c r="A10" s="181" t="s">
        <v>19</v>
      </c>
      <c r="B10" s="58"/>
      <c r="C10" s="58"/>
      <c r="D10" s="58"/>
      <c r="E10" s="58"/>
      <c r="F10" s="58"/>
      <c r="G10" s="58"/>
      <c r="H10" s="58"/>
      <c r="I10" s="58"/>
      <c r="J10" s="58"/>
      <c r="K10" s="58"/>
      <c r="L10" s="58"/>
      <c r="M10" s="58"/>
      <c r="N10" s="58"/>
      <c r="O10" s="58"/>
      <c r="P10" s="58"/>
    </row>
    <row r="11" spans="1:22"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22" ht="15.6">
      <c r="A12" s="180" t="str">
        <f>B2</f>
        <v>treatment of titanium,powerplant, SOFC-bat, Long-Term</v>
      </c>
      <c r="B12" s="180">
        <v>1</v>
      </c>
      <c r="C12" s="180"/>
      <c r="D12" s="180" t="s">
        <v>37</v>
      </c>
      <c r="E12" s="58" t="s">
        <v>2</v>
      </c>
      <c r="F12" s="58" t="s">
        <v>261</v>
      </c>
      <c r="G12" s="180" t="s">
        <v>59</v>
      </c>
      <c r="H12" s="58" t="s">
        <v>30</v>
      </c>
      <c r="I12" s="58">
        <v>0</v>
      </c>
      <c r="J12" s="180" t="s">
        <v>31</v>
      </c>
      <c r="K12" s="180" t="s">
        <v>31</v>
      </c>
      <c r="L12" s="180" t="s">
        <v>31</v>
      </c>
      <c r="M12" s="180" t="s">
        <v>31</v>
      </c>
      <c r="N12" s="180" t="s">
        <v>31</v>
      </c>
      <c r="O12" s="58"/>
      <c r="P12" s="58" t="s">
        <v>264</v>
      </c>
    </row>
    <row r="13" spans="1:22">
      <c r="A13" t="s">
        <v>265</v>
      </c>
      <c r="B13">
        <f>-0.6651</f>
        <v>-0.66510000000000002</v>
      </c>
      <c r="D13" t="s">
        <v>39</v>
      </c>
      <c r="E13" t="s">
        <v>40</v>
      </c>
      <c r="F13" s="58" t="s">
        <v>261</v>
      </c>
      <c r="G13" t="s">
        <v>59</v>
      </c>
      <c r="H13" t="s">
        <v>33</v>
      </c>
      <c r="I13">
        <v>2</v>
      </c>
      <c r="J13">
        <v>9.398101209</v>
      </c>
      <c r="K13">
        <v>0.30331501799999999</v>
      </c>
      <c r="L13" t="s">
        <v>31</v>
      </c>
      <c r="M13" t="s">
        <v>31</v>
      </c>
      <c r="N13" t="s">
        <v>31</v>
      </c>
      <c r="O13" t="s">
        <v>266</v>
      </c>
      <c r="P13" t="s">
        <v>267</v>
      </c>
      <c r="Q13" t="s">
        <v>268</v>
      </c>
      <c r="R13" s="22" t="s">
        <v>269</v>
      </c>
      <c r="S13" s="22">
        <f>114*0.6*0.5</f>
        <v>34.199999999999996</v>
      </c>
      <c r="T13" s="22" t="s">
        <v>270</v>
      </c>
      <c r="U13" s="22">
        <f>S13*0.277778</f>
        <v>9.5000076</v>
      </c>
      <c r="V13" s="22" t="s">
        <v>271</v>
      </c>
    </row>
    <row r="14" spans="1:22">
      <c r="A14" t="s">
        <v>69</v>
      </c>
      <c r="B14">
        <f>U14</f>
        <v>0.59530026109660583</v>
      </c>
      <c r="D14" t="s">
        <v>42</v>
      </c>
      <c r="E14" t="s">
        <v>40</v>
      </c>
      <c r="F14" s="58" t="s">
        <v>261</v>
      </c>
      <c r="G14" t="s">
        <v>272</v>
      </c>
      <c r="H14" t="s">
        <v>33</v>
      </c>
      <c r="I14">
        <v>2</v>
      </c>
      <c r="J14">
        <v>6.6281192500000001</v>
      </c>
      <c r="K14">
        <v>0.30331501799999999</v>
      </c>
      <c r="L14" t="s">
        <v>31</v>
      </c>
      <c r="M14" t="s">
        <v>31</v>
      </c>
      <c r="N14" t="s">
        <v>31</v>
      </c>
      <c r="O14" t="s">
        <v>266</v>
      </c>
      <c r="P14" t="s">
        <v>267</v>
      </c>
      <c r="Q14" t="s">
        <v>268</v>
      </c>
      <c r="R14" s="22" t="s">
        <v>273</v>
      </c>
      <c r="S14" s="22">
        <f>114*0.4*0.5</f>
        <v>22.8</v>
      </c>
      <c r="T14" s="22" t="s">
        <v>270</v>
      </c>
      <c r="U14" s="22">
        <f>S14/38.3</f>
        <v>0.59530026109660583</v>
      </c>
      <c r="V14" s="22" t="s">
        <v>274</v>
      </c>
    </row>
    <row r="15" spans="1:22">
      <c r="A15" s="205" t="s">
        <v>88</v>
      </c>
      <c r="B15" s="206">
        <f>S15</f>
        <v>0.5</v>
      </c>
      <c r="C15" s="206"/>
      <c r="D15" s="22" t="s">
        <v>37</v>
      </c>
      <c r="E15" s="22" t="s">
        <v>40</v>
      </c>
      <c r="F15" s="58" t="s">
        <v>261</v>
      </c>
      <c r="G15" s="22" t="s">
        <v>59</v>
      </c>
      <c r="H15" s="22" t="s">
        <v>136</v>
      </c>
      <c r="I15" s="22">
        <v>2</v>
      </c>
      <c r="J15" s="22">
        <f t="shared" ref="J15" si="0">LN(B15)</f>
        <v>-0.69314718055994529</v>
      </c>
      <c r="K15" s="22">
        <v>0.30331501776206199</v>
      </c>
      <c r="L15" s="22" t="s">
        <v>31</v>
      </c>
      <c r="M15" s="22" t="s">
        <v>31</v>
      </c>
      <c r="N15" s="22" t="s">
        <v>31</v>
      </c>
      <c r="O15" s="22" t="s">
        <v>266</v>
      </c>
      <c r="P15" t="s">
        <v>267</v>
      </c>
      <c r="Q15" s="22" t="s">
        <v>268</v>
      </c>
      <c r="R15" s="22"/>
      <c r="S15" s="22">
        <v>0.5</v>
      </c>
      <c r="T15" s="22" t="s">
        <v>275</v>
      </c>
    </row>
    <row r="16" spans="1:22" ht="15.6">
      <c r="A16" t="s">
        <v>210</v>
      </c>
      <c r="B16" s="23">
        <v>-0.5</v>
      </c>
      <c r="D16" t="s">
        <v>37</v>
      </c>
      <c r="E16" s="84" t="s">
        <v>40</v>
      </c>
      <c r="F16" s="58" t="s">
        <v>261</v>
      </c>
      <c r="G16" t="s">
        <v>59</v>
      </c>
      <c r="H16" t="s">
        <v>33</v>
      </c>
      <c r="I16">
        <v>0</v>
      </c>
      <c r="J16" t="s">
        <v>31</v>
      </c>
      <c r="K16" t="s">
        <v>31</v>
      </c>
      <c r="L16" t="s">
        <v>31</v>
      </c>
      <c r="M16" t="s">
        <v>31</v>
      </c>
      <c r="N16" t="s">
        <v>31</v>
      </c>
      <c r="O16" s="17"/>
      <c r="P16" s="58" t="s">
        <v>276</v>
      </c>
    </row>
    <row r="17" spans="1:17" s="73" customFormat="1" ht="15.6">
      <c r="A17" s="178" t="s">
        <v>5</v>
      </c>
      <c r="B17" s="178" t="s">
        <v>277</v>
      </c>
      <c r="C17" s="178"/>
      <c r="D17" s="74"/>
      <c r="E17" s="150"/>
      <c r="F17" s="150"/>
      <c r="G17" s="150"/>
      <c r="H17" s="150"/>
      <c r="I17" s="150"/>
      <c r="J17" s="150"/>
      <c r="K17" s="150"/>
      <c r="L17" s="150"/>
      <c r="M17" s="150"/>
      <c r="N17" s="150"/>
      <c r="O17" s="150"/>
      <c r="P17" s="150"/>
    </row>
    <row r="18" spans="1:17">
      <c r="A18" s="58" t="s">
        <v>7</v>
      </c>
      <c r="B18" s="58" t="s">
        <v>261</v>
      </c>
      <c r="C18" s="58"/>
      <c r="D18" s="58"/>
      <c r="E18" s="58"/>
      <c r="F18" s="58"/>
      <c r="G18" s="58"/>
      <c r="H18" s="58"/>
      <c r="I18" s="58"/>
      <c r="J18" s="58"/>
      <c r="K18" s="58"/>
      <c r="L18" s="58"/>
      <c r="M18" s="58"/>
      <c r="N18" s="58"/>
      <c r="O18" s="58"/>
      <c r="P18" s="58"/>
    </row>
    <row r="19" spans="1:17">
      <c r="A19" s="58" t="s">
        <v>9</v>
      </c>
      <c r="B19" s="201" t="s">
        <v>278</v>
      </c>
      <c r="C19" s="58"/>
      <c r="D19" s="58"/>
      <c r="E19" s="58"/>
      <c r="F19" s="58"/>
      <c r="G19" s="58"/>
      <c r="H19" s="58"/>
      <c r="I19" s="58"/>
      <c r="J19" s="58"/>
      <c r="K19" s="58"/>
      <c r="L19" s="58"/>
      <c r="M19" s="58"/>
      <c r="N19" s="58"/>
      <c r="O19" s="58"/>
      <c r="P19" s="58"/>
    </row>
    <row r="20" spans="1:17">
      <c r="A20" s="58" t="s">
        <v>11</v>
      </c>
      <c r="B20" s="58" t="s">
        <v>263</v>
      </c>
      <c r="C20" s="58"/>
      <c r="D20" s="58"/>
      <c r="E20" s="58"/>
      <c r="F20" s="58"/>
      <c r="G20" s="58"/>
      <c r="H20" s="58"/>
      <c r="I20" s="58"/>
      <c r="J20" s="58"/>
      <c r="K20" s="58"/>
      <c r="L20" s="58"/>
      <c r="M20" s="58"/>
      <c r="N20" s="58"/>
      <c r="O20" s="58"/>
      <c r="P20" s="58"/>
    </row>
    <row r="21" spans="1:17">
      <c r="A21" s="58" t="s">
        <v>13</v>
      </c>
      <c r="B21" s="58" t="s">
        <v>59</v>
      </c>
      <c r="C21" s="58"/>
      <c r="D21" s="58"/>
      <c r="E21" s="58"/>
      <c r="F21" s="58"/>
      <c r="G21" s="58"/>
      <c r="H21" s="58"/>
      <c r="I21" s="58"/>
      <c r="J21" s="58"/>
      <c r="K21" s="58"/>
      <c r="L21" s="58"/>
      <c r="M21" s="58"/>
      <c r="N21" s="58"/>
      <c r="O21" s="58"/>
      <c r="P21" s="58"/>
    </row>
    <row r="22" spans="1:17">
      <c r="A22" s="58" t="s">
        <v>15</v>
      </c>
      <c r="B22" s="58">
        <v>1</v>
      </c>
      <c r="C22" s="58"/>
      <c r="D22" s="58"/>
      <c r="E22" s="58"/>
      <c r="F22" s="58"/>
      <c r="G22" s="58"/>
      <c r="H22" s="58"/>
      <c r="I22" s="58"/>
      <c r="J22" s="58"/>
      <c r="K22" s="58"/>
      <c r="L22" s="58"/>
      <c r="M22" s="58"/>
      <c r="N22" s="58"/>
      <c r="O22" s="58"/>
      <c r="P22" s="58"/>
    </row>
    <row r="23" spans="1:17">
      <c r="A23" s="58" t="s">
        <v>16</v>
      </c>
      <c r="B23" s="58" t="s">
        <v>17</v>
      </c>
      <c r="C23" s="58"/>
      <c r="D23" s="58"/>
      <c r="E23" s="58"/>
      <c r="F23" s="58"/>
      <c r="G23" s="58"/>
      <c r="H23" s="58"/>
      <c r="I23" s="58"/>
      <c r="J23" s="58"/>
      <c r="K23" s="58"/>
      <c r="L23" s="58"/>
      <c r="M23" s="58"/>
      <c r="N23" s="58"/>
      <c r="O23" s="58"/>
      <c r="P23" s="58"/>
    </row>
    <row r="24" spans="1:17" ht="15.6">
      <c r="A24" s="58" t="s">
        <v>18</v>
      </c>
      <c r="B24" s="180" t="s">
        <v>37</v>
      </c>
      <c r="C24" s="58"/>
      <c r="D24" s="58"/>
      <c r="E24" s="58" t="s">
        <v>185</v>
      </c>
      <c r="F24" s="58"/>
      <c r="G24" s="58"/>
      <c r="H24" s="58"/>
      <c r="I24" s="58"/>
      <c r="J24" s="58"/>
      <c r="K24" s="58"/>
      <c r="L24" s="58"/>
      <c r="M24" s="58"/>
      <c r="N24" s="58"/>
      <c r="O24" s="58"/>
      <c r="P24" s="58"/>
    </row>
    <row r="25" spans="1:17" ht="15.6">
      <c r="A25" s="181" t="s">
        <v>19</v>
      </c>
      <c r="B25" s="58"/>
      <c r="C25" s="58"/>
      <c r="D25" s="58"/>
      <c r="E25" s="58"/>
      <c r="F25" s="58"/>
      <c r="G25" s="58"/>
      <c r="H25" s="58"/>
      <c r="I25" s="58"/>
      <c r="J25" s="58"/>
      <c r="K25" s="58"/>
      <c r="L25" s="58"/>
      <c r="M25" s="58"/>
      <c r="N25" s="58"/>
      <c r="O25" s="58"/>
      <c r="P25" s="58"/>
    </row>
    <row r="26" spans="1:17"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7" ht="15.6">
      <c r="A27" s="180" t="str">
        <f>B17</f>
        <v>treatment of CFRP,powerplant, SOFC-bat, Long-Term</v>
      </c>
      <c r="B27" s="180">
        <v>1</v>
      </c>
      <c r="C27" s="180"/>
      <c r="D27" s="180" t="s">
        <v>37</v>
      </c>
      <c r="E27" s="58" t="s">
        <v>2</v>
      </c>
      <c r="F27" s="58" t="s">
        <v>261</v>
      </c>
      <c r="G27" s="180" t="s">
        <v>59</v>
      </c>
      <c r="H27" s="58" t="s">
        <v>30</v>
      </c>
      <c r="I27" s="58">
        <v>0</v>
      </c>
      <c r="J27" s="180" t="s">
        <v>31</v>
      </c>
      <c r="K27" s="180" t="s">
        <v>31</v>
      </c>
      <c r="L27" s="180" t="s">
        <v>31</v>
      </c>
      <c r="M27" s="180" t="s">
        <v>31</v>
      </c>
      <c r="N27" s="180" t="s">
        <v>31</v>
      </c>
      <c r="O27" s="58" t="s">
        <v>264</v>
      </c>
    </row>
    <row r="28" spans="1:17" ht="15.6">
      <c r="A28" s="84" t="s">
        <v>216</v>
      </c>
      <c r="B28" s="207">
        <v>-0.5</v>
      </c>
      <c r="D28" t="s">
        <v>37</v>
      </c>
      <c r="E28" s="188" t="s">
        <v>40</v>
      </c>
      <c r="F28" s="58" t="s">
        <v>261</v>
      </c>
      <c r="G28" t="s">
        <v>82</v>
      </c>
      <c r="H28" t="s">
        <v>33</v>
      </c>
      <c r="I28" s="58">
        <v>0</v>
      </c>
      <c r="J28" s="180" t="s">
        <v>31</v>
      </c>
      <c r="K28" s="180" t="s">
        <v>31</v>
      </c>
      <c r="L28" s="180" t="s">
        <v>31</v>
      </c>
      <c r="M28" s="180" t="s">
        <v>31</v>
      </c>
      <c r="N28" s="180" t="s">
        <v>31</v>
      </c>
      <c r="O28" s="58" t="s">
        <v>215</v>
      </c>
      <c r="P28" s="180" t="s">
        <v>217</v>
      </c>
      <c r="Q28" s="180" t="s">
        <v>279</v>
      </c>
    </row>
    <row r="29" spans="1:17" ht="15.6">
      <c r="A29" t="s">
        <v>38</v>
      </c>
      <c r="B29">
        <f>B30*0.277777777</f>
        <v>2.415277771015</v>
      </c>
      <c r="D29" t="s">
        <v>39</v>
      </c>
      <c r="E29" s="188" t="s">
        <v>40</v>
      </c>
      <c r="F29" s="58" t="s">
        <v>261</v>
      </c>
      <c r="G29" t="s">
        <v>59</v>
      </c>
      <c r="H29" s="58" t="s">
        <v>136</v>
      </c>
      <c r="I29" s="58">
        <v>0</v>
      </c>
      <c r="J29" s="180" t="s">
        <v>31</v>
      </c>
      <c r="K29" s="180" t="s">
        <v>31</v>
      </c>
      <c r="L29" s="180" t="s">
        <v>31</v>
      </c>
      <c r="M29" s="180" t="s">
        <v>31</v>
      </c>
      <c r="N29" s="180" t="s">
        <v>31</v>
      </c>
      <c r="O29" t="s">
        <v>280</v>
      </c>
    </row>
    <row r="30" spans="1:17" ht="15.6">
      <c r="A30" t="s">
        <v>70</v>
      </c>
      <c r="B30" s="208">
        <f>-B28*0.5*34.78</f>
        <v>8.6950000000000003</v>
      </c>
      <c r="D30" t="s">
        <v>71</v>
      </c>
      <c r="E30" s="188" t="s">
        <v>40</v>
      </c>
      <c r="F30" s="58" t="s">
        <v>261</v>
      </c>
      <c r="G30" t="s">
        <v>59</v>
      </c>
      <c r="H30" s="58" t="s">
        <v>136</v>
      </c>
      <c r="I30" s="58">
        <v>0</v>
      </c>
      <c r="J30" s="180" t="s">
        <v>31</v>
      </c>
      <c r="K30" s="180" t="s">
        <v>31</v>
      </c>
      <c r="L30" s="180" t="s">
        <v>31</v>
      </c>
      <c r="M30" s="180" t="s">
        <v>31</v>
      </c>
      <c r="N30" s="180" t="s">
        <v>31</v>
      </c>
      <c r="O30" t="s">
        <v>281</v>
      </c>
    </row>
    <row r="31" spans="1:17" ht="15.6">
      <c r="A31" s="84" t="s">
        <v>282</v>
      </c>
      <c r="B31">
        <f>B28</f>
        <v>-0.5</v>
      </c>
      <c r="D31" t="s">
        <v>37</v>
      </c>
      <c r="E31" s="188" t="s">
        <v>40</v>
      </c>
      <c r="F31" s="58" t="s">
        <v>261</v>
      </c>
      <c r="G31" t="s">
        <v>82</v>
      </c>
      <c r="H31" s="58" t="s">
        <v>33</v>
      </c>
      <c r="I31" s="58">
        <v>0</v>
      </c>
      <c r="J31" s="180" t="s">
        <v>31</v>
      </c>
      <c r="K31" s="180" t="s">
        <v>31</v>
      </c>
      <c r="L31" s="180" t="s">
        <v>31</v>
      </c>
      <c r="M31" s="180" t="s">
        <v>31</v>
      </c>
      <c r="N31" s="180" t="s">
        <v>31</v>
      </c>
      <c r="O31" s="180" t="s">
        <v>283</v>
      </c>
    </row>
    <row r="32" spans="1:17" s="73" customFormat="1" ht="15.6">
      <c r="A32" s="178" t="s">
        <v>5</v>
      </c>
      <c r="B32" s="178" t="s">
        <v>284</v>
      </c>
      <c r="C32" s="178"/>
      <c r="D32" s="74"/>
      <c r="E32" s="150"/>
      <c r="F32" s="150"/>
      <c r="G32" s="150"/>
      <c r="H32" s="150"/>
      <c r="I32" s="150"/>
      <c r="J32" s="150"/>
      <c r="K32" s="150"/>
      <c r="L32" s="150"/>
      <c r="M32" s="150"/>
      <c r="N32" s="150"/>
      <c r="O32" s="150"/>
      <c r="P32" s="150"/>
    </row>
    <row r="33" spans="1:16">
      <c r="A33" s="58" t="s">
        <v>7</v>
      </c>
      <c r="B33" s="58" t="s">
        <v>261</v>
      </c>
      <c r="C33" s="58"/>
      <c r="D33" s="58"/>
      <c r="E33" s="58"/>
      <c r="F33" s="58"/>
      <c r="G33" s="58"/>
      <c r="H33" s="58"/>
      <c r="I33" s="58"/>
      <c r="J33" s="58"/>
      <c r="K33" s="58"/>
      <c r="L33" s="58"/>
      <c r="M33" s="58"/>
      <c r="N33" s="58"/>
      <c r="O33" s="58"/>
      <c r="P33" s="58"/>
    </row>
    <row r="34" spans="1:16">
      <c r="A34" s="58" t="s">
        <v>9</v>
      </c>
      <c r="B34" s="201" t="s">
        <v>285</v>
      </c>
      <c r="C34" s="58"/>
      <c r="D34" s="58"/>
      <c r="E34" s="58"/>
      <c r="F34" s="58"/>
      <c r="G34" s="58"/>
      <c r="H34" s="58"/>
      <c r="I34" s="58"/>
      <c r="J34" s="58"/>
      <c r="K34" s="58"/>
      <c r="L34" s="58"/>
      <c r="M34" s="58"/>
      <c r="N34" s="58"/>
      <c r="O34" s="58"/>
      <c r="P34" s="58"/>
    </row>
    <row r="35" spans="1:16">
      <c r="A35" s="58" t="s">
        <v>11</v>
      </c>
      <c r="B35" s="58" t="s">
        <v>263</v>
      </c>
      <c r="C35" s="58"/>
      <c r="D35" s="58"/>
      <c r="E35" s="58"/>
      <c r="F35" s="58"/>
      <c r="G35" s="58"/>
      <c r="H35" s="58"/>
      <c r="I35" s="58"/>
      <c r="J35" s="58"/>
      <c r="K35" s="58"/>
      <c r="L35" s="58"/>
      <c r="M35" s="58"/>
      <c r="N35" s="58"/>
      <c r="O35" s="58"/>
      <c r="P35" s="58"/>
    </row>
    <row r="36" spans="1:16">
      <c r="A36" s="58" t="s">
        <v>13</v>
      </c>
      <c r="B36" s="58" t="s">
        <v>59</v>
      </c>
      <c r="C36" s="58"/>
      <c r="D36" s="58"/>
      <c r="E36" s="58"/>
      <c r="F36" s="58"/>
      <c r="G36" s="58"/>
      <c r="H36" s="58"/>
      <c r="I36" s="58"/>
      <c r="J36" s="58"/>
      <c r="K36" s="58"/>
      <c r="L36" s="58"/>
      <c r="M36" s="58"/>
      <c r="N36" s="58"/>
      <c r="O36" s="58"/>
      <c r="P36" s="58"/>
    </row>
    <row r="37" spans="1:16">
      <c r="A37" s="58" t="s">
        <v>15</v>
      </c>
      <c r="B37" s="58">
        <v>1</v>
      </c>
      <c r="C37" s="58"/>
      <c r="D37" s="58"/>
      <c r="E37" s="58"/>
      <c r="F37" s="58"/>
      <c r="G37" s="58"/>
      <c r="H37" s="58"/>
      <c r="I37" s="58"/>
      <c r="J37" s="58"/>
      <c r="K37" s="58"/>
      <c r="L37" s="58"/>
      <c r="M37" s="58"/>
      <c r="N37" s="58"/>
      <c r="O37" s="58"/>
      <c r="P37" s="58"/>
    </row>
    <row r="38" spans="1:16">
      <c r="A38" s="58" t="s">
        <v>16</v>
      </c>
      <c r="B38" s="58" t="s">
        <v>17</v>
      </c>
      <c r="C38" s="58"/>
      <c r="D38" s="58"/>
      <c r="E38" s="58"/>
      <c r="F38" s="58"/>
      <c r="G38" s="58"/>
      <c r="H38" s="58"/>
      <c r="I38" s="58"/>
      <c r="J38" s="58"/>
      <c r="K38" s="58"/>
      <c r="L38" s="58"/>
      <c r="M38" s="58"/>
      <c r="N38" s="58"/>
      <c r="O38" s="58"/>
      <c r="P38" s="58"/>
    </row>
    <row r="39" spans="1:16" ht="15.6">
      <c r="A39" s="58" t="s">
        <v>18</v>
      </c>
      <c r="B39" s="180" t="s">
        <v>37</v>
      </c>
      <c r="C39" s="58"/>
      <c r="D39" s="58"/>
      <c r="E39" s="58" t="s">
        <v>185</v>
      </c>
      <c r="F39" s="58"/>
      <c r="G39" s="58"/>
      <c r="H39" s="58"/>
      <c r="I39" s="58"/>
      <c r="J39" s="58"/>
      <c r="K39" s="58"/>
      <c r="L39" s="58"/>
      <c r="M39" s="58"/>
      <c r="N39" s="58"/>
      <c r="O39" s="58"/>
      <c r="P39" s="58"/>
    </row>
    <row r="40" spans="1:16" ht="15.6">
      <c r="A40" s="181" t="s">
        <v>19</v>
      </c>
      <c r="B40" s="58"/>
      <c r="C40" s="58"/>
      <c r="D40" s="58"/>
      <c r="E40" s="58"/>
      <c r="F40" s="58"/>
      <c r="G40" s="58"/>
      <c r="H40" s="58"/>
      <c r="I40" s="58"/>
      <c r="J40" s="58"/>
      <c r="K40" s="58"/>
      <c r="L40" s="58"/>
      <c r="M40" s="58"/>
      <c r="N40" s="58"/>
      <c r="O40" s="58"/>
      <c r="P40" s="58"/>
    </row>
    <row r="41" spans="1:16" ht="15.6">
      <c r="A41" s="181" t="s">
        <v>20</v>
      </c>
      <c r="B41" s="181" t="s">
        <v>21</v>
      </c>
      <c r="C41" s="181" t="s">
        <v>186</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187</v>
      </c>
    </row>
    <row r="42" spans="1:16" ht="15.6">
      <c r="A42" s="180" t="str">
        <f>B32</f>
        <v>treatment of aluminium,powerplant, SOFC-bat, Long-Term</v>
      </c>
      <c r="B42" s="180">
        <v>-8.6300000000000008</v>
      </c>
      <c r="C42" s="180"/>
      <c r="D42" s="180" t="s">
        <v>37</v>
      </c>
      <c r="E42" s="58" t="s">
        <v>2</v>
      </c>
      <c r="F42" s="58" t="s">
        <v>261</v>
      </c>
      <c r="G42" s="180" t="s">
        <v>59</v>
      </c>
      <c r="H42" s="58" t="s">
        <v>30</v>
      </c>
      <c r="I42" s="58">
        <v>0</v>
      </c>
      <c r="J42" s="180" t="s">
        <v>31</v>
      </c>
      <c r="K42" s="180" t="s">
        <v>31</v>
      </c>
      <c r="L42" s="180" t="s">
        <v>31</v>
      </c>
      <c r="M42" s="180" t="s">
        <v>31</v>
      </c>
      <c r="N42" s="180" t="s">
        <v>31</v>
      </c>
      <c r="O42" s="58" t="s">
        <v>286</v>
      </c>
    </row>
    <row r="43" spans="1:16" ht="15.6">
      <c r="A43" t="s">
        <v>201</v>
      </c>
      <c r="B43" s="23">
        <v>0.75</v>
      </c>
      <c r="C43" s="180"/>
      <c r="D43" s="180" t="s">
        <v>37</v>
      </c>
      <c r="E43" s="37" t="s">
        <v>40</v>
      </c>
      <c r="F43" s="58" t="s">
        <v>261</v>
      </c>
      <c r="G43" s="180" t="s">
        <v>82</v>
      </c>
      <c r="H43" s="58" t="s">
        <v>33</v>
      </c>
      <c r="I43" s="58">
        <v>0</v>
      </c>
      <c r="J43" s="180" t="s">
        <v>31</v>
      </c>
      <c r="K43" s="180" t="s">
        <v>31</v>
      </c>
      <c r="L43" s="180" t="s">
        <v>31</v>
      </c>
      <c r="M43" s="180" t="s">
        <v>31</v>
      </c>
      <c r="N43" s="180" t="s">
        <v>31</v>
      </c>
      <c r="O43" s="58" t="s">
        <v>241</v>
      </c>
      <c r="P43" s="58"/>
    </row>
    <row r="44" spans="1:16" ht="15.6">
      <c r="A44" t="s">
        <v>202</v>
      </c>
      <c r="B44" s="23">
        <v>0.75</v>
      </c>
      <c r="C44" s="22" t="s">
        <v>203</v>
      </c>
      <c r="D44" t="s">
        <v>37</v>
      </c>
      <c r="E44" s="188" t="s">
        <v>40</v>
      </c>
      <c r="F44" s="58" t="s">
        <v>261</v>
      </c>
      <c r="G44" s="180" t="s">
        <v>82</v>
      </c>
      <c r="H44" s="58" t="s">
        <v>33</v>
      </c>
      <c r="I44" s="58">
        <v>0</v>
      </c>
      <c r="J44" s="180" t="s">
        <v>31</v>
      </c>
      <c r="K44" s="180" t="s">
        <v>31</v>
      </c>
      <c r="L44" s="180" t="s">
        <v>31</v>
      </c>
      <c r="M44" s="180" t="s">
        <v>31</v>
      </c>
      <c r="N44" s="180" t="s">
        <v>31</v>
      </c>
      <c r="O44" s="180" t="s">
        <v>287</v>
      </c>
    </row>
    <row r="45" spans="1:16" ht="15.6">
      <c r="A45" t="s">
        <v>205</v>
      </c>
      <c r="B45" s="23">
        <v>0.75</v>
      </c>
      <c r="D45" t="s">
        <v>37</v>
      </c>
      <c r="E45" s="188" t="s">
        <v>40</v>
      </c>
      <c r="F45" s="58" t="s">
        <v>261</v>
      </c>
      <c r="G45" t="s">
        <v>59</v>
      </c>
      <c r="H45" s="58" t="s">
        <v>136</v>
      </c>
      <c r="I45" s="58">
        <v>0</v>
      </c>
      <c r="J45" s="180" t="s">
        <v>31</v>
      </c>
      <c r="K45" s="180" t="s">
        <v>31</v>
      </c>
      <c r="L45" s="180" t="s">
        <v>31</v>
      </c>
      <c r="M45" s="180" t="s">
        <v>31</v>
      </c>
      <c r="N45" s="180" t="s">
        <v>31</v>
      </c>
      <c r="O45" s="58"/>
    </row>
    <row r="46" spans="1:16" ht="15.6">
      <c r="A46" t="s">
        <v>210</v>
      </c>
      <c r="B46" s="23">
        <f>-0.25</f>
        <v>-0.25</v>
      </c>
      <c r="D46" t="s">
        <v>37</v>
      </c>
      <c r="E46" s="84" t="s">
        <v>40</v>
      </c>
      <c r="F46" s="58" t="s">
        <v>261</v>
      </c>
      <c r="G46" t="s">
        <v>59</v>
      </c>
      <c r="H46" t="s">
        <v>33</v>
      </c>
      <c r="I46">
        <v>0</v>
      </c>
      <c r="J46" t="s">
        <v>31</v>
      </c>
      <c r="K46" t="s">
        <v>31</v>
      </c>
      <c r="L46" t="s">
        <v>31</v>
      </c>
      <c r="M46" t="s">
        <v>31</v>
      </c>
      <c r="N46" t="s">
        <v>31</v>
      </c>
      <c r="O46" s="17"/>
      <c r="P46" s="58"/>
    </row>
    <row r="47" spans="1:16" s="73" customFormat="1" ht="15.6">
      <c r="A47" s="178" t="s">
        <v>5</v>
      </c>
      <c r="B47" s="178" t="s">
        <v>288</v>
      </c>
      <c r="C47" s="178"/>
      <c r="D47" s="74"/>
      <c r="E47" s="150"/>
      <c r="F47" s="150"/>
      <c r="G47" s="150"/>
      <c r="H47" s="150"/>
      <c r="I47" s="150"/>
      <c r="J47" s="150"/>
      <c r="K47" s="150"/>
      <c r="L47" s="150"/>
      <c r="M47" s="150"/>
      <c r="N47" s="150"/>
      <c r="O47" s="150"/>
      <c r="P47" s="150"/>
    </row>
    <row r="48" spans="1:16">
      <c r="A48" s="58" t="s">
        <v>7</v>
      </c>
      <c r="B48" s="58" t="s">
        <v>261</v>
      </c>
      <c r="C48" s="58"/>
      <c r="D48" s="58"/>
      <c r="E48" s="58"/>
      <c r="F48" s="58"/>
      <c r="G48" s="58"/>
      <c r="H48" s="58"/>
      <c r="I48" s="58"/>
      <c r="J48" s="58"/>
      <c r="K48" s="58"/>
      <c r="L48" s="58"/>
      <c r="M48" s="58"/>
      <c r="N48" s="58"/>
      <c r="O48" s="58"/>
      <c r="P48" s="58"/>
    </row>
    <row r="49" spans="1:17">
      <c r="A49" s="58" t="s">
        <v>9</v>
      </c>
      <c r="B49" s="201" t="s">
        <v>289</v>
      </c>
      <c r="C49" s="58"/>
      <c r="D49" s="58"/>
      <c r="E49" s="58"/>
      <c r="F49" s="58"/>
      <c r="G49" s="58"/>
      <c r="H49" s="58"/>
      <c r="I49" s="58"/>
      <c r="J49" s="58"/>
      <c r="K49" s="58"/>
      <c r="L49" s="58"/>
      <c r="M49" s="58"/>
      <c r="N49" s="58"/>
      <c r="O49" s="58"/>
      <c r="P49" s="58"/>
    </row>
    <row r="50" spans="1:17">
      <c r="A50" s="58" t="s">
        <v>11</v>
      </c>
      <c r="B50" s="58" t="s">
        <v>263</v>
      </c>
      <c r="C50" s="58"/>
      <c r="D50" s="58"/>
      <c r="E50" s="58"/>
      <c r="F50" s="58"/>
      <c r="G50" s="58"/>
      <c r="H50" s="58"/>
      <c r="I50" s="58"/>
      <c r="J50" s="58"/>
      <c r="K50" s="58"/>
      <c r="L50" s="58"/>
      <c r="M50" s="58"/>
      <c r="N50" s="58"/>
      <c r="O50" s="58"/>
      <c r="P50" s="58"/>
    </row>
    <row r="51" spans="1:17">
      <c r="A51" s="58" t="s">
        <v>13</v>
      </c>
      <c r="B51" s="58" t="s">
        <v>59</v>
      </c>
      <c r="C51" s="58"/>
      <c r="D51" s="58"/>
      <c r="E51" s="58"/>
      <c r="F51" s="58"/>
      <c r="G51" s="58"/>
      <c r="H51" s="58"/>
      <c r="I51" s="58"/>
      <c r="J51" s="58"/>
      <c r="K51" s="58"/>
      <c r="L51" s="58"/>
      <c r="M51" s="58"/>
      <c r="N51" s="58"/>
      <c r="O51" s="58"/>
      <c r="P51" s="58"/>
    </row>
    <row r="52" spans="1:17">
      <c r="A52" s="58" t="s">
        <v>15</v>
      </c>
      <c r="B52" s="58">
        <v>1</v>
      </c>
      <c r="C52" s="58"/>
      <c r="D52" s="58"/>
      <c r="E52" s="58"/>
      <c r="F52" s="58"/>
      <c r="G52" s="58"/>
      <c r="H52" s="58"/>
      <c r="I52" s="58"/>
      <c r="J52" s="58"/>
      <c r="K52" s="58"/>
      <c r="L52" s="58"/>
      <c r="M52" s="58"/>
      <c r="N52" s="58"/>
      <c r="O52" s="58"/>
      <c r="P52" s="58"/>
    </row>
    <row r="53" spans="1:17">
      <c r="A53" s="58" t="s">
        <v>16</v>
      </c>
      <c r="B53" s="58" t="s">
        <v>17</v>
      </c>
      <c r="C53" s="58"/>
      <c r="D53" s="58"/>
      <c r="E53" s="58"/>
      <c r="F53" s="58"/>
      <c r="G53" s="58"/>
      <c r="H53" s="58"/>
      <c r="I53" s="58"/>
      <c r="J53" s="58"/>
      <c r="K53" s="58"/>
      <c r="L53" s="58"/>
      <c r="M53" s="58"/>
      <c r="N53" s="58"/>
      <c r="O53" s="58"/>
      <c r="P53" s="58"/>
    </row>
    <row r="54" spans="1:17" ht="15.6">
      <c r="A54" s="58" t="s">
        <v>18</v>
      </c>
      <c r="B54" s="180" t="s">
        <v>37</v>
      </c>
      <c r="C54" s="58"/>
      <c r="D54" s="58"/>
      <c r="E54" s="58" t="s">
        <v>185</v>
      </c>
      <c r="F54" s="58"/>
      <c r="G54" s="58"/>
      <c r="H54" s="58"/>
      <c r="I54" s="58"/>
      <c r="J54" s="58"/>
      <c r="K54" s="58"/>
      <c r="L54" s="58"/>
      <c r="M54" s="58"/>
      <c r="N54" s="58"/>
      <c r="O54" s="58"/>
      <c r="P54" s="58"/>
    </row>
    <row r="55" spans="1:17" ht="15.6">
      <c r="A55" s="181" t="s">
        <v>19</v>
      </c>
      <c r="B55" s="58"/>
      <c r="C55" s="58"/>
      <c r="D55" s="58"/>
      <c r="E55" s="58"/>
      <c r="F55" s="58"/>
      <c r="G55" s="58"/>
      <c r="H55" s="58"/>
      <c r="I55" s="58"/>
      <c r="J55" s="58"/>
      <c r="K55" s="58"/>
      <c r="L55" s="58"/>
      <c r="M55" s="58"/>
      <c r="N55" s="58"/>
      <c r="O55" s="58"/>
      <c r="P55" s="58"/>
    </row>
    <row r="56" spans="1:17" ht="15.6">
      <c r="A56" s="181" t="s">
        <v>20</v>
      </c>
      <c r="B56" s="181" t="s">
        <v>21</v>
      </c>
      <c r="C56" s="181" t="s">
        <v>186</v>
      </c>
      <c r="D56" s="181" t="s">
        <v>18</v>
      </c>
      <c r="E56" s="181" t="s">
        <v>22</v>
      </c>
      <c r="F56" s="181" t="s">
        <v>7</v>
      </c>
      <c r="G56" s="181" t="s">
        <v>13</v>
      </c>
      <c r="H56" s="181" t="s">
        <v>16</v>
      </c>
      <c r="I56" s="181" t="s">
        <v>23</v>
      </c>
      <c r="J56" s="181" t="s">
        <v>24</v>
      </c>
      <c r="K56" s="181" t="s">
        <v>25</v>
      </c>
      <c r="L56" s="181" t="s">
        <v>26</v>
      </c>
      <c r="M56" s="181" t="s">
        <v>27</v>
      </c>
      <c r="N56" s="181" t="s">
        <v>28</v>
      </c>
      <c r="O56" s="181" t="s">
        <v>11</v>
      </c>
      <c r="P56" s="181" t="s">
        <v>187</v>
      </c>
    </row>
    <row r="57" spans="1:17" ht="15.6">
      <c r="A57" s="180" t="str">
        <f>B47</f>
        <v>treatment of iron-nickel chromium alloy,powerplant, SOFC-bat, Long-Term</v>
      </c>
      <c r="B57" s="180">
        <v>1</v>
      </c>
      <c r="C57" s="180"/>
      <c r="D57" s="180" t="s">
        <v>37</v>
      </c>
      <c r="E57" s="58" t="s">
        <v>2</v>
      </c>
      <c r="F57" s="58" t="s">
        <v>261</v>
      </c>
      <c r="G57" s="180" t="s">
        <v>59</v>
      </c>
      <c r="H57" s="58" t="s">
        <v>30</v>
      </c>
      <c r="I57" s="58">
        <v>0</v>
      </c>
      <c r="J57" s="180" t="s">
        <v>31</v>
      </c>
      <c r="K57" s="180" t="s">
        <v>31</v>
      </c>
      <c r="L57" s="180" t="s">
        <v>31</v>
      </c>
      <c r="M57" s="180" t="s">
        <v>31</v>
      </c>
      <c r="N57" s="180" t="s">
        <v>31</v>
      </c>
      <c r="O57" s="58" t="s">
        <v>286</v>
      </c>
    </row>
    <row r="58" spans="1:17" ht="15.6">
      <c r="A58" t="s">
        <v>207</v>
      </c>
      <c r="B58">
        <v>0.85</v>
      </c>
      <c r="C58" t="s">
        <v>208</v>
      </c>
      <c r="D58" t="s">
        <v>37</v>
      </c>
      <c r="E58" t="s">
        <v>40</v>
      </c>
      <c r="F58" s="58" t="s">
        <v>261</v>
      </c>
      <c r="G58" t="s">
        <v>82</v>
      </c>
      <c r="H58" t="s">
        <v>33</v>
      </c>
      <c r="I58" s="58">
        <v>0</v>
      </c>
      <c r="J58" s="180" t="s">
        <v>31</v>
      </c>
      <c r="K58" s="180" t="s">
        <v>31</v>
      </c>
      <c r="L58" s="180" t="s">
        <v>31</v>
      </c>
      <c r="M58" s="180" t="s">
        <v>31</v>
      </c>
      <c r="N58" s="180" t="s">
        <v>31</v>
      </c>
      <c r="O58" s="58" t="s">
        <v>286</v>
      </c>
      <c r="Q58" t="s">
        <v>268</v>
      </c>
    </row>
    <row r="59" spans="1:17" ht="15.6">
      <c r="A59" t="s">
        <v>152</v>
      </c>
      <c r="B59">
        <v>0.85</v>
      </c>
      <c r="D59" t="s">
        <v>37</v>
      </c>
      <c r="E59" t="s">
        <v>40</v>
      </c>
      <c r="F59" s="58" t="s">
        <v>261</v>
      </c>
      <c r="G59" t="s">
        <v>59</v>
      </c>
      <c r="H59" t="s">
        <v>136</v>
      </c>
      <c r="I59" s="58">
        <v>0</v>
      </c>
      <c r="J59" s="180" t="s">
        <v>31</v>
      </c>
      <c r="K59" s="180" t="s">
        <v>31</v>
      </c>
      <c r="L59" s="180" t="s">
        <v>31</v>
      </c>
      <c r="M59" s="180" t="s">
        <v>31</v>
      </c>
      <c r="N59" s="180" t="s">
        <v>31</v>
      </c>
      <c r="O59" s="58" t="s">
        <v>286</v>
      </c>
      <c r="Q59" t="s">
        <v>268</v>
      </c>
    </row>
    <row r="60" spans="1:17">
      <c r="A60" t="s">
        <v>210</v>
      </c>
      <c r="B60" s="23">
        <f>-0.25</f>
        <v>-0.25</v>
      </c>
      <c r="D60" t="s">
        <v>37</v>
      </c>
      <c r="E60" s="84" t="s">
        <v>40</v>
      </c>
      <c r="F60" s="58" t="s">
        <v>261</v>
      </c>
      <c r="G60" t="s">
        <v>59</v>
      </c>
      <c r="H60" t="s">
        <v>33</v>
      </c>
      <c r="I60">
        <v>0</v>
      </c>
      <c r="J60" t="s">
        <v>31</v>
      </c>
      <c r="K60" t="s">
        <v>31</v>
      </c>
      <c r="L60" t="s">
        <v>31</v>
      </c>
      <c r="M60" t="s">
        <v>31</v>
      </c>
      <c r="N60" t="s">
        <v>31</v>
      </c>
      <c r="O60" s="58" t="s">
        <v>286</v>
      </c>
    </row>
    <row r="61" spans="1:17" s="73" customFormat="1" ht="15.6">
      <c r="A61" s="178" t="s">
        <v>5</v>
      </c>
      <c r="B61" s="178" t="s">
        <v>290</v>
      </c>
      <c r="C61" s="178"/>
      <c r="D61" s="74"/>
      <c r="E61" s="150"/>
      <c r="F61" s="150"/>
      <c r="G61" s="150"/>
      <c r="H61" s="150"/>
      <c r="I61" s="150"/>
      <c r="J61" s="150"/>
      <c r="K61" s="150"/>
      <c r="L61" s="150"/>
      <c r="M61" s="150"/>
      <c r="N61" s="150"/>
      <c r="O61" s="150"/>
      <c r="P61" s="150"/>
    </row>
    <row r="62" spans="1:17">
      <c r="A62" s="58" t="s">
        <v>7</v>
      </c>
      <c r="B62" s="58" t="s">
        <v>261</v>
      </c>
      <c r="C62" s="58"/>
      <c r="D62" s="58"/>
      <c r="E62" s="58"/>
      <c r="F62" s="58"/>
      <c r="G62" s="58"/>
      <c r="H62" s="58"/>
      <c r="I62" s="58"/>
      <c r="J62" s="58"/>
      <c r="K62" s="58"/>
      <c r="L62" s="58"/>
      <c r="M62" s="58"/>
      <c r="N62" s="58"/>
      <c r="O62" s="58"/>
      <c r="P62" s="58"/>
    </row>
    <row r="63" spans="1:17">
      <c r="A63" s="58" t="s">
        <v>9</v>
      </c>
      <c r="B63" s="201" t="s">
        <v>291</v>
      </c>
      <c r="C63" s="58"/>
      <c r="D63" s="58"/>
      <c r="E63" s="58"/>
      <c r="F63" s="58"/>
      <c r="G63" s="58"/>
      <c r="H63" s="58"/>
      <c r="I63" s="58"/>
      <c r="J63" s="58"/>
      <c r="K63" s="58"/>
      <c r="L63" s="58"/>
      <c r="M63" s="58"/>
      <c r="N63" s="58"/>
      <c r="O63" s="58"/>
      <c r="P63" s="58"/>
    </row>
    <row r="64" spans="1:17">
      <c r="A64" s="58" t="s">
        <v>11</v>
      </c>
      <c r="B64" s="58" t="s">
        <v>263</v>
      </c>
      <c r="C64" s="58"/>
      <c r="D64" s="58"/>
      <c r="E64" s="58"/>
      <c r="F64" s="58"/>
      <c r="G64" s="58"/>
      <c r="H64" s="58"/>
      <c r="I64" s="58"/>
      <c r="J64" s="58"/>
      <c r="K64" s="58"/>
      <c r="L64" s="58"/>
      <c r="M64" s="58"/>
      <c r="N64" s="58"/>
      <c r="O64" s="58"/>
      <c r="P64" s="58"/>
    </row>
    <row r="65" spans="1:17">
      <c r="A65" s="58" t="s">
        <v>13</v>
      </c>
      <c r="B65" s="58" t="s">
        <v>59</v>
      </c>
      <c r="C65" s="58"/>
      <c r="D65" s="58"/>
      <c r="E65" s="58"/>
      <c r="F65" s="58"/>
      <c r="G65" s="58"/>
      <c r="H65" s="58"/>
      <c r="I65" s="58"/>
      <c r="J65" s="58"/>
      <c r="K65" s="58"/>
      <c r="L65" s="58"/>
      <c r="M65" s="58"/>
      <c r="N65" s="58"/>
      <c r="O65" s="58"/>
      <c r="P65" s="58"/>
    </row>
    <row r="66" spans="1:17">
      <c r="A66" s="58" t="s">
        <v>15</v>
      </c>
      <c r="B66" s="58">
        <v>1</v>
      </c>
      <c r="C66" s="58"/>
      <c r="D66" s="58"/>
      <c r="E66" s="58"/>
      <c r="F66" s="58"/>
      <c r="G66" s="58"/>
      <c r="H66" s="58"/>
      <c r="I66" s="58"/>
      <c r="J66" s="58"/>
      <c r="K66" s="58"/>
      <c r="L66" s="58"/>
      <c r="M66" s="58"/>
      <c r="N66" s="58"/>
      <c r="O66" s="58"/>
      <c r="P66" s="58"/>
    </row>
    <row r="67" spans="1:17">
      <c r="A67" s="58" t="s">
        <v>16</v>
      </c>
      <c r="B67" s="58" t="s">
        <v>17</v>
      </c>
      <c r="C67" s="58"/>
      <c r="D67" s="58"/>
      <c r="E67" s="58"/>
      <c r="F67" s="58"/>
      <c r="G67" s="58"/>
      <c r="H67" s="58"/>
      <c r="I67" s="58"/>
      <c r="J67" s="58"/>
      <c r="K67" s="58"/>
      <c r="L67" s="58"/>
      <c r="M67" s="58"/>
      <c r="N67" s="58"/>
      <c r="O67" s="58"/>
      <c r="P67" s="58"/>
    </row>
    <row r="68" spans="1:17" ht="15.6">
      <c r="A68" s="58" t="s">
        <v>18</v>
      </c>
      <c r="B68" s="180" t="s">
        <v>37</v>
      </c>
      <c r="C68" s="58"/>
      <c r="D68" s="58"/>
      <c r="E68" s="58" t="s">
        <v>185</v>
      </c>
      <c r="F68" s="58"/>
      <c r="G68" s="58"/>
      <c r="H68" s="58"/>
      <c r="I68" s="58"/>
      <c r="J68" s="58"/>
      <c r="K68" s="58"/>
      <c r="L68" s="58"/>
      <c r="M68" s="58"/>
      <c r="N68" s="58"/>
      <c r="O68" s="58"/>
      <c r="P68" s="58"/>
    </row>
    <row r="69" spans="1:17" ht="15.6">
      <c r="A69" s="181" t="s">
        <v>19</v>
      </c>
      <c r="B69" s="58"/>
      <c r="C69" s="58"/>
      <c r="D69" s="58"/>
      <c r="E69" s="58"/>
      <c r="F69" s="58"/>
      <c r="G69" s="58"/>
      <c r="H69" s="58"/>
      <c r="I69" s="58"/>
      <c r="J69" s="58"/>
      <c r="K69" s="58"/>
      <c r="L69" s="58"/>
      <c r="M69" s="58"/>
      <c r="N69" s="58"/>
      <c r="O69" s="58"/>
      <c r="P69" s="58"/>
    </row>
    <row r="70" spans="1:17" ht="15.6">
      <c r="A70" s="181" t="s">
        <v>20</v>
      </c>
      <c r="B70" s="181" t="s">
        <v>21</v>
      </c>
      <c r="C70" s="181" t="s">
        <v>186</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187</v>
      </c>
    </row>
    <row r="71" spans="1:17" ht="15.6">
      <c r="A71" s="180" t="str">
        <f>B61</f>
        <v>treatment of nickel,powerplant, SOFC-bat, Long-Term</v>
      </c>
      <c r="B71" s="180">
        <v>1</v>
      </c>
      <c r="C71" s="180"/>
      <c r="D71" s="180" t="s">
        <v>37</v>
      </c>
      <c r="E71" s="58" t="s">
        <v>2</v>
      </c>
      <c r="F71" s="58" t="s">
        <v>261</v>
      </c>
      <c r="G71" s="180" t="s">
        <v>59</v>
      </c>
      <c r="H71" s="58" t="s">
        <v>30</v>
      </c>
      <c r="I71" s="58">
        <v>0</v>
      </c>
      <c r="J71" s="180" t="s">
        <v>31</v>
      </c>
      <c r="K71" s="180" t="s">
        <v>31</v>
      </c>
      <c r="L71" s="180" t="s">
        <v>31</v>
      </c>
      <c r="M71" s="180" t="s">
        <v>31</v>
      </c>
      <c r="N71" s="180" t="s">
        <v>31</v>
      </c>
      <c r="O71" s="58" t="s">
        <v>286</v>
      </c>
    </row>
    <row r="72" spans="1:17" ht="15.6">
      <c r="A72" t="s">
        <v>207</v>
      </c>
      <c r="B72">
        <f>-70.74</f>
        <v>-70.739999999999995</v>
      </c>
      <c r="C72" t="s">
        <v>208</v>
      </c>
      <c r="D72" t="s">
        <v>37</v>
      </c>
      <c r="E72" t="s">
        <v>40</v>
      </c>
      <c r="F72" s="58" t="s">
        <v>261</v>
      </c>
      <c r="G72" t="s">
        <v>82</v>
      </c>
      <c r="H72" t="s">
        <v>33</v>
      </c>
      <c r="I72" s="58">
        <v>0</v>
      </c>
      <c r="J72" s="180" t="s">
        <v>31</v>
      </c>
      <c r="K72" s="180" t="s">
        <v>31</v>
      </c>
      <c r="L72" s="180" t="s">
        <v>31</v>
      </c>
      <c r="M72" s="180" t="s">
        <v>31</v>
      </c>
      <c r="N72" s="180" t="s">
        <v>31</v>
      </c>
      <c r="O72" s="58" t="s">
        <v>286</v>
      </c>
      <c r="Q72" t="s">
        <v>268</v>
      </c>
    </row>
    <row r="73" spans="1:17" ht="15.6">
      <c r="A73" t="s">
        <v>292</v>
      </c>
      <c r="B73">
        <v>0.85</v>
      </c>
      <c r="D73" t="s">
        <v>37</v>
      </c>
      <c r="E73" t="s">
        <v>40</v>
      </c>
      <c r="F73" s="58" t="s">
        <v>261</v>
      </c>
      <c r="G73" t="s">
        <v>59</v>
      </c>
      <c r="H73" t="s">
        <v>136</v>
      </c>
      <c r="I73" s="58">
        <v>0</v>
      </c>
      <c r="J73" s="180" t="s">
        <v>31</v>
      </c>
      <c r="K73" s="180" t="s">
        <v>31</v>
      </c>
      <c r="L73" s="180" t="s">
        <v>31</v>
      </c>
      <c r="M73" s="180" t="s">
        <v>31</v>
      </c>
      <c r="N73" s="180" t="s">
        <v>31</v>
      </c>
      <c r="O73" s="58" t="s">
        <v>286</v>
      </c>
      <c r="Q73" t="s">
        <v>268</v>
      </c>
    </row>
    <row r="74" spans="1:17">
      <c r="A74" t="s">
        <v>210</v>
      </c>
      <c r="B74" s="23">
        <f>-0.25</f>
        <v>-0.25</v>
      </c>
      <c r="D74" t="s">
        <v>37</v>
      </c>
      <c r="E74" s="84" t="s">
        <v>40</v>
      </c>
      <c r="F74" s="58" t="s">
        <v>261</v>
      </c>
      <c r="G74" t="s">
        <v>59</v>
      </c>
      <c r="H74" t="s">
        <v>33</v>
      </c>
      <c r="I74">
        <v>0</v>
      </c>
      <c r="J74" t="s">
        <v>31</v>
      </c>
      <c r="K74" t="s">
        <v>31</v>
      </c>
      <c r="L74" t="s">
        <v>31</v>
      </c>
      <c r="M74" t="s">
        <v>31</v>
      </c>
      <c r="N74" t="s">
        <v>31</v>
      </c>
      <c r="O74" s="58" t="s">
        <v>286</v>
      </c>
    </row>
    <row r="75" spans="1:17" s="73" customFormat="1" ht="15.6">
      <c r="A75" s="178" t="s">
        <v>5</v>
      </c>
      <c r="B75" s="178" t="s">
        <v>293</v>
      </c>
      <c r="C75" s="178"/>
      <c r="D75" s="74"/>
      <c r="E75" s="150"/>
      <c r="F75" s="150"/>
      <c r="G75" s="150"/>
      <c r="H75" s="150"/>
      <c r="I75" s="150"/>
      <c r="J75" s="150"/>
      <c r="K75" s="150"/>
      <c r="L75" s="150"/>
      <c r="M75" s="150"/>
      <c r="N75" s="150"/>
      <c r="O75" s="150"/>
      <c r="P75" s="150"/>
    </row>
    <row r="76" spans="1:17">
      <c r="A76" s="58" t="s">
        <v>7</v>
      </c>
      <c r="B76" s="58" t="s">
        <v>261</v>
      </c>
      <c r="C76" s="58"/>
      <c r="D76" s="58"/>
      <c r="E76" s="58"/>
      <c r="F76" s="58"/>
      <c r="G76" s="58"/>
      <c r="H76" s="58"/>
      <c r="I76" s="58"/>
      <c r="J76" s="58"/>
      <c r="K76" s="58"/>
      <c r="L76" s="58"/>
      <c r="M76" s="58"/>
      <c r="N76" s="58"/>
      <c r="O76" s="58"/>
      <c r="P76" s="58"/>
    </row>
    <row r="77" spans="1:17">
      <c r="A77" s="58" t="s">
        <v>9</v>
      </c>
      <c r="B77" s="201" t="s">
        <v>294</v>
      </c>
      <c r="C77" s="58"/>
      <c r="D77" s="58"/>
      <c r="E77" s="58"/>
      <c r="F77" s="58"/>
      <c r="G77" s="58"/>
      <c r="H77" s="58"/>
      <c r="I77" s="58"/>
      <c r="J77" s="58"/>
      <c r="K77" s="58"/>
      <c r="L77" s="58"/>
      <c r="M77" s="58"/>
      <c r="N77" s="58"/>
      <c r="O77" s="58"/>
      <c r="P77" s="58"/>
    </row>
    <row r="78" spans="1:17">
      <c r="A78" s="58" t="s">
        <v>11</v>
      </c>
      <c r="B78" s="58" t="s">
        <v>263</v>
      </c>
      <c r="C78" s="58"/>
      <c r="D78" s="58"/>
      <c r="E78" s="58"/>
      <c r="F78" s="58"/>
      <c r="G78" s="58"/>
      <c r="H78" s="58"/>
      <c r="I78" s="58"/>
      <c r="J78" s="58"/>
      <c r="K78" s="58"/>
      <c r="L78" s="58"/>
      <c r="M78" s="58"/>
      <c r="N78" s="58"/>
      <c r="O78" s="58"/>
      <c r="P78" s="58"/>
    </row>
    <row r="79" spans="1:17">
      <c r="A79" s="58" t="s">
        <v>13</v>
      </c>
      <c r="B79" s="58" t="s">
        <v>59</v>
      </c>
      <c r="C79" s="58"/>
      <c r="D79" s="58"/>
      <c r="E79" s="58"/>
      <c r="F79" s="58"/>
      <c r="G79" s="58"/>
      <c r="H79" s="58"/>
      <c r="I79" s="58"/>
      <c r="J79" s="58"/>
      <c r="K79" s="58"/>
      <c r="L79" s="58"/>
      <c r="M79" s="58"/>
      <c r="N79" s="58"/>
      <c r="O79" s="58"/>
      <c r="P79" s="58"/>
    </row>
    <row r="80" spans="1:17">
      <c r="A80" s="58" t="s">
        <v>15</v>
      </c>
      <c r="B80" s="58">
        <v>1</v>
      </c>
      <c r="C80" s="58"/>
      <c r="D80" s="58"/>
      <c r="E80" s="58"/>
      <c r="F80" s="58"/>
      <c r="G80" s="58"/>
      <c r="H80" s="58"/>
      <c r="I80" s="58"/>
      <c r="J80" s="58"/>
      <c r="K80" s="58"/>
      <c r="L80" s="58"/>
      <c r="M80" s="58"/>
      <c r="N80" s="58"/>
      <c r="O80" s="58"/>
      <c r="P80" s="58"/>
    </row>
    <row r="81" spans="1:17">
      <c r="A81" s="58" t="s">
        <v>16</v>
      </c>
      <c r="B81" s="58" t="s">
        <v>17</v>
      </c>
      <c r="C81" s="58"/>
      <c r="D81" s="58"/>
      <c r="E81" s="58"/>
      <c r="F81" s="58"/>
      <c r="G81" s="58"/>
      <c r="H81" s="58"/>
      <c r="I81" s="58"/>
      <c r="J81" s="58"/>
      <c r="K81" s="58"/>
      <c r="L81" s="58"/>
      <c r="M81" s="58"/>
      <c r="N81" s="58"/>
      <c r="O81" s="58"/>
      <c r="P81" s="58"/>
    </row>
    <row r="82" spans="1:17" ht="15.6">
      <c r="A82" s="58" t="s">
        <v>18</v>
      </c>
      <c r="B82" s="180" t="s">
        <v>37</v>
      </c>
      <c r="C82" s="58"/>
      <c r="D82" s="58"/>
      <c r="E82" s="58" t="s">
        <v>185</v>
      </c>
      <c r="F82" s="58"/>
      <c r="G82" s="58"/>
      <c r="H82" s="58"/>
      <c r="I82" s="58"/>
      <c r="J82" s="58"/>
      <c r="K82" s="58"/>
      <c r="L82" s="58"/>
      <c r="M82" s="58"/>
      <c r="N82" s="58"/>
      <c r="O82" s="58"/>
      <c r="P82" s="58"/>
    </row>
    <row r="83" spans="1:17" ht="15.6">
      <c r="A83" s="181" t="s">
        <v>19</v>
      </c>
      <c r="B83" s="58"/>
      <c r="C83" s="58"/>
      <c r="D83" s="58"/>
      <c r="E83" s="58"/>
      <c r="F83" s="58"/>
      <c r="G83" s="58"/>
      <c r="H83" s="58"/>
      <c r="I83" s="58"/>
      <c r="J83" s="58"/>
      <c r="K83" s="58"/>
      <c r="L83" s="58"/>
      <c r="M83" s="58"/>
      <c r="N83" s="58"/>
      <c r="O83" s="58"/>
      <c r="P83" s="58"/>
    </row>
    <row r="84" spans="1:17" ht="15.6">
      <c r="A84" s="181" t="s">
        <v>20</v>
      </c>
      <c r="B84" s="181" t="s">
        <v>21</v>
      </c>
      <c r="C84" s="181" t="s">
        <v>186</v>
      </c>
      <c r="D84" s="181" t="s">
        <v>18</v>
      </c>
      <c r="E84" s="181" t="s">
        <v>22</v>
      </c>
      <c r="F84" s="181" t="s">
        <v>7</v>
      </c>
      <c r="G84" s="181" t="s">
        <v>13</v>
      </c>
      <c r="H84" s="181" t="s">
        <v>16</v>
      </c>
      <c r="I84" s="181" t="s">
        <v>23</v>
      </c>
      <c r="J84" s="181" t="s">
        <v>24</v>
      </c>
      <c r="K84" s="181" t="s">
        <v>25</v>
      </c>
      <c r="L84" s="181" t="s">
        <v>26</v>
      </c>
      <c r="M84" s="181" t="s">
        <v>27</v>
      </c>
      <c r="N84" s="181" t="s">
        <v>28</v>
      </c>
      <c r="O84" s="181" t="s">
        <v>11</v>
      </c>
      <c r="P84" s="181" t="s">
        <v>187</v>
      </c>
    </row>
    <row r="85" spans="1:17" ht="15.6">
      <c r="A85" s="180" t="str">
        <f>B75</f>
        <v>treatment of copper,powerplant, SOFC-bat, Long-Term</v>
      </c>
      <c r="B85" s="180">
        <v>1</v>
      </c>
      <c r="C85" s="180"/>
      <c r="D85" s="180" t="s">
        <v>37</v>
      </c>
      <c r="E85" s="58" t="s">
        <v>2</v>
      </c>
      <c r="F85" s="58" t="s">
        <v>261</v>
      </c>
      <c r="G85" s="180" t="s">
        <v>59</v>
      </c>
      <c r="H85" s="58" t="s">
        <v>30</v>
      </c>
      <c r="I85" s="58">
        <v>0</v>
      </c>
      <c r="J85" s="180" t="s">
        <v>31</v>
      </c>
      <c r="K85" s="180" t="s">
        <v>31</v>
      </c>
      <c r="L85" s="180" t="s">
        <v>31</v>
      </c>
      <c r="M85" s="180" t="s">
        <v>31</v>
      </c>
      <c r="N85" s="180" t="s">
        <v>31</v>
      </c>
      <c r="O85" s="58" t="s">
        <v>286</v>
      </c>
    </row>
    <row r="86" spans="1:17" ht="15.6">
      <c r="A86" t="s">
        <v>207</v>
      </c>
      <c r="B86">
        <v>0.85</v>
      </c>
      <c r="C86" t="s">
        <v>208</v>
      </c>
      <c r="D86" t="s">
        <v>37</v>
      </c>
      <c r="E86" t="s">
        <v>40</v>
      </c>
      <c r="F86" s="58" t="s">
        <v>261</v>
      </c>
      <c r="G86" t="s">
        <v>82</v>
      </c>
      <c r="H86" t="s">
        <v>33</v>
      </c>
      <c r="I86" s="58">
        <v>0</v>
      </c>
      <c r="J86" s="180" t="s">
        <v>31</v>
      </c>
      <c r="K86" s="180" t="s">
        <v>31</v>
      </c>
      <c r="L86" s="180" t="s">
        <v>31</v>
      </c>
      <c r="M86" s="180" t="s">
        <v>31</v>
      </c>
      <c r="N86" s="180" t="s">
        <v>31</v>
      </c>
      <c r="O86" s="58" t="s">
        <v>286</v>
      </c>
      <c r="Q86" t="s">
        <v>268</v>
      </c>
    </row>
    <row r="87" spans="1:17" ht="15.6">
      <c r="A87" t="s">
        <v>209</v>
      </c>
      <c r="B87">
        <v>0.85</v>
      </c>
      <c r="D87" t="s">
        <v>37</v>
      </c>
      <c r="E87" t="s">
        <v>40</v>
      </c>
      <c r="F87" s="58" t="s">
        <v>261</v>
      </c>
      <c r="G87" t="s">
        <v>59</v>
      </c>
      <c r="H87" t="s">
        <v>136</v>
      </c>
      <c r="I87" s="58">
        <v>0</v>
      </c>
      <c r="J87" s="180" t="s">
        <v>31</v>
      </c>
      <c r="K87" s="180" t="s">
        <v>31</v>
      </c>
      <c r="L87" s="180" t="s">
        <v>31</v>
      </c>
      <c r="M87" s="180" t="s">
        <v>31</v>
      </c>
      <c r="N87" s="180" t="s">
        <v>31</v>
      </c>
      <c r="O87" s="58" t="s">
        <v>286</v>
      </c>
      <c r="Q87" t="s">
        <v>268</v>
      </c>
    </row>
    <row r="88" spans="1:17">
      <c r="A88" t="s">
        <v>210</v>
      </c>
      <c r="B88" s="23">
        <f>-0.25</f>
        <v>-0.25</v>
      </c>
      <c r="D88" t="s">
        <v>37</v>
      </c>
      <c r="E88" s="84" t="s">
        <v>40</v>
      </c>
      <c r="F88" s="58" t="s">
        <v>261</v>
      </c>
      <c r="G88" t="s">
        <v>59</v>
      </c>
      <c r="H88" t="s">
        <v>33</v>
      </c>
      <c r="I88">
        <v>0</v>
      </c>
      <c r="J88" t="s">
        <v>31</v>
      </c>
      <c r="K88" t="s">
        <v>31</v>
      </c>
      <c r="L88" t="s">
        <v>31</v>
      </c>
      <c r="M88" t="s">
        <v>31</v>
      </c>
      <c r="N88" t="s">
        <v>31</v>
      </c>
      <c r="O88" s="58" t="s">
        <v>286</v>
      </c>
    </row>
    <row r="89" spans="1:17" s="73" customFormat="1" ht="15.6">
      <c r="A89" s="178" t="s">
        <v>5</v>
      </c>
      <c r="B89" s="178" t="s">
        <v>295</v>
      </c>
      <c r="C89" s="178"/>
      <c r="D89" s="74"/>
      <c r="E89" s="150"/>
      <c r="F89" s="150"/>
      <c r="G89" s="150"/>
      <c r="H89" s="150"/>
      <c r="I89" s="150"/>
      <c r="J89" s="150"/>
      <c r="K89" s="150"/>
      <c r="L89" s="150"/>
      <c r="M89" s="150"/>
      <c r="N89" s="150"/>
      <c r="O89" s="150"/>
      <c r="P89" s="150"/>
    </row>
    <row r="90" spans="1:17">
      <c r="A90" s="58" t="s">
        <v>7</v>
      </c>
      <c r="B90" s="58" t="s">
        <v>261</v>
      </c>
      <c r="C90" s="58"/>
      <c r="D90" s="58"/>
      <c r="E90" s="58"/>
      <c r="F90" s="58"/>
      <c r="G90" s="58"/>
      <c r="H90" s="58"/>
      <c r="I90" s="58"/>
      <c r="J90" s="58"/>
      <c r="K90" s="58"/>
      <c r="L90" s="58"/>
      <c r="M90" s="58"/>
      <c r="N90" s="58"/>
      <c r="O90" s="58"/>
      <c r="P90" s="58"/>
    </row>
    <row r="91" spans="1:17">
      <c r="A91" s="58" t="s">
        <v>9</v>
      </c>
      <c r="B91" s="201" t="s">
        <v>296</v>
      </c>
      <c r="C91" s="58"/>
      <c r="D91" s="58"/>
      <c r="E91" s="58"/>
      <c r="F91" s="58"/>
      <c r="G91" s="58"/>
      <c r="H91" s="58"/>
      <c r="I91" s="58"/>
      <c r="J91" s="58"/>
      <c r="K91" s="58"/>
      <c r="L91" s="58"/>
      <c r="M91" s="58"/>
      <c r="N91" s="58"/>
      <c r="O91" s="58"/>
      <c r="P91" s="58"/>
    </row>
    <row r="92" spans="1:17">
      <c r="A92" s="58" t="s">
        <v>11</v>
      </c>
      <c r="B92" s="58" t="s">
        <v>263</v>
      </c>
      <c r="C92" s="58"/>
      <c r="D92" s="58"/>
      <c r="E92" s="58"/>
      <c r="F92" s="58"/>
      <c r="G92" s="58"/>
      <c r="H92" s="58"/>
      <c r="I92" s="58"/>
      <c r="J92" s="58"/>
      <c r="K92" s="58"/>
      <c r="L92" s="58"/>
      <c r="M92" s="58"/>
      <c r="N92" s="58"/>
      <c r="O92" s="58"/>
      <c r="P92" s="58"/>
    </row>
    <row r="93" spans="1:17">
      <c r="A93" s="58" t="s">
        <v>13</v>
      </c>
      <c r="B93" s="58" t="s">
        <v>59</v>
      </c>
      <c r="C93" s="58"/>
      <c r="D93" s="58"/>
      <c r="E93" s="58"/>
      <c r="F93" s="58"/>
      <c r="G93" s="58"/>
      <c r="H93" s="58"/>
      <c r="I93" s="58"/>
      <c r="J93" s="58"/>
      <c r="K93" s="58"/>
      <c r="L93" s="58"/>
      <c r="M93" s="58"/>
      <c r="N93" s="58"/>
      <c r="O93" s="58"/>
      <c r="P93" s="58"/>
    </row>
    <row r="94" spans="1:17">
      <c r="A94" s="58" t="s">
        <v>15</v>
      </c>
      <c r="B94" s="58">
        <v>1</v>
      </c>
      <c r="C94" s="58"/>
      <c r="D94" s="58"/>
      <c r="E94" s="58"/>
      <c r="F94" s="58"/>
      <c r="G94" s="58"/>
      <c r="H94" s="58"/>
      <c r="I94" s="58"/>
      <c r="J94" s="58"/>
      <c r="K94" s="58"/>
      <c r="L94" s="58"/>
      <c r="M94" s="58"/>
      <c r="N94" s="58"/>
      <c r="O94" s="58"/>
      <c r="P94" s="58"/>
    </row>
    <row r="95" spans="1:17">
      <c r="A95" s="58" t="s">
        <v>16</v>
      </c>
      <c r="B95" s="58" t="s">
        <v>17</v>
      </c>
      <c r="C95" s="58"/>
      <c r="D95" s="58"/>
      <c r="E95" s="58"/>
      <c r="F95" s="58"/>
      <c r="G95" s="58"/>
      <c r="H95" s="58"/>
      <c r="I95" s="58"/>
      <c r="J95" s="58"/>
      <c r="K95" s="58"/>
      <c r="L95" s="58"/>
      <c r="M95" s="58"/>
      <c r="N95" s="58"/>
      <c r="O95" s="58"/>
      <c r="P95" s="58"/>
    </row>
    <row r="96" spans="1:17" ht="15.6">
      <c r="A96" s="58" t="s">
        <v>18</v>
      </c>
      <c r="B96" s="180" t="s">
        <v>37</v>
      </c>
      <c r="C96" s="58"/>
      <c r="D96" s="58"/>
      <c r="E96" s="58" t="s">
        <v>185</v>
      </c>
      <c r="F96" s="58"/>
      <c r="G96" s="58"/>
      <c r="H96" s="58"/>
      <c r="I96" s="58"/>
      <c r="J96" s="58"/>
      <c r="K96" s="58"/>
      <c r="L96" s="58"/>
      <c r="M96" s="58"/>
      <c r="N96" s="58"/>
      <c r="O96" s="58"/>
      <c r="P96" s="58"/>
    </row>
    <row r="97" spans="1:17" ht="15.6">
      <c r="A97" s="181" t="s">
        <v>19</v>
      </c>
      <c r="B97" s="58"/>
      <c r="C97" s="58"/>
      <c r="D97" s="58"/>
      <c r="E97" s="58"/>
      <c r="F97" s="58"/>
      <c r="G97" s="58"/>
      <c r="H97" s="58"/>
      <c r="I97" s="58"/>
      <c r="J97" s="58"/>
      <c r="K97" s="58"/>
      <c r="L97" s="58"/>
      <c r="M97" s="58"/>
      <c r="N97" s="58"/>
      <c r="O97" s="58"/>
      <c r="P97" s="58"/>
    </row>
    <row r="98" spans="1:17" ht="15.6">
      <c r="A98" s="181" t="s">
        <v>20</v>
      </c>
      <c r="B98" s="181" t="s">
        <v>21</v>
      </c>
      <c r="C98" s="181" t="s">
        <v>186</v>
      </c>
      <c r="D98" s="181" t="s">
        <v>18</v>
      </c>
      <c r="E98" s="181" t="s">
        <v>22</v>
      </c>
      <c r="F98" s="181" t="s">
        <v>7</v>
      </c>
      <c r="G98" s="181" t="s">
        <v>13</v>
      </c>
      <c r="H98" s="181" t="s">
        <v>16</v>
      </c>
      <c r="I98" s="181" t="s">
        <v>23</v>
      </c>
      <c r="J98" s="181" t="s">
        <v>24</v>
      </c>
      <c r="K98" s="181" t="s">
        <v>25</v>
      </c>
      <c r="L98" s="181" t="s">
        <v>26</v>
      </c>
      <c r="M98" s="181" t="s">
        <v>27</v>
      </c>
      <c r="N98" s="181" t="s">
        <v>28</v>
      </c>
      <c r="O98" s="181" t="s">
        <v>11</v>
      </c>
      <c r="P98" s="181" t="s">
        <v>187</v>
      </c>
    </row>
    <row r="99" spans="1:17" ht="15.6">
      <c r="A99" s="180" t="str">
        <f>B89</f>
        <v>treatment of magnesium alloy powerplant, SOFC-bat, Long-Term</v>
      </c>
      <c r="B99" s="180">
        <v>1</v>
      </c>
      <c r="C99" s="180"/>
      <c r="D99" s="180" t="s">
        <v>37</v>
      </c>
      <c r="E99" s="58" t="s">
        <v>2</v>
      </c>
      <c r="F99" s="58" t="s">
        <v>261</v>
      </c>
      <c r="G99" s="180" t="s">
        <v>59</v>
      </c>
      <c r="H99" s="58" t="s">
        <v>30</v>
      </c>
      <c r="I99" s="58">
        <v>0</v>
      </c>
      <c r="J99" s="180" t="s">
        <v>31</v>
      </c>
      <c r="K99" s="180" t="s">
        <v>31</v>
      </c>
      <c r="L99" s="180" t="s">
        <v>31</v>
      </c>
      <c r="M99" s="180" t="s">
        <v>31</v>
      </c>
      <c r="N99" s="180" t="s">
        <v>31</v>
      </c>
      <c r="O99" s="58" t="s">
        <v>297</v>
      </c>
    </row>
    <row r="100" spans="1:17">
      <c r="A100" t="s">
        <v>210</v>
      </c>
      <c r="B100" s="23">
        <v>-0.1</v>
      </c>
      <c r="D100" t="s">
        <v>37</v>
      </c>
      <c r="E100" s="84" t="s">
        <v>40</v>
      </c>
      <c r="F100" s="58" t="s">
        <v>261</v>
      </c>
      <c r="G100" t="s">
        <v>59</v>
      </c>
      <c r="H100" t="s">
        <v>33</v>
      </c>
      <c r="I100">
        <v>0</v>
      </c>
      <c r="J100" t="s">
        <v>31</v>
      </c>
      <c r="K100" t="s">
        <v>31</v>
      </c>
      <c r="L100" t="s">
        <v>31</v>
      </c>
      <c r="M100" t="s">
        <v>31</v>
      </c>
      <c r="N100" t="s">
        <v>31</v>
      </c>
      <c r="O100" s="58" t="s">
        <v>298</v>
      </c>
    </row>
    <row r="101" spans="1:17" ht="15.6">
      <c r="A101" t="s">
        <v>207</v>
      </c>
      <c r="B101">
        <f>0.9*0.85</f>
        <v>0.76500000000000001</v>
      </c>
      <c r="C101" t="s">
        <v>208</v>
      </c>
      <c r="D101" t="s">
        <v>37</v>
      </c>
      <c r="E101" t="s">
        <v>40</v>
      </c>
      <c r="F101" s="58" t="s">
        <v>261</v>
      </c>
      <c r="G101" t="s">
        <v>82</v>
      </c>
      <c r="H101" t="s">
        <v>33</v>
      </c>
      <c r="I101" s="58">
        <v>0</v>
      </c>
      <c r="J101" s="180" t="s">
        <v>31</v>
      </c>
      <c r="K101" s="180" t="s">
        <v>31</v>
      </c>
      <c r="L101" s="180" t="s">
        <v>31</v>
      </c>
      <c r="M101" s="180" t="s">
        <v>31</v>
      </c>
      <c r="N101" s="180" t="s">
        <v>31</v>
      </c>
      <c r="O101" s="58" t="s">
        <v>299</v>
      </c>
      <c r="Q101" t="s">
        <v>268</v>
      </c>
    </row>
    <row r="102" spans="1:17">
      <c r="A102" t="s">
        <v>210</v>
      </c>
      <c r="B102" s="23">
        <f>-0.25*0.9</f>
        <v>-0.22500000000000001</v>
      </c>
      <c r="D102" t="s">
        <v>37</v>
      </c>
      <c r="E102" s="84" t="s">
        <v>40</v>
      </c>
      <c r="F102" s="58" t="s">
        <v>261</v>
      </c>
      <c r="G102" t="s">
        <v>59</v>
      </c>
      <c r="H102" t="s">
        <v>33</v>
      </c>
      <c r="I102">
        <v>0</v>
      </c>
      <c r="J102" t="s">
        <v>31</v>
      </c>
      <c r="K102" t="s">
        <v>31</v>
      </c>
      <c r="L102" t="s">
        <v>31</v>
      </c>
      <c r="M102" t="s">
        <v>31</v>
      </c>
      <c r="N102" t="s">
        <v>31</v>
      </c>
      <c r="O102" s="58" t="s">
        <v>300</v>
      </c>
    </row>
    <row r="103" spans="1:17" s="73" customFormat="1" ht="15.6">
      <c r="A103" s="178" t="s">
        <v>5</v>
      </c>
      <c r="B103" s="178" t="s">
        <v>301</v>
      </c>
      <c r="C103" s="178"/>
      <c r="D103" s="74"/>
      <c r="E103" s="150"/>
      <c r="F103" s="150"/>
      <c r="G103" s="150"/>
      <c r="H103" s="150"/>
      <c r="I103" s="150"/>
      <c r="J103" s="150"/>
      <c r="K103" s="150"/>
      <c r="L103" s="150"/>
      <c r="M103" s="150"/>
      <c r="N103" s="150"/>
      <c r="O103" s="150"/>
      <c r="P103" s="150"/>
    </row>
    <row r="104" spans="1:17">
      <c r="A104" s="58" t="s">
        <v>7</v>
      </c>
      <c r="B104" s="58" t="s">
        <v>261</v>
      </c>
      <c r="C104" s="58"/>
      <c r="D104" s="58"/>
      <c r="E104" s="58"/>
      <c r="F104" s="58"/>
      <c r="G104" s="58"/>
      <c r="H104" s="58"/>
      <c r="I104" s="58"/>
      <c r="J104" s="58"/>
      <c r="K104" s="58"/>
      <c r="L104" s="58"/>
      <c r="M104" s="58"/>
      <c r="N104" s="58"/>
      <c r="O104" s="58"/>
      <c r="P104" s="58"/>
    </row>
    <row r="105" spans="1:17">
      <c r="A105" s="58" t="s">
        <v>9</v>
      </c>
      <c r="B105" s="201" t="s">
        <v>302</v>
      </c>
      <c r="C105" s="58"/>
      <c r="D105" s="58"/>
      <c r="E105" s="58"/>
      <c r="F105" s="58"/>
      <c r="G105" s="58"/>
      <c r="H105" s="58"/>
      <c r="I105" s="58"/>
      <c r="J105" s="58"/>
      <c r="K105" s="58"/>
      <c r="L105" s="58"/>
      <c r="M105" s="58"/>
      <c r="N105" s="58"/>
      <c r="O105" s="58"/>
      <c r="P105" s="58"/>
    </row>
    <row r="106" spans="1:17">
      <c r="A106" s="58" t="s">
        <v>11</v>
      </c>
      <c r="B106" s="58" t="s">
        <v>263</v>
      </c>
      <c r="C106" s="58"/>
      <c r="D106" s="58"/>
      <c r="E106" s="58"/>
      <c r="F106" s="58"/>
      <c r="G106" s="58"/>
      <c r="H106" s="58"/>
      <c r="I106" s="58"/>
      <c r="J106" s="58"/>
      <c r="K106" s="58"/>
      <c r="L106" s="58"/>
      <c r="M106" s="58"/>
      <c r="N106" s="58"/>
      <c r="O106" s="58"/>
      <c r="P106" s="58"/>
    </row>
    <row r="107" spans="1:17">
      <c r="A107" s="58" t="s">
        <v>13</v>
      </c>
      <c r="B107" s="58" t="s">
        <v>59</v>
      </c>
      <c r="C107" s="58"/>
      <c r="D107" s="58"/>
      <c r="E107" s="58"/>
      <c r="F107" s="58"/>
      <c r="G107" s="58"/>
      <c r="H107" s="58"/>
      <c r="I107" s="58"/>
      <c r="J107" s="58"/>
      <c r="K107" s="58"/>
      <c r="L107" s="58"/>
      <c r="M107" s="58"/>
      <c r="N107" s="58"/>
      <c r="O107" s="58"/>
      <c r="P107" s="58"/>
    </row>
    <row r="108" spans="1:17">
      <c r="A108" s="58" t="s">
        <v>15</v>
      </c>
      <c r="B108" s="58">
        <v>1</v>
      </c>
      <c r="C108" s="58"/>
      <c r="D108" s="58"/>
      <c r="E108" s="58"/>
      <c r="F108" s="58"/>
      <c r="G108" s="58"/>
      <c r="H108" s="58"/>
      <c r="I108" s="58"/>
      <c r="J108" s="58"/>
      <c r="K108" s="58"/>
      <c r="L108" s="58"/>
      <c r="M108" s="58"/>
      <c r="N108" s="58"/>
      <c r="O108" s="58"/>
      <c r="P108" s="58"/>
    </row>
    <row r="109" spans="1:17">
      <c r="A109" s="58" t="s">
        <v>16</v>
      </c>
      <c r="B109" s="58" t="s">
        <v>17</v>
      </c>
      <c r="C109" s="58"/>
      <c r="D109" s="58"/>
      <c r="E109" s="58"/>
      <c r="F109" s="58"/>
      <c r="G109" s="58"/>
      <c r="H109" s="58"/>
      <c r="I109" s="58"/>
      <c r="J109" s="58"/>
      <c r="K109" s="58"/>
      <c r="L109" s="58"/>
      <c r="M109" s="58"/>
      <c r="N109" s="58"/>
      <c r="O109" s="58"/>
      <c r="P109" s="58"/>
    </row>
    <row r="110" spans="1:17" ht="15.6">
      <c r="A110" s="58" t="s">
        <v>18</v>
      </c>
      <c r="B110" s="180" t="s">
        <v>37</v>
      </c>
      <c r="C110" s="58"/>
      <c r="D110" s="58"/>
      <c r="E110" s="58" t="s">
        <v>185</v>
      </c>
      <c r="F110" s="58"/>
      <c r="G110" s="58"/>
      <c r="H110" s="58"/>
      <c r="I110" s="58"/>
      <c r="J110" s="58"/>
      <c r="K110" s="58"/>
      <c r="L110" s="58"/>
      <c r="M110" s="58"/>
      <c r="N110" s="58"/>
      <c r="O110" s="58"/>
      <c r="P110" s="58"/>
    </row>
    <row r="111" spans="1:17" ht="15.6">
      <c r="A111" s="181" t="s">
        <v>19</v>
      </c>
      <c r="B111" s="58"/>
      <c r="C111" s="58"/>
      <c r="D111" s="58"/>
      <c r="E111" s="58"/>
      <c r="F111" s="58"/>
      <c r="G111" s="58"/>
      <c r="H111" s="58"/>
      <c r="I111" s="58"/>
      <c r="J111" s="58"/>
      <c r="K111" s="58"/>
      <c r="L111" s="58"/>
      <c r="M111" s="58"/>
      <c r="N111" s="58"/>
      <c r="O111" s="58"/>
      <c r="P111" s="58"/>
    </row>
    <row r="112" spans="1:17" ht="15.6">
      <c r="A112" s="181" t="s">
        <v>20</v>
      </c>
      <c r="B112" s="181" t="s">
        <v>21</v>
      </c>
      <c r="C112" s="181" t="s">
        <v>186</v>
      </c>
      <c r="D112" s="181" t="s">
        <v>18</v>
      </c>
      <c r="E112" s="181" t="s">
        <v>22</v>
      </c>
      <c r="F112" s="181" t="s">
        <v>7</v>
      </c>
      <c r="G112" s="181" t="s">
        <v>13</v>
      </c>
      <c r="H112" s="181" t="s">
        <v>16</v>
      </c>
      <c r="I112" s="181" t="s">
        <v>23</v>
      </c>
      <c r="J112" s="181" t="s">
        <v>24</v>
      </c>
      <c r="K112" s="181" t="s">
        <v>25</v>
      </c>
      <c r="L112" s="181" t="s">
        <v>26</v>
      </c>
      <c r="M112" s="181" t="s">
        <v>27</v>
      </c>
      <c r="N112" s="181" t="s">
        <v>28</v>
      </c>
      <c r="O112" s="181" t="s">
        <v>11</v>
      </c>
      <c r="P112" s="181" t="s">
        <v>187</v>
      </c>
    </row>
    <row r="113" spans="1:16" ht="15.6">
      <c r="A113" s="180" t="str">
        <f>B103</f>
        <v>treatment of rubber and cellulose fibre powerplant, SOFC-bat, Long-Term</v>
      </c>
      <c r="B113" s="180">
        <v>1</v>
      </c>
      <c r="C113" s="180"/>
      <c r="D113" s="180" t="s">
        <v>37</v>
      </c>
      <c r="E113" s="58" t="s">
        <v>2</v>
      </c>
      <c r="F113" s="58" t="s">
        <v>261</v>
      </c>
      <c r="G113" s="180" t="s">
        <v>59</v>
      </c>
      <c r="H113" s="58" t="s">
        <v>30</v>
      </c>
      <c r="I113" s="58">
        <v>0</v>
      </c>
      <c r="J113" s="180" t="s">
        <v>31</v>
      </c>
      <c r="K113" s="180" t="s">
        <v>31</v>
      </c>
      <c r="L113" s="180" t="s">
        <v>31</v>
      </c>
      <c r="M113" s="180" t="s">
        <v>31</v>
      </c>
      <c r="N113" s="180" t="s">
        <v>31</v>
      </c>
      <c r="O113" s="58" t="s">
        <v>303</v>
      </c>
    </row>
    <row r="114" spans="1:16" ht="15.6">
      <c r="A114" s="84" t="s">
        <v>223</v>
      </c>
      <c r="B114" s="58">
        <f>-1</f>
        <v>-1</v>
      </c>
      <c r="D114" t="s">
        <v>37</v>
      </c>
      <c r="E114" s="188" t="s">
        <v>40</v>
      </c>
      <c r="F114" s="58" t="s">
        <v>261</v>
      </c>
      <c r="G114" t="s">
        <v>82</v>
      </c>
      <c r="H114" t="s">
        <v>33</v>
      </c>
      <c r="I114" s="58">
        <v>0</v>
      </c>
      <c r="J114" s="180" t="s">
        <v>31</v>
      </c>
      <c r="K114" s="180" t="s">
        <v>31</v>
      </c>
      <c r="L114" s="180" t="s">
        <v>31</v>
      </c>
      <c r="M114" s="180" t="s">
        <v>31</v>
      </c>
      <c r="N114" s="180" t="s">
        <v>31</v>
      </c>
      <c r="O114" s="180"/>
    </row>
    <row r="115" spans="1:16" s="185" customFormat="1" ht="15.6">
      <c r="A115" s="182" t="s">
        <v>5</v>
      </c>
      <c r="B115" s="182" t="s">
        <v>304</v>
      </c>
      <c r="C115" s="182"/>
      <c r="D115" s="183"/>
      <c r="E115" s="184"/>
      <c r="F115" s="184"/>
      <c r="G115" s="184"/>
      <c r="H115" s="184"/>
      <c r="I115" s="184"/>
      <c r="J115" s="184"/>
      <c r="K115" s="184"/>
      <c r="L115" s="184"/>
      <c r="M115" s="184"/>
      <c r="N115" s="184"/>
      <c r="O115" s="184"/>
      <c r="P115" s="184"/>
    </row>
    <row r="116" spans="1:16">
      <c r="A116" s="58" t="s">
        <v>7</v>
      </c>
      <c r="B116" s="58" t="s">
        <v>261</v>
      </c>
      <c r="C116" s="58"/>
      <c r="D116" s="58"/>
      <c r="E116" s="58"/>
      <c r="F116" s="58"/>
      <c r="G116" s="58"/>
      <c r="H116" s="58"/>
      <c r="I116" s="58"/>
      <c r="J116" s="58"/>
      <c r="K116" s="58"/>
      <c r="L116" s="58"/>
      <c r="M116" s="58"/>
      <c r="N116" s="58"/>
      <c r="O116" s="58"/>
      <c r="P116" s="58"/>
    </row>
    <row r="117" spans="1:16">
      <c r="A117" s="58" t="s">
        <v>9</v>
      </c>
      <c r="B117" s="201" t="s">
        <v>305</v>
      </c>
      <c r="C117" s="58"/>
      <c r="D117" s="58"/>
      <c r="E117" s="58"/>
      <c r="F117" s="58"/>
      <c r="G117" s="58"/>
      <c r="H117" s="58"/>
      <c r="I117" s="58"/>
      <c r="J117" s="58"/>
      <c r="K117" s="58"/>
      <c r="L117" s="58"/>
      <c r="M117" s="58"/>
      <c r="N117" s="58"/>
      <c r="O117" s="58"/>
      <c r="P117" s="58"/>
    </row>
    <row r="118" spans="1:16">
      <c r="A118" s="58" t="s">
        <v>11</v>
      </c>
      <c r="B118" s="58" t="s">
        <v>263</v>
      </c>
      <c r="C118" s="58"/>
      <c r="D118" s="58"/>
      <c r="E118" s="58"/>
      <c r="F118" s="58"/>
      <c r="G118" s="58"/>
      <c r="H118" s="58"/>
      <c r="I118" s="58"/>
      <c r="J118" s="58"/>
      <c r="K118" s="58"/>
      <c r="L118" s="58"/>
      <c r="M118" s="58"/>
      <c r="N118" s="58"/>
      <c r="O118" s="58"/>
      <c r="P118" s="58"/>
    </row>
    <row r="119" spans="1:16">
      <c r="A119" s="58" t="s">
        <v>13</v>
      </c>
      <c r="B119" s="58" t="s">
        <v>59</v>
      </c>
      <c r="C119" s="58"/>
      <c r="D119" s="58"/>
      <c r="E119" s="58"/>
      <c r="F119" s="58"/>
      <c r="G119" s="58"/>
      <c r="H119" s="58"/>
      <c r="I119" s="58"/>
      <c r="J119" s="58"/>
      <c r="K119" s="58"/>
      <c r="L119" s="58"/>
      <c r="M119" s="58"/>
      <c r="N119" s="58"/>
      <c r="O119" s="58"/>
      <c r="P119" s="58"/>
    </row>
    <row r="120" spans="1:16">
      <c r="A120" s="58" t="s">
        <v>15</v>
      </c>
      <c r="B120" s="58">
        <v>1</v>
      </c>
      <c r="C120" s="58"/>
      <c r="D120" s="58"/>
      <c r="E120" s="58"/>
      <c r="F120" s="58"/>
      <c r="G120" s="58"/>
      <c r="H120" s="58"/>
      <c r="I120" s="58"/>
      <c r="J120" s="58"/>
      <c r="K120" s="58"/>
      <c r="L120" s="58"/>
      <c r="M120" s="58"/>
      <c r="N120" s="58"/>
      <c r="O120" s="58"/>
      <c r="P120" s="58"/>
    </row>
    <row r="121" spans="1:16">
      <c r="A121" s="58" t="s">
        <v>16</v>
      </c>
      <c r="B121" s="58" t="s">
        <v>17</v>
      </c>
      <c r="C121" s="58"/>
      <c r="D121" s="58"/>
      <c r="E121" s="58"/>
      <c r="F121" s="58"/>
      <c r="G121" s="58"/>
      <c r="H121" s="58"/>
      <c r="I121" s="58"/>
      <c r="J121" s="58"/>
      <c r="K121" s="58"/>
      <c r="L121" s="58"/>
      <c r="M121" s="58"/>
      <c r="N121" s="58"/>
      <c r="O121" s="58"/>
      <c r="P121" s="58"/>
    </row>
    <row r="122" spans="1:16" ht="15.6">
      <c r="A122" s="58" t="s">
        <v>18</v>
      </c>
      <c r="B122" s="180" t="s">
        <v>18</v>
      </c>
      <c r="C122" s="58"/>
      <c r="D122" s="58"/>
      <c r="E122" s="58" t="s">
        <v>185</v>
      </c>
      <c r="F122" s="58"/>
      <c r="G122" s="58"/>
      <c r="H122" s="58"/>
      <c r="I122" s="58"/>
      <c r="J122" s="58"/>
      <c r="K122" s="58"/>
      <c r="L122" s="58"/>
      <c r="M122" s="58"/>
      <c r="N122" s="58"/>
      <c r="O122" s="58"/>
      <c r="P122" s="58"/>
    </row>
    <row r="123" spans="1:16" ht="15.6">
      <c r="A123" s="181" t="s">
        <v>19</v>
      </c>
      <c r="B123" s="58"/>
      <c r="C123" s="58"/>
      <c r="D123" s="58"/>
      <c r="E123" s="58"/>
      <c r="F123" s="58"/>
      <c r="G123" s="58"/>
      <c r="H123" s="58"/>
      <c r="I123" s="58"/>
      <c r="J123" s="58"/>
      <c r="K123" s="58"/>
      <c r="L123" s="58"/>
      <c r="M123" s="58"/>
      <c r="N123" s="58"/>
      <c r="O123" s="58"/>
      <c r="P123" s="58"/>
    </row>
    <row r="124" spans="1:16" ht="15.6">
      <c r="A124" s="181" t="s">
        <v>20</v>
      </c>
      <c r="B124" s="181" t="s">
        <v>21</v>
      </c>
      <c r="C124" s="181" t="s">
        <v>186</v>
      </c>
      <c r="D124" s="181" t="s">
        <v>18</v>
      </c>
      <c r="E124" s="181" t="s">
        <v>22</v>
      </c>
      <c r="F124" s="181" t="s">
        <v>7</v>
      </c>
      <c r="G124" s="181" t="s">
        <v>13</v>
      </c>
      <c r="H124" s="181" t="s">
        <v>16</v>
      </c>
      <c r="I124" s="181" t="s">
        <v>23</v>
      </c>
      <c r="J124" s="181" t="s">
        <v>24</v>
      </c>
      <c r="K124" s="181" t="s">
        <v>25</v>
      </c>
      <c r="L124" s="181" t="s">
        <v>26</v>
      </c>
      <c r="M124" s="181" t="s">
        <v>27</v>
      </c>
      <c r="N124" s="181" t="s">
        <v>28</v>
      </c>
      <c r="O124" s="181" t="s">
        <v>11</v>
      </c>
      <c r="P124" s="181" t="s">
        <v>187</v>
      </c>
    </row>
    <row r="125" spans="1:16" ht="15.6">
      <c r="A125" s="180" t="str">
        <f>B115</f>
        <v>treatment of powerplant, SOFC-bat, Long-Term</v>
      </c>
      <c r="B125" s="181">
        <v>1</v>
      </c>
      <c r="C125" s="180"/>
      <c r="D125" s="180" t="s">
        <v>18</v>
      </c>
      <c r="E125" s="58" t="s">
        <v>2</v>
      </c>
      <c r="F125" s="58" t="s">
        <v>261</v>
      </c>
      <c r="G125" s="180" t="s">
        <v>59</v>
      </c>
      <c r="H125" s="58" t="s">
        <v>30</v>
      </c>
      <c r="I125" s="58">
        <v>0</v>
      </c>
      <c r="J125" s="180" t="s">
        <v>31</v>
      </c>
      <c r="K125" s="180" t="s">
        <v>31</v>
      </c>
      <c r="L125" s="180" t="s">
        <v>31</v>
      </c>
      <c r="M125" s="180" t="s">
        <v>31</v>
      </c>
      <c r="N125" s="180" t="s">
        <v>31</v>
      </c>
      <c r="O125" s="181"/>
      <c r="P125" s="181"/>
    </row>
    <row r="126" spans="1:16" ht="15.6">
      <c r="A126" t="str">
        <f>B32</f>
        <v>treatment of aluminium,powerplant, SOFC-bat, Long-Term</v>
      </c>
      <c r="B126">
        <v>77.56</v>
      </c>
      <c r="D126" t="s">
        <v>37</v>
      </c>
      <c r="E126" s="58" t="s">
        <v>2</v>
      </c>
      <c r="F126" s="58" t="s">
        <v>261</v>
      </c>
      <c r="G126" s="180" t="s">
        <v>59</v>
      </c>
      <c r="H126" t="s">
        <v>33</v>
      </c>
      <c r="I126" s="58">
        <v>0</v>
      </c>
      <c r="J126" s="180" t="s">
        <v>31</v>
      </c>
      <c r="K126" s="180" t="s">
        <v>31</v>
      </c>
      <c r="L126" s="180" t="s">
        <v>31</v>
      </c>
      <c r="M126" s="180" t="s">
        <v>31</v>
      </c>
      <c r="N126" s="180" t="s">
        <v>31</v>
      </c>
    </row>
    <row r="127" spans="1:16" ht="15.6">
      <c r="A127" t="str">
        <f>'airframe EoL LCI'!B32</f>
        <v>treatment of steel, wing, airframe, SOFC-bat, Long-Term</v>
      </c>
      <c r="B127">
        <v>64.742990000000006</v>
      </c>
      <c r="D127" t="s">
        <v>37</v>
      </c>
      <c r="E127" s="58" t="s">
        <v>2</v>
      </c>
      <c r="F127" s="58" t="s">
        <v>261</v>
      </c>
      <c r="G127" s="180" t="s">
        <v>59</v>
      </c>
      <c r="H127" t="s">
        <v>33</v>
      </c>
      <c r="I127" s="58">
        <v>0</v>
      </c>
      <c r="J127" s="180" t="s">
        <v>31</v>
      </c>
      <c r="K127" s="180" t="s">
        <v>31</v>
      </c>
      <c r="L127" s="180" t="s">
        <v>31</v>
      </c>
      <c r="M127" s="180" t="s">
        <v>31</v>
      </c>
      <c r="N127" s="180" t="s">
        <v>31</v>
      </c>
    </row>
    <row r="128" spans="1:16" ht="15.6">
      <c r="A128" t="str">
        <f>B17</f>
        <v>treatment of CFRP,powerplant, SOFC-bat, Long-Term</v>
      </c>
      <c r="B128">
        <v>37.950000000000003</v>
      </c>
      <c r="D128" t="s">
        <v>37</v>
      </c>
      <c r="E128" s="58" t="s">
        <v>2</v>
      </c>
      <c r="F128" s="58" t="s">
        <v>261</v>
      </c>
      <c r="G128" s="180" t="s">
        <v>59</v>
      </c>
      <c r="H128" t="s">
        <v>33</v>
      </c>
      <c r="I128" s="58">
        <v>0</v>
      </c>
      <c r="J128" s="180" t="s">
        <v>31</v>
      </c>
      <c r="K128" s="180" t="s">
        <v>31</v>
      </c>
      <c r="L128" s="180" t="s">
        <v>31</v>
      </c>
      <c r="M128" s="180" t="s">
        <v>31</v>
      </c>
      <c r="N128" s="180" t="s">
        <v>31</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2E5D9-3A9D-44B6-A93B-C8B97A968659}">
  <sheetPr>
    <tabColor theme="9"/>
  </sheetPr>
  <dimension ref="A1:V249"/>
  <sheetViews>
    <sheetView topLeftCell="A206" zoomScale="85" zoomScaleNormal="85" workbookViewId="0">
      <selection activeCell="B5" sqref="B5"/>
    </sheetView>
  </sheetViews>
  <sheetFormatPr defaultRowHeight="14.45"/>
  <cols>
    <col min="1" max="1" width="79.5703125" bestFit="1" customWidth="1"/>
    <col min="5" max="5" width="32.7109375" bestFit="1" customWidth="1"/>
    <col min="6" max="6" width="30.5703125" bestFit="1" customWidth="1"/>
  </cols>
  <sheetData>
    <row r="1" spans="1:16" ht="17.25" customHeight="1">
      <c r="A1" t="s">
        <v>0</v>
      </c>
      <c r="B1">
        <v>14</v>
      </c>
    </row>
    <row r="2" spans="1:16" s="73" customFormat="1" ht="15.6">
      <c r="A2" s="178" t="s">
        <v>5</v>
      </c>
      <c r="B2" s="178" t="s">
        <v>306</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201" t="s">
        <v>307</v>
      </c>
      <c r="C4" s="58"/>
      <c r="D4" s="58"/>
      <c r="E4" s="58"/>
      <c r="F4" s="58"/>
      <c r="G4" s="58"/>
      <c r="H4" s="58"/>
      <c r="I4" s="58"/>
      <c r="J4" s="58"/>
      <c r="K4" s="58"/>
      <c r="L4" s="58"/>
      <c r="M4" s="58"/>
      <c r="N4" s="58"/>
      <c r="O4" s="58"/>
      <c r="P4" s="58"/>
    </row>
    <row r="5" spans="1:16">
      <c r="A5" s="58" t="s">
        <v>11</v>
      </c>
      <c r="B5" s="58" t="s">
        <v>308</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 wing, airframe, SOFC-bat, Long-Term</v>
      </c>
      <c r="B12" s="180">
        <v>1</v>
      </c>
      <c r="C12" s="180"/>
      <c r="D12" s="180" t="s">
        <v>37</v>
      </c>
      <c r="E12" s="58" t="s">
        <v>2</v>
      </c>
      <c r="F12" s="58" t="s">
        <v>309</v>
      </c>
      <c r="G12" s="180" t="s">
        <v>59</v>
      </c>
      <c r="H12" s="58" t="s">
        <v>30</v>
      </c>
      <c r="I12" s="58">
        <v>0</v>
      </c>
      <c r="J12" s="180" t="s">
        <v>31</v>
      </c>
      <c r="K12" s="180" t="s">
        <v>31</v>
      </c>
      <c r="L12" s="180" t="s">
        <v>31</v>
      </c>
      <c r="M12" s="180" t="s">
        <v>31</v>
      </c>
      <c r="N12" s="180" t="s">
        <v>31</v>
      </c>
      <c r="O12" s="180" t="s">
        <v>310</v>
      </c>
      <c r="P12" s="58"/>
    </row>
    <row r="13" spans="1:16" ht="15.6">
      <c r="A13" t="s">
        <v>201</v>
      </c>
      <c r="B13" s="23">
        <v>0.7</v>
      </c>
      <c r="C13" s="180"/>
      <c r="D13" s="180" t="s">
        <v>37</v>
      </c>
      <c r="E13" s="37" t="s">
        <v>40</v>
      </c>
      <c r="F13" s="58" t="s">
        <v>309</v>
      </c>
      <c r="G13" s="180" t="s">
        <v>82</v>
      </c>
      <c r="H13" s="58" t="s">
        <v>33</v>
      </c>
      <c r="I13" s="58">
        <v>0</v>
      </c>
      <c r="J13" s="180" t="s">
        <v>31</v>
      </c>
      <c r="K13" s="180" t="s">
        <v>31</v>
      </c>
      <c r="L13" s="180" t="s">
        <v>31</v>
      </c>
      <c r="M13" s="180" t="s">
        <v>31</v>
      </c>
      <c r="N13" s="180" t="s">
        <v>31</v>
      </c>
      <c r="O13" s="58"/>
      <c r="P13" s="58"/>
    </row>
    <row r="14" spans="1:16" ht="15.6">
      <c r="A14" t="s">
        <v>202</v>
      </c>
      <c r="B14" s="23">
        <v>0.7</v>
      </c>
      <c r="C14" s="22" t="s">
        <v>203</v>
      </c>
      <c r="D14" t="s">
        <v>37</v>
      </c>
      <c r="E14" s="188" t="s">
        <v>40</v>
      </c>
      <c r="F14" s="58" t="s">
        <v>309</v>
      </c>
      <c r="G14" t="s">
        <v>82</v>
      </c>
      <c r="H14" s="58" t="s">
        <v>33</v>
      </c>
      <c r="I14" s="58">
        <v>0</v>
      </c>
      <c r="J14" s="180" t="s">
        <v>31</v>
      </c>
      <c r="K14" s="180" t="s">
        <v>31</v>
      </c>
      <c r="L14" s="180" t="s">
        <v>31</v>
      </c>
      <c r="M14" s="180" t="s">
        <v>31</v>
      </c>
      <c r="N14" s="180" t="s">
        <v>31</v>
      </c>
      <c r="O14" s="180" t="s">
        <v>287</v>
      </c>
    </row>
    <row r="15" spans="1:16" ht="15.6">
      <c r="A15" t="s">
        <v>205</v>
      </c>
      <c r="B15" s="23">
        <f>0.7*0.9</f>
        <v>0.63</v>
      </c>
      <c r="D15" t="s">
        <v>37</v>
      </c>
      <c r="E15" s="188" t="s">
        <v>40</v>
      </c>
      <c r="F15" s="58" t="s">
        <v>309</v>
      </c>
      <c r="G15" t="s">
        <v>59</v>
      </c>
      <c r="H15" s="58" t="s">
        <v>136</v>
      </c>
      <c r="I15" s="58">
        <v>0</v>
      </c>
      <c r="J15" s="180" t="s">
        <v>31</v>
      </c>
      <c r="K15" s="180" t="s">
        <v>31</v>
      </c>
      <c r="L15" s="180" t="s">
        <v>31</v>
      </c>
      <c r="M15" s="180" t="s">
        <v>31</v>
      </c>
      <c r="N15" s="180" t="s">
        <v>31</v>
      </c>
      <c r="O15" s="58"/>
      <c r="P15" s="180" t="s">
        <v>311</v>
      </c>
    </row>
    <row r="16" spans="1:16" ht="15.6">
      <c r="A16" t="s">
        <v>210</v>
      </c>
      <c r="B16" s="23">
        <f>-(1-B15)</f>
        <v>-0.37</v>
      </c>
      <c r="D16" t="s">
        <v>37</v>
      </c>
      <c r="E16" s="84" t="s">
        <v>40</v>
      </c>
      <c r="F16" s="58" t="s">
        <v>309</v>
      </c>
      <c r="G16" t="s">
        <v>59</v>
      </c>
      <c r="H16" t="s">
        <v>33</v>
      </c>
      <c r="I16">
        <v>0</v>
      </c>
      <c r="J16" t="s">
        <v>31</v>
      </c>
      <c r="K16" t="s">
        <v>31</v>
      </c>
      <c r="L16" t="s">
        <v>31</v>
      </c>
      <c r="M16" t="s">
        <v>31</v>
      </c>
      <c r="N16" t="s">
        <v>31</v>
      </c>
      <c r="O16" s="17"/>
      <c r="P16" s="58"/>
    </row>
    <row r="17" spans="1:16" s="73" customFormat="1" ht="15.6">
      <c r="A17" s="178" t="s">
        <v>5</v>
      </c>
      <c r="B17" s="178" t="s">
        <v>312</v>
      </c>
      <c r="C17" s="178"/>
      <c r="D17" s="74"/>
      <c r="E17" s="150"/>
      <c r="F17" s="150"/>
      <c r="G17" s="150"/>
      <c r="H17" s="150"/>
      <c r="I17" s="150"/>
      <c r="J17" s="150"/>
      <c r="K17" s="150"/>
      <c r="L17" s="150"/>
      <c r="M17" s="150"/>
      <c r="N17" s="150"/>
      <c r="O17" s="150"/>
      <c r="P17" s="150"/>
    </row>
    <row r="18" spans="1:16">
      <c r="A18" s="58" t="s">
        <v>7</v>
      </c>
      <c r="B18" s="58" t="s">
        <v>261</v>
      </c>
      <c r="C18" s="58"/>
      <c r="D18" s="58"/>
      <c r="E18" s="58"/>
      <c r="F18" s="58"/>
      <c r="G18" s="58"/>
      <c r="H18" s="58"/>
      <c r="I18" s="58"/>
      <c r="J18" s="58"/>
      <c r="K18" s="58"/>
      <c r="L18" s="58"/>
      <c r="M18" s="58"/>
      <c r="N18" s="58"/>
      <c r="O18" s="58"/>
      <c r="P18" s="58"/>
    </row>
    <row r="19" spans="1:16">
      <c r="A19" s="58" t="s">
        <v>9</v>
      </c>
      <c r="B19" s="201" t="s">
        <v>313</v>
      </c>
      <c r="C19" s="58"/>
      <c r="D19" s="58"/>
      <c r="E19" s="58"/>
      <c r="F19" s="58"/>
      <c r="G19" s="58"/>
      <c r="H19" s="58"/>
      <c r="I19" s="58"/>
      <c r="J19" s="58"/>
      <c r="K19" s="58"/>
      <c r="L19" s="58"/>
      <c r="M19" s="58"/>
      <c r="N19" s="58"/>
      <c r="O19" s="58"/>
      <c r="P19" s="58"/>
    </row>
    <row r="20" spans="1:16">
      <c r="A20" s="58" t="s">
        <v>11</v>
      </c>
      <c r="B20" s="58" t="s">
        <v>308</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biofiber, wing, airframe, SOFC-bat, Long-Term</v>
      </c>
      <c r="B27" s="180">
        <v>1</v>
      </c>
      <c r="C27" s="180"/>
      <c r="D27" s="180" t="s">
        <v>37</v>
      </c>
      <c r="E27" s="58" t="s">
        <v>2</v>
      </c>
      <c r="F27" s="58" t="s">
        <v>309</v>
      </c>
      <c r="G27" s="180" t="s">
        <v>59</v>
      </c>
      <c r="H27" s="58" t="s">
        <v>30</v>
      </c>
      <c r="I27" s="58">
        <v>0</v>
      </c>
      <c r="J27" s="180" t="s">
        <v>31</v>
      </c>
      <c r="K27" s="180" t="s">
        <v>31</v>
      </c>
      <c r="L27" s="180" t="s">
        <v>31</v>
      </c>
      <c r="M27" s="180" t="s">
        <v>31</v>
      </c>
      <c r="N27" s="180" t="s">
        <v>31</v>
      </c>
      <c r="O27" s="180" t="s">
        <v>314</v>
      </c>
      <c r="P27" s="58"/>
    </row>
    <row r="28" spans="1:16" ht="15.6">
      <c r="A28" s="84" t="s">
        <v>216</v>
      </c>
      <c r="B28">
        <v>-0.5</v>
      </c>
      <c r="D28" t="s">
        <v>37</v>
      </c>
      <c r="E28" s="188" t="s">
        <v>40</v>
      </c>
      <c r="F28" s="58" t="s">
        <v>309</v>
      </c>
      <c r="G28" t="s">
        <v>82</v>
      </c>
      <c r="H28" t="s">
        <v>33</v>
      </c>
      <c r="I28" s="58">
        <v>0</v>
      </c>
      <c r="J28" s="180" t="s">
        <v>31</v>
      </c>
      <c r="K28" s="180" t="s">
        <v>31</v>
      </c>
      <c r="L28" s="180" t="s">
        <v>31</v>
      </c>
      <c r="M28" s="180" t="s">
        <v>31</v>
      </c>
      <c r="N28" s="180" t="s">
        <v>31</v>
      </c>
      <c r="O28" s="180" t="s">
        <v>217</v>
      </c>
      <c r="P28" s="180" t="s">
        <v>279</v>
      </c>
    </row>
    <row r="29" spans="1:16" ht="15.6">
      <c r="A29" t="s">
        <v>38</v>
      </c>
      <c r="B29">
        <f>B30*0.277777777</f>
        <v>2.415277771015</v>
      </c>
      <c r="D29" t="s">
        <v>39</v>
      </c>
      <c r="E29" s="188" t="s">
        <v>40</v>
      </c>
      <c r="F29" s="58" t="s">
        <v>309</v>
      </c>
      <c r="G29" t="s">
        <v>59</v>
      </c>
      <c r="H29" s="58" t="s">
        <v>136</v>
      </c>
      <c r="I29" s="58">
        <v>0</v>
      </c>
      <c r="J29" s="180" t="s">
        <v>31</v>
      </c>
      <c r="K29" s="180" t="s">
        <v>31</v>
      </c>
      <c r="L29" s="180" t="s">
        <v>31</v>
      </c>
      <c r="M29" s="180" t="s">
        <v>31</v>
      </c>
      <c r="N29" s="180" t="s">
        <v>31</v>
      </c>
      <c r="O29" t="s">
        <v>280</v>
      </c>
    </row>
    <row r="30" spans="1:16" ht="15.6">
      <c r="A30" t="s">
        <v>70</v>
      </c>
      <c r="B30">
        <f>-B28*0.5*34.78</f>
        <v>8.6950000000000003</v>
      </c>
      <c r="D30" t="s">
        <v>71</v>
      </c>
      <c r="E30" s="188" t="s">
        <v>40</v>
      </c>
      <c r="F30" s="58" t="s">
        <v>309</v>
      </c>
      <c r="G30" t="s">
        <v>59</v>
      </c>
      <c r="H30" s="58" t="s">
        <v>136</v>
      </c>
      <c r="I30" s="58">
        <v>0</v>
      </c>
      <c r="J30" s="180" t="s">
        <v>31</v>
      </c>
      <c r="K30" s="180" t="s">
        <v>31</v>
      </c>
      <c r="L30" s="180" t="s">
        <v>31</v>
      </c>
      <c r="M30" s="180" t="s">
        <v>31</v>
      </c>
      <c r="N30" s="180" t="s">
        <v>31</v>
      </c>
      <c r="O30" t="s">
        <v>315</v>
      </c>
    </row>
    <row r="31" spans="1:16" ht="15.6">
      <c r="A31" s="84" t="s">
        <v>282</v>
      </c>
      <c r="B31">
        <v>-0.5</v>
      </c>
      <c r="D31" t="s">
        <v>37</v>
      </c>
      <c r="E31" s="188" t="s">
        <v>40</v>
      </c>
      <c r="F31" s="58" t="s">
        <v>309</v>
      </c>
      <c r="G31" t="s">
        <v>82</v>
      </c>
      <c r="H31" s="58" t="s">
        <v>33</v>
      </c>
      <c r="I31" s="58">
        <v>0</v>
      </c>
      <c r="J31" s="180" t="s">
        <v>31</v>
      </c>
      <c r="K31" s="180" t="s">
        <v>31</v>
      </c>
      <c r="L31" s="180" t="s">
        <v>31</v>
      </c>
      <c r="M31" s="180" t="s">
        <v>31</v>
      </c>
      <c r="N31" s="180" t="s">
        <v>31</v>
      </c>
      <c r="O31" s="180" t="s">
        <v>283</v>
      </c>
    </row>
    <row r="32" spans="1:16" s="73" customFormat="1" ht="15.6">
      <c r="A32" s="178" t="s">
        <v>5</v>
      </c>
      <c r="B32" s="178" t="s">
        <v>316</v>
      </c>
      <c r="C32" s="178"/>
      <c r="D32" s="74"/>
      <c r="E32" s="150"/>
      <c r="F32" s="150"/>
      <c r="G32" s="150"/>
      <c r="H32" s="150"/>
      <c r="I32" s="150"/>
      <c r="J32" s="150"/>
      <c r="K32" s="150"/>
      <c r="L32" s="150"/>
      <c r="M32" s="150"/>
      <c r="N32" s="150"/>
      <c r="O32" s="150"/>
      <c r="P32" s="150"/>
    </row>
    <row r="33" spans="1:16">
      <c r="A33" s="58" t="s">
        <v>7</v>
      </c>
      <c r="B33" s="58" t="s">
        <v>261</v>
      </c>
      <c r="C33" s="58"/>
      <c r="D33" s="58"/>
      <c r="E33" s="58"/>
      <c r="F33" s="58"/>
      <c r="G33" s="58"/>
      <c r="H33" s="58"/>
      <c r="I33" s="58"/>
      <c r="J33" s="58"/>
      <c r="K33" s="58"/>
      <c r="L33" s="58"/>
      <c r="M33" s="58"/>
      <c r="N33" s="58"/>
      <c r="O33" s="58"/>
      <c r="P33" s="58"/>
    </row>
    <row r="34" spans="1:16">
      <c r="A34" s="58" t="s">
        <v>9</v>
      </c>
      <c r="B34" s="201" t="s">
        <v>317</v>
      </c>
      <c r="C34" s="58"/>
      <c r="D34" s="58"/>
      <c r="E34" s="58"/>
      <c r="F34" s="58"/>
      <c r="G34" s="58"/>
      <c r="H34" s="58"/>
      <c r="I34" s="58"/>
      <c r="J34" s="58"/>
      <c r="K34" s="58"/>
      <c r="L34" s="58"/>
      <c r="M34" s="58"/>
      <c r="N34" s="58"/>
      <c r="O34" s="58"/>
      <c r="P34" s="58"/>
    </row>
    <row r="35" spans="1:16">
      <c r="A35" s="58" t="s">
        <v>11</v>
      </c>
      <c r="B35" s="58" t="s">
        <v>308</v>
      </c>
      <c r="C35" s="58"/>
      <c r="D35" s="58"/>
      <c r="E35" s="58"/>
      <c r="F35" s="58"/>
      <c r="G35" s="58"/>
      <c r="H35" s="58"/>
      <c r="I35" s="58"/>
      <c r="J35" s="58"/>
      <c r="K35" s="58"/>
      <c r="L35" s="58"/>
      <c r="M35" s="58"/>
      <c r="N35" s="58"/>
      <c r="O35" s="58"/>
      <c r="P35" s="58"/>
    </row>
    <row r="36" spans="1:16">
      <c r="A36" s="58" t="s">
        <v>13</v>
      </c>
      <c r="B36" s="58" t="s">
        <v>59</v>
      </c>
      <c r="C36" s="58"/>
      <c r="D36" s="58"/>
      <c r="E36" s="58"/>
      <c r="F36" s="58"/>
      <c r="G36" s="58"/>
      <c r="H36" s="58"/>
      <c r="I36" s="58"/>
      <c r="J36" s="58"/>
      <c r="K36" s="58"/>
      <c r="L36" s="58"/>
      <c r="M36" s="58"/>
      <c r="N36" s="58"/>
      <c r="O36" s="58"/>
      <c r="P36" s="58"/>
    </row>
    <row r="37" spans="1:16">
      <c r="A37" s="58" t="s">
        <v>15</v>
      </c>
      <c r="B37" s="58">
        <v>1</v>
      </c>
      <c r="C37" s="58"/>
      <c r="D37" s="58"/>
      <c r="E37" s="58"/>
      <c r="F37" s="58"/>
      <c r="G37" s="58"/>
      <c r="H37" s="58"/>
      <c r="I37" s="58"/>
      <c r="J37" s="58"/>
      <c r="K37" s="58"/>
      <c r="L37" s="58"/>
      <c r="M37" s="58"/>
      <c r="N37" s="58"/>
      <c r="O37" s="58"/>
      <c r="P37" s="58"/>
    </row>
    <row r="38" spans="1:16">
      <c r="A38" s="58" t="s">
        <v>16</v>
      </c>
      <c r="B38" s="58" t="s">
        <v>17</v>
      </c>
      <c r="C38" s="58"/>
      <c r="D38" s="58"/>
      <c r="E38" s="58"/>
      <c r="F38" s="58"/>
      <c r="G38" s="58"/>
      <c r="H38" s="58"/>
      <c r="I38" s="58"/>
      <c r="J38" s="58"/>
      <c r="K38" s="58"/>
      <c r="L38" s="58"/>
      <c r="M38" s="58"/>
      <c r="N38" s="58"/>
      <c r="O38" s="58"/>
      <c r="P38" s="58"/>
    </row>
    <row r="39" spans="1:16" ht="15.6">
      <c r="A39" s="58" t="s">
        <v>18</v>
      </c>
      <c r="B39" s="180" t="s">
        <v>37</v>
      </c>
      <c r="C39" s="58"/>
      <c r="D39" s="58"/>
      <c r="E39" s="58" t="s">
        <v>185</v>
      </c>
      <c r="F39" s="58"/>
      <c r="G39" s="58"/>
      <c r="H39" s="58"/>
      <c r="I39" s="58"/>
      <c r="J39" s="58"/>
      <c r="K39" s="58"/>
      <c r="L39" s="58"/>
      <c r="M39" s="58"/>
      <c r="N39" s="58"/>
      <c r="O39" s="58"/>
      <c r="P39" s="58"/>
    </row>
    <row r="40" spans="1:16" ht="15.6">
      <c r="A40" s="181" t="s">
        <v>19</v>
      </c>
      <c r="B40" s="58"/>
      <c r="C40" s="58"/>
      <c r="D40" s="58"/>
      <c r="E40" s="58"/>
      <c r="F40" s="58"/>
      <c r="G40" s="58"/>
      <c r="H40" s="58"/>
      <c r="I40" s="58"/>
      <c r="J40" s="58"/>
      <c r="K40" s="58"/>
      <c r="L40" s="58"/>
      <c r="M40" s="58"/>
      <c r="N40" s="58"/>
      <c r="O40" s="58"/>
      <c r="P40" s="58"/>
    </row>
    <row r="41" spans="1:16" ht="15.6">
      <c r="A41" s="181" t="s">
        <v>20</v>
      </c>
      <c r="B41" s="181" t="s">
        <v>21</v>
      </c>
      <c r="C41" s="181" t="s">
        <v>186</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187</v>
      </c>
    </row>
    <row r="42" spans="1:16" ht="15.6">
      <c r="A42" s="180" t="str">
        <f>B32</f>
        <v>treatment of steel, wing, airframe, SOFC-bat, Long-Term</v>
      </c>
      <c r="B42" s="180">
        <v>1</v>
      </c>
      <c r="C42" s="180"/>
      <c r="D42" s="180" t="s">
        <v>37</v>
      </c>
      <c r="E42" s="58" t="s">
        <v>2</v>
      </c>
      <c r="F42" s="58" t="s">
        <v>309</v>
      </c>
      <c r="G42" s="180" t="s">
        <v>59</v>
      </c>
      <c r="H42" s="58" t="s">
        <v>30</v>
      </c>
      <c r="I42" s="58">
        <v>0</v>
      </c>
      <c r="J42" s="180" t="s">
        <v>31</v>
      </c>
      <c r="K42" s="180" t="s">
        <v>31</v>
      </c>
      <c r="L42" s="180" t="s">
        <v>31</v>
      </c>
      <c r="M42" s="180" t="s">
        <v>31</v>
      </c>
      <c r="N42" s="180" t="s">
        <v>31</v>
      </c>
      <c r="O42" s="180" t="s">
        <v>318</v>
      </c>
      <c r="P42" s="58"/>
    </row>
    <row r="43" spans="1:16" ht="15.6">
      <c r="A43" t="s">
        <v>135</v>
      </c>
      <c r="B43" s="23">
        <v>0.75</v>
      </c>
      <c r="C43" s="180"/>
      <c r="D43" s="180" t="s">
        <v>37</v>
      </c>
      <c r="E43" s="84" t="s">
        <v>40</v>
      </c>
      <c r="F43" s="58" t="s">
        <v>309</v>
      </c>
      <c r="G43" s="180" t="s">
        <v>82</v>
      </c>
      <c r="H43" s="58" t="s">
        <v>33</v>
      </c>
      <c r="I43" s="58">
        <v>0</v>
      </c>
      <c r="J43" s="180" t="s">
        <v>31</v>
      </c>
      <c r="K43" s="180" t="s">
        <v>31</v>
      </c>
      <c r="L43" s="180" t="s">
        <v>31</v>
      </c>
      <c r="M43" s="180" t="s">
        <v>31</v>
      </c>
      <c r="N43" s="180" t="s">
        <v>31</v>
      </c>
      <c r="O43" s="58"/>
      <c r="P43" s="58"/>
    </row>
    <row r="44" spans="1:16" ht="15.6">
      <c r="A44" t="s">
        <v>237</v>
      </c>
      <c r="B44" s="23">
        <f>0.9*B43</f>
        <v>0.67500000000000004</v>
      </c>
      <c r="C44" s="180"/>
      <c r="D44" s="180" t="s">
        <v>37</v>
      </c>
      <c r="E44" s="84" t="s">
        <v>40</v>
      </c>
      <c r="F44" s="58" t="s">
        <v>309</v>
      </c>
      <c r="G44" s="180" t="s">
        <v>59</v>
      </c>
      <c r="H44" s="58" t="s">
        <v>136</v>
      </c>
      <c r="I44" s="58">
        <v>0</v>
      </c>
      <c r="J44" s="180" t="s">
        <v>31</v>
      </c>
      <c r="K44" s="180" t="s">
        <v>31</v>
      </c>
      <c r="L44" s="180" t="s">
        <v>31</v>
      </c>
      <c r="M44" s="180" t="s">
        <v>31</v>
      </c>
      <c r="N44" s="180" t="s">
        <v>31</v>
      </c>
      <c r="O44" s="58"/>
      <c r="P44" s="58" t="s">
        <v>206</v>
      </c>
    </row>
    <row r="45" spans="1:16" ht="16.5" customHeight="1">
      <c r="A45" t="s">
        <v>210</v>
      </c>
      <c r="B45" s="23">
        <f>-(1-B44)</f>
        <v>-0.32499999999999996</v>
      </c>
      <c r="D45" t="s">
        <v>37</v>
      </c>
      <c r="E45" s="84" t="s">
        <v>40</v>
      </c>
      <c r="F45" s="58" t="s">
        <v>309</v>
      </c>
      <c r="G45" t="s">
        <v>59</v>
      </c>
      <c r="H45" t="s">
        <v>33</v>
      </c>
      <c r="I45">
        <v>0</v>
      </c>
      <c r="J45" t="s">
        <v>31</v>
      </c>
      <c r="K45" t="s">
        <v>31</v>
      </c>
      <c r="L45" t="s">
        <v>31</v>
      </c>
      <c r="M45" t="s">
        <v>31</v>
      </c>
      <c r="N45" t="s">
        <v>31</v>
      </c>
      <c r="O45" s="17"/>
      <c r="P45" s="58" t="s">
        <v>319</v>
      </c>
    </row>
    <row r="46" spans="1:16" s="73" customFormat="1" ht="15.6">
      <c r="A46" s="178" t="s">
        <v>5</v>
      </c>
      <c r="B46" s="178" t="s">
        <v>320</v>
      </c>
      <c r="C46" s="178"/>
      <c r="D46" s="74"/>
      <c r="E46" s="150"/>
      <c r="F46" s="150"/>
      <c r="G46" s="150"/>
      <c r="H46" s="150"/>
      <c r="I46" s="150"/>
      <c r="J46" s="150"/>
      <c r="K46" s="150"/>
      <c r="L46" s="150"/>
      <c r="M46" s="150"/>
      <c r="N46" s="150"/>
      <c r="O46" s="150"/>
      <c r="P46" s="150"/>
    </row>
    <row r="47" spans="1:16">
      <c r="A47" s="58" t="s">
        <v>7</v>
      </c>
      <c r="B47" s="58" t="s">
        <v>261</v>
      </c>
      <c r="C47" s="58"/>
      <c r="D47" s="58"/>
      <c r="E47" s="58"/>
      <c r="F47" s="58"/>
      <c r="G47" s="58"/>
      <c r="H47" s="58"/>
      <c r="I47" s="58"/>
      <c r="J47" s="58"/>
      <c r="K47" s="58"/>
      <c r="L47" s="58"/>
      <c r="M47" s="58"/>
      <c r="N47" s="58"/>
      <c r="O47" s="58"/>
      <c r="P47" s="58"/>
    </row>
    <row r="48" spans="1:16">
      <c r="A48" s="58" t="s">
        <v>9</v>
      </c>
      <c r="B48" s="201" t="s">
        <v>321</v>
      </c>
      <c r="C48" s="58"/>
      <c r="D48" s="58"/>
      <c r="E48" s="58"/>
      <c r="F48" s="58"/>
      <c r="G48" s="58"/>
      <c r="H48" s="58"/>
      <c r="I48" s="58"/>
      <c r="J48" s="58"/>
      <c r="K48" s="58"/>
      <c r="L48" s="58"/>
      <c r="M48" s="58"/>
      <c r="N48" s="58"/>
      <c r="O48" s="58"/>
      <c r="P48" s="58"/>
    </row>
    <row r="49" spans="1:22">
      <c r="A49" s="58" t="s">
        <v>11</v>
      </c>
      <c r="B49" s="58" t="s">
        <v>308</v>
      </c>
      <c r="C49" s="58"/>
      <c r="D49" s="58"/>
      <c r="E49" s="58"/>
      <c r="F49" s="58"/>
      <c r="G49" s="58"/>
      <c r="H49" s="58"/>
      <c r="I49" s="58"/>
      <c r="J49" s="58"/>
      <c r="K49" s="58"/>
      <c r="L49" s="58"/>
      <c r="M49" s="58"/>
      <c r="N49" s="58"/>
      <c r="O49" s="58"/>
      <c r="P49" s="58"/>
    </row>
    <row r="50" spans="1:22">
      <c r="A50" s="58" t="s">
        <v>13</v>
      </c>
      <c r="B50" s="58" t="s">
        <v>59</v>
      </c>
      <c r="C50" s="58"/>
      <c r="D50" s="58"/>
      <c r="E50" s="58"/>
      <c r="F50" s="58"/>
      <c r="G50" s="58"/>
      <c r="H50" s="58"/>
      <c r="I50" s="58"/>
      <c r="J50" s="58"/>
      <c r="K50" s="58"/>
      <c r="L50" s="58"/>
      <c r="M50" s="58"/>
      <c r="N50" s="58"/>
      <c r="O50" s="58"/>
      <c r="P50" s="58"/>
    </row>
    <row r="51" spans="1:22">
      <c r="A51" s="58" t="s">
        <v>15</v>
      </c>
      <c r="B51" s="58">
        <v>1</v>
      </c>
      <c r="C51" s="58"/>
      <c r="D51" s="58"/>
      <c r="E51" s="58"/>
      <c r="F51" s="58"/>
      <c r="G51" s="58"/>
      <c r="H51" s="58"/>
      <c r="I51" s="58"/>
      <c r="J51" s="58"/>
      <c r="K51" s="58"/>
      <c r="L51" s="58"/>
      <c r="M51" s="58"/>
      <c r="N51" s="58"/>
      <c r="O51" s="58"/>
      <c r="P51" s="58"/>
    </row>
    <row r="52" spans="1:22">
      <c r="A52" s="58" t="s">
        <v>16</v>
      </c>
      <c r="B52" s="58" t="s">
        <v>17</v>
      </c>
      <c r="C52" s="58"/>
      <c r="D52" s="58"/>
      <c r="E52" s="58"/>
      <c r="F52" s="58"/>
      <c r="G52" s="58"/>
      <c r="H52" s="58"/>
      <c r="I52" s="58"/>
      <c r="J52" s="58"/>
      <c r="K52" s="58"/>
      <c r="L52" s="58"/>
      <c r="M52" s="58"/>
      <c r="N52" s="58"/>
      <c r="O52" s="58"/>
      <c r="P52" s="58"/>
    </row>
    <row r="53" spans="1:22" ht="15.6">
      <c r="A53" s="58" t="s">
        <v>18</v>
      </c>
      <c r="B53" s="180" t="s">
        <v>37</v>
      </c>
      <c r="C53" s="58"/>
      <c r="D53" s="58"/>
      <c r="E53" s="58" t="s">
        <v>185</v>
      </c>
      <c r="F53" s="58"/>
      <c r="G53" s="58"/>
      <c r="H53" s="58"/>
      <c r="I53" s="58"/>
      <c r="J53" s="58"/>
      <c r="K53" s="58"/>
      <c r="L53" s="58"/>
      <c r="M53" s="58"/>
      <c r="N53" s="58"/>
      <c r="O53" s="58"/>
      <c r="P53" s="58"/>
    </row>
    <row r="54" spans="1:22" ht="15.6">
      <c r="A54" s="181" t="s">
        <v>19</v>
      </c>
      <c r="B54" s="58"/>
      <c r="C54" s="58"/>
      <c r="D54" s="58"/>
      <c r="E54" s="58"/>
      <c r="F54" s="58"/>
      <c r="G54" s="58"/>
      <c r="H54" s="58"/>
      <c r="I54" s="58"/>
      <c r="J54" s="58"/>
      <c r="K54" s="58"/>
      <c r="L54" s="58"/>
      <c r="M54" s="58"/>
      <c r="N54" s="58"/>
      <c r="O54" s="58"/>
      <c r="P54" s="58"/>
    </row>
    <row r="55" spans="1:22" ht="15.6">
      <c r="A55" s="181" t="s">
        <v>20</v>
      </c>
      <c r="B55" s="181" t="s">
        <v>21</v>
      </c>
      <c r="C55" s="181" t="s">
        <v>186</v>
      </c>
      <c r="D55" s="181" t="s">
        <v>18</v>
      </c>
      <c r="E55" s="181" t="s">
        <v>22</v>
      </c>
      <c r="F55" s="181" t="s">
        <v>7</v>
      </c>
      <c r="G55" s="181" t="s">
        <v>13</v>
      </c>
      <c r="H55" s="181" t="s">
        <v>16</v>
      </c>
      <c r="I55" s="181" t="s">
        <v>23</v>
      </c>
      <c r="J55" s="181" t="s">
        <v>24</v>
      </c>
      <c r="K55" s="181" t="s">
        <v>25</v>
      </c>
      <c r="L55" s="181" t="s">
        <v>26</v>
      </c>
      <c r="M55" s="181" t="s">
        <v>27</v>
      </c>
      <c r="N55" s="181" t="s">
        <v>28</v>
      </c>
      <c r="O55" s="181" t="s">
        <v>11</v>
      </c>
      <c r="P55" s="181" t="s">
        <v>187</v>
      </c>
    </row>
    <row r="56" spans="1:22" ht="15.6">
      <c r="A56" s="180" t="str">
        <f>B46</f>
        <v>treatment of titanium, wing, airframe, SOFC-bat, Long-Term</v>
      </c>
      <c r="B56" s="180">
        <v>1</v>
      </c>
      <c r="C56" s="180"/>
      <c r="D56" s="180" t="s">
        <v>37</v>
      </c>
      <c r="E56" s="58" t="s">
        <v>2</v>
      </c>
      <c r="F56" s="58" t="s">
        <v>309</v>
      </c>
      <c r="G56" s="180" t="s">
        <v>59</v>
      </c>
      <c r="H56" s="58" t="s">
        <v>30</v>
      </c>
      <c r="I56" s="58">
        <v>0</v>
      </c>
      <c r="J56" s="180" t="s">
        <v>31</v>
      </c>
      <c r="K56" s="180" t="s">
        <v>31</v>
      </c>
      <c r="L56" s="180" t="s">
        <v>31</v>
      </c>
      <c r="M56" s="180" t="s">
        <v>31</v>
      </c>
      <c r="N56" s="180" t="s">
        <v>31</v>
      </c>
      <c r="O56" s="180" t="s">
        <v>318</v>
      </c>
      <c r="P56" s="58"/>
    </row>
    <row r="57" spans="1:22">
      <c r="A57" t="s">
        <v>265</v>
      </c>
      <c r="B57">
        <f>U57</f>
        <v>9.5000076</v>
      </c>
      <c r="D57" t="s">
        <v>39</v>
      </c>
      <c r="E57" t="s">
        <v>40</v>
      </c>
      <c r="F57" s="58" t="s">
        <v>309</v>
      </c>
      <c r="G57" t="s">
        <v>59</v>
      </c>
      <c r="H57" t="s">
        <v>33</v>
      </c>
      <c r="I57">
        <v>2</v>
      </c>
      <c r="J57">
        <v>9.398101209</v>
      </c>
      <c r="K57">
        <v>0.30331501799999999</v>
      </c>
      <c r="L57" t="s">
        <v>31</v>
      </c>
      <c r="M57" t="s">
        <v>31</v>
      </c>
      <c r="N57" t="s">
        <v>31</v>
      </c>
      <c r="O57" t="s">
        <v>266</v>
      </c>
      <c r="P57" t="s">
        <v>267</v>
      </c>
      <c r="Q57" s="22" t="s">
        <v>322</v>
      </c>
      <c r="S57" s="22">
        <f>114*0.6*0.5</f>
        <v>34.199999999999996</v>
      </c>
      <c r="T57" s="22" t="s">
        <v>270</v>
      </c>
      <c r="U57" s="22">
        <f>S57*0.277778</f>
        <v>9.5000076</v>
      </c>
      <c r="V57" s="22" t="s">
        <v>271</v>
      </c>
    </row>
    <row r="58" spans="1:22">
      <c r="A58" t="s">
        <v>69</v>
      </c>
      <c r="B58">
        <f>U58</f>
        <v>0.59530026109660583</v>
      </c>
      <c r="D58" t="s">
        <v>42</v>
      </c>
      <c r="E58" t="s">
        <v>40</v>
      </c>
      <c r="F58" s="58" t="s">
        <v>309</v>
      </c>
      <c r="G58" t="s">
        <v>272</v>
      </c>
      <c r="H58" t="s">
        <v>33</v>
      </c>
      <c r="I58">
        <v>2</v>
      </c>
      <c r="J58">
        <v>6.6281192500000001</v>
      </c>
      <c r="K58">
        <v>0.30331501799999999</v>
      </c>
      <c r="L58" t="s">
        <v>31</v>
      </c>
      <c r="M58" t="s">
        <v>31</v>
      </c>
      <c r="N58" t="s">
        <v>31</v>
      </c>
      <c r="O58" t="s">
        <v>266</v>
      </c>
      <c r="P58" t="s">
        <v>267</v>
      </c>
      <c r="Q58" s="22" t="s">
        <v>323</v>
      </c>
      <c r="S58" s="22">
        <f>114*0.4*0.5</f>
        <v>22.8</v>
      </c>
      <c r="T58" s="22" t="s">
        <v>270</v>
      </c>
      <c r="U58" s="22">
        <f>S58/38.3</f>
        <v>0.59530026109660583</v>
      </c>
      <c r="V58" s="22" t="s">
        <v>274</v>
      </c>
    </row>
    <row r="59" spans="1:22">
      <c r="A59" s="205" t="s">
        <v>88</v>
      </c>
      <c r="B59" s="206">
        <f>S59</f>
        <v>0.5</v>
      </c>
      <c r="C59" s="206"/>
      <c r="D59" s="22" t="s">
        <v>37</v>
      </c>
      <c r="E59" s="22" t="s">
        <v>40</v>
      </c>
      <c r="F59" s="58" t="s">
        <v>309</v>
      </c>
      <c r="G59" s="22" t="s">
        <v>59</v>
      </c>
      <c r="H59" s="22" t="s">
        <v>136</v>
      </c>
      <c r="I59" s="22">
        <v>2</v>
      </c>
      <c r="J59" s="22">
        <f t="shared" ref="J59" si="0">LN(B59)</f>
        <v>-0.69314718055994529</v>
      </c>
      <c r="K59" s="22">
        <v>0.30331501776206199</v>
      </c>
      <c r="L59" s="22" t="s">
        <v>31</v>
      </c>
      <c r="M59" s="22" t="s">
        <v>31</v>
      </c>
      <c r="N59" s="22" t="s">
        <v>31</v>
      </c>
      <c r="O59" s="22" t="s">
        <v>266</v>
      </c>
      <c r="P59" t="s">
        <v>267</v>
      </c>
      <c r="Q59" s="22"/>
      <c r="R59" s="22"/>
      <c r="S59" s="22">
        <v>0.5</v>
      </c>
      <c r="T59" s="22" t="s">
        <v>275</v>
      </c>
    </row>
    <row r="60" spans="1:22" ht="15.6">
      <c r="A60" t="s">
        <v>210</v>
      </c>
      <c r="B60" s="23">
        <f>-0.5</f>
        <v>-0.5</v>
      </c>
      <c r="D60" t="s">
        <v>37</v>
      </c>
      <c r="E60" s="84" t="s">
        <v>40</v>
      </c>
      <c r="F60" s="58" t="s">
        <v>309</v>
      </c>
      <c r="G60" t="s">
        <v>59</v>
      </c>
      <c r="H60" t="s">
        <v>33</v>
      </c>
      <c r="I60">
        <v>0</v>
      </c>
      <c r="J60" t="s">
        <v>31</v>
      </c>
      <c r="K60" t="s">
        <v>31</v>
      </c>
      <c r="L60" t="s">
        <v>31</v>
      </c>
      <c r="M60" t="s">
        <v>31</v>
      </c>
      <c r="N60" t="s">
        <v>31</v>
      </c>
      <c r="O60" s="17"/>
      <c r="P60" s="58" t="s">
        <v>276</v>
      </c>
    </row>
    <row r="61" spans="1:22" s="73" customFormat="1" ht="15.6">
      <c r="A61" s="178" t="s">
        <v>5</v>
      </c>
      <c r="B61" s="178" t="s">
        <v>324</v>
      </c>
      <c r="C61" s="178"/>
      <c r="D61" s="74"/>
      <c r="E61" s="150"/>
      <c r="F61" s="150"/>
      <c r="G61" s="150"/>
      <c r="H61" s="150"/>
      <c r="I61" s="150"/>
      <c r="J61" s="150"/>
      <c r="K61" s="150"/>
      <c r="L61" s="150"/>
      <c r="M61" s="150"/>
      <c r="N61" s="150"/>
      <c r="O61" s="150"/>
      <c r="P61" s="150"/>
    </row>
    <row r="62" spans="1:22">
      <c r="A62" s="58" t="s">
        <v>7</v>
      </c>
      <c r="B62" s="58" t="s">
        <v>261</v>
      </c>
      <c r="C62" s="58"/>
      <c r="D62" s="58"/>
      <c r="E62" s="58"/>
      <c r="F62" s="58"/>
      <c r="G62" s="58"/>
      <c r="H62" s="58"/>
      <c r="I62" s="58"/>
      <c r="J62" s="58"/>
      <c r="K62" s="58"/>
      <c r="L62" s="58"/>
      <c r="M62" s="58"/>
      <c r="N62" s="58"/>
      <c r="O62" s="58"/>
      <c r="P62" s="58"/>
    </row>
    <row r="63" spans="1:22">
      <c r="A63" s="58" t="s">
        <v>9</v>
      </c>
      <c r="B63" s="201" t="s">
        <v>325</v>
      </c>
      <c r="C63" s="58"/>
      <c r="D63" s="58"/>
      <c r="E63" s="58"/>
      <c r="F63" s="58"/>
      <c r="G63" s="58"/>
      <c r="H63" s="58"/>
      <c r="I63" s="58"/>
      <c r="J63" s="58"/>
      <c r="K63" s="58"/>
      <c r="L63" s="58"/>
      <c r="M63" s="58"/>
      <c r="N63" s="58"/>
      <c r="O63" s="58"/>
      <c r="P63" s="58"/>
    </row>
    <row r="64" spans="1:22">
      <c r="A64" s="58" t="s">
        <v>11</v>
      </c>
      <c r="B64" s="58" t="s">
        <v>308</v>
      </c>
      <c r="C64" s="58"/>
      <c r="D64" s="58"/>
      <c r="E64" s="58"/>
      <c r="F64" s="58"/>
      <c r="G64" s="58"/>
      <c r="H64" s="58"/>
      <c r="I64" s="58"/>
      <c r="J64" s="58"/>
      <c r="K64" s="58"/>
      <c r="L64" s="58"/>
      <c r="M64" s="58"/>
      <c r="N64" s="58"/>
      <c r="O64" s="58"/>
      <c r="P64" s="58"/>
    </row>
    <row r="65" spans="1:16">
      <c r="A65" s="58" t="s">
        <v>13</v>
      </c>
      <c r="B65" s="58" t="s">
        <v>59</v>
      </c>
      <c r="C65" s="58"/>
      <c r="D65" s="58"/>
      <c r="E65" s="58"/>
      <c r="F65" s="58"/>
      <c r="G65" s="58"/>
      <c r="H65" s="58"/>
      <c r="I65" s="58"/>
      <c r="J65" s="58"/>
      <c r="K65" s="58"/>
      <c r="L65" s="58"/>
      <c r="M65" s="58"/>
      <c r="N65" s="58"/>
      <c r="O65" s="58"/>
      <c r="P65" s="58"/>
    </row>
    <row r="66" spans="1:16">
      <c r="A66" s="58" t="s">
        <v>15</v>
      </c>
      <c r="B66" s="58">
        <v>1</v>
      </c>
      <c r="C66" s="58"/>
      <c r="D66" s="58"/>
      <c r="E66" s="58"/>
      <c r="F66" s="58"/>
      <c r="G66" s="58"/>
      <c r="H66" s="58"/>
      <c r="I66" s="58"/>
      <c r="J66" s="58"/>
      <c r="K66" s="58"/>
      <c r="L66" s="58"/>
      <c r="M66" s="58"/>
      <c r="N66" s="58"/>
      <c r="O66" s="58"/>
      <c r="P66" s="58"/>
    </row>
    <row r="67" spans="1:16">
      <c r="A67" s="58" t="s">
        <v>16</v>
      </c>
      <c r="B67" s="58" t="s">
        <v>17</v>
      </c>
      <c r="C67" s="58"/>
      <c r="D67" s="58"/>
      <c r="E67" s="58"/>
      <c r="F67" s="58"/>
      <c r="G67" s="58"/>
      <c r="H67" s="58"/>
      <c r="I67" s="58"/>
      <c r="J67" s="58"/>
      <c r="K67" s="58"/>
      <c r="L67" s="58"/>
      <c r="M67" s="58"/>
      <c r="N67" s="58"/>
      <c r="O67" s="58"/>
      <c r="P67" s="58"/>
    </row>
    <row r="68" spans="1:16" ht="15.6">
      <c r="A68" s="58" t="s">
        <v>18</v>
      </c>
      <c r="B68" s="180" t="s">
        <v>37</v>
      </c>
      <c r="C68" s="58"/>
      <c r="D68" s="58"/>
      <c r="E68" s="58" t="s">
        <v>185</v>
      </c>
      <c r="F68" s="58"/>
      <c r="G68" s="58"/>
      <c r="H68" s="58"/>
      <c r="I68" s="58"/>
      <c r="J68" s="58"/>
      <c r="K68" s="58"/>
      <c r="L68" s="58"/>
      <c r="M68" s="58"/>
      <c r="N68" s="58"/>
      <c r="O68" s="58"/>
      <c r="P68" s="58"/>
    </row>
    <row r="69" spans="1:16" ht="15.6">
      <c r="A69" s="181" t="s">
        <v>19</v>
      </c>
      <c r="B69" s="58"/>
      <c r="C69" s="58"/>
      <c r="D69" s="58"/>
      <c r="E69" s="58"/>
      <c r="F69" s="58"/>
      <c r="G69" s="58"/>
      <c r="H69" s="58"/>
      <c r="I69" s="58"/>
      <c r="J69" s="58"/>
      <c r="K69" s="58"/>
      <c r="L69" s="58"/>
      <c r="M69" s="58"/>
      <c r="N69" s="58"/>
      <c r="O69" s="58"/>
      <c r="P69" s="58"/>
    </row>
    <row r="70" spans="1:16" ht="15.6">
      <c r="A70" s="181" t="s">
        <v>20</v>
      </c>
      <c r="B70" s="181" t="s">
        <v>21</v>
      </c>
      <c r="C70" s="181" t="s">
        <v>186</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187</v>
      </c>
    </row>
    <row r="71" spans="1:16" ht="15.6">
      <c r="A71" s="180" t="str">
        <f>B61</f>
        <v>treatment of aluminium, tail, airframe, SOFC-bat, Long-Term</v>
      </c>
      <c r="B71" s="180">
        <v>1</v>
      </c>
      <c r="C71" s="180"/>
      <c r="D71" s="180" t="s">
        <v>37</v>
      </c>
      <c r="E71" s="58" t="s">
        <v>2</v>
      </c>
      <c r="F71" s="58" t="s">
        <v>309</v>
      </c>
      <c r="G71" s="180" t="s">
        <v>59</v>
      </c>
      <c r="H71" s="58" t="s">
        <v>30</v>
      </c>
      <c r="I71" s="58">
        <v>0</v>
      </c>
      <c r="J71" s="180" t="s">
        <v>31</v>
      </c>
      <c r="K71" s="180" t="s">
        <v>31</v>
      </c>
      <c r="L71" s="180" t="s">
        <v>31</v>
      </c>
      <c r="M71" s="180" t="s">
        <v>31</v>
      </c>
      <c r="N71" s="180" t="s">
        <v>31</v>
      </c>
      <c r="O71" s="180" t="s">
        <v>326</v>
      </c>
      <c r="P71" s="58"/>
    </row>
    <row r="72" spans="1:16" ht="15.6">
      <c r="A72" t="s">
        <v>201</v>
      </c>
      <c r="B72" s="23">
        <v>0.64</v>
      </c>
      <c r="C72" s="180"/>
      <c r="D72" s="180" t="s">
        <v>37</v>
      </c>
      <c r="E72" s="37" t="s">
        <v>40</v>
      </c>
      <c r="F72" s="58" t="s">
        <v>309</v>
      </c>
      <c r="G72" s="180" t="s">
        <v>82</v>
      </c>
      <c r="H72" s="58" t="s">
        <v>33</v>
      </c>
      <c r="I72" s="58">
        <v>0</v>
      </c>
      <c r="J72" s="180" t="s">
        <v>31</v>
      </c>
      <c r="K72" s="180" t="s">
        <v>31</v>
      </c>
      <c r="L72" s="180" t="s">
        <v>31</v>
      </c>
      <c r="M72" s="180" t="s">
        <v>31</v>
      </c>
      <c r="N72" s="180" t="s">
        <v>31</v>
      </c>
      <c r="O72" s="58"/>
      <c r="P72" s="58"/>
    </row>
    <row r="73" spans="1:16" ht="15.6">
      <c r="A73" t="s">
        <v>202</v>
      </c>
      <c r="B73" s="23">
        <v>0.64</v>
      </c>
      <c r="C73" s="22" t="s">
        <v>203</v>
      </c>
      <c r="D73" t="s">
        <v>37</v>
      </c>
      <c r="E73" s="188" t="s">
        <v>40</v>
      </c>
      <c r="F73" s="58" t="s">
        <v>309</v>
      </c>
      <c r="G73" s="180" t="s">
        <v>82</v>
      </c>
      <c r="H73" s="58" t="s">
        <v>33</v>
      </c>
      <c r="I73" s="58">
        <v>0</v>
      </c>
      <c r="J73" s="180" t="s">
        <v>31</v>
      </c>
      <c r="K73" s="180" t="s">
        <v>31</v>
      </c>
      <c r="L73" s="180" t="s">
        <v>31</v>
      </c>
      <c r="M73" s="180" t="s">
        <v>31</v>
      </c>
      <c r="N73" s="180" t="s">
        <v>31</v>
      </c>
      <c r="O73" s="180" t="s">
        <v>287</v>
      </c>
    </row>
    <row r="74" spans="1:16" ht="15.6">
      <c r="A74" t="s">
        <v>205</v>
      </c>
      <c r="B74" s="23">
        <f>B73*0.9</f>
        <v>0.57600000000000007</v>
      </c>
      <c r="D74" t="s">
        <v>37</v>
      </c>
      <c r="E74" s="188" t="s">
        <v>40</v>
      </c>
      <c r="F74" s="58" t="s">
        <v>309</v>
      </c>
      <c r="G74" t="s">
        <v>59</v>
      </c>
      <c r="H74" s="58" t="s">
        <v>136</v>
      </c>
      <c r="I74" s="58">
        <v>0</v>
      </c>
      <c r="J74" s="180" t="s">
        <v>31</v>
      </c>
      <c r="K74" s="180" t="s">
        <v>31</v>
      </c>
      <c r="L74" s="180" t="s">
        <v>31</v>
      </c>
      <c r="M74" s="180" t="s">
        <v>31</v>
      </c>
      <c r="N74" s="180" t="s">
        <v>31</v>
      </c>
      <c r="O74" s="58"/>
      <c r="P74" s="180" t="s">
        <v>311</v>
      </c>
    </row>
    <row r="75" spans="1:16" ht="15.6">
      <c r="A75" t="s">
        <v>210</v>
      </c>
      <c r="B75" s="23">
        <f>-(1-B74)</f>
        <v>-0.42399999999999993</v>
      </c>
      <c r="D75" t="s">
        <v>37</v>
      </c>
      <c r="E75" s="84" t="s">
        <v>40</v>
      </c>
      <c r="F75" s="58" t="s">
        <v>309</v>
      </c>
      <c r="G75" t="s">
        <v>59</v>
      </c>
      <c r="H75" t="s">
        <v>33</v>
      </c>
      <c r="I75">
        <v>0</v>
      </c>
      <c r="J75" t="s">
        <v>31</v>
      </c>
      <c r="K75" t="s">
        <v>31</v>
      </c>
      <c r="L75" t="s">
        <v>31</v>
      </c>
      <c r="M75" t="s">
        <v>31</v>
      </c>
      <c r="N75" t="s">
        <v>31</v>
      </c>
      <c r="O75" s="17"/>
      <c r="P75" s="58"/>
    </row>
    <row r="76" spans="1:16" s="73" customFormat="1" ht="15.6">
      <c r="A76" s="178" t="s">
        <v>5</v>
      </c>
      <c r="B76" s="178" t="s">
        <v>327</v>
      </c>
      <c r="C76" s="178"/>
      <c r="D76" s="74"/>
      <c r="E76" s="150"/>
      <c r="F76" s="150"/>
      <c r="G76" s="150"/>
      <c r="H76" s="150"/>
      <c r="I76" s="150"/>
      <c r="J76" s="150"/>
      <c r="K76" s="150"/>
      <c r="L76" s="150"/>
      <c r="M76" s="150"/>
      <c r="N76" s="150"/>
      <c r="O76" s="150"/>
      <c r="P76" s="150"/>
    </row>
    <row r="77" spans="1:16">
      <c r="A77" s="58" t="s">
        <v>7</v>
      </c>
      <c r="B77" s="58" t="s">
        <v>261</v>
      </c>
      <c r="C77" s="58"/>
      <c r="D77" s="58"/>
      <c r="E77" s="58"/>
      <c r="F77" s="58"/>
      <c r="G77" s="58"/>
      <c r="H77" s="58"/>
      <c r="I77" s="58"/>
      <c r="J77" s="58"/>
      <c r="K77" s="58"/>
      <c r="L77" s="58"/>
      <c r="M77" s="58"/>
      <c r="N77" s="58"/>
      <c r="O77" s="58"/>
      <c r="P77" s="58"/>
    </row>
    <row r="78" spans="1:16">
      <c r="A78" s="58" t="s">
        <v>9</v>
      </c>
      <c r="B78" s="201" t="s">
        <v>328</v>
      </c>
      <c r="C78" s="58"/>
      <c r="D78" s="58"/>
      <c r="E78" s="58"/>
      <c r="F78" s="58"/>
      <c r="G78" s="58"/>
      <c r="H78" s="58"/>
      <c r="I78" s="58"/>
      <c r="J78" s="58"/>
      <c r="K78" s="58"/>
      <c r="L78" s="58"/>
      <c r="M78" s="58"/>
      <c r="N78" s="58"/>
      <c r="O78" s="58"/>
      <c r="P78" s="58"/>
    </row>
    <row r="79" spans="1:16">
      <c r="A79" s="58" t="s">
        <v>11</v>
      </c>
      <c r="B79" s="58" t="s">
        <v>329</v>
      </c>
      <c r="C79" s="58"/>
      <c r="D79" s="58"/>
      <c r="E79" s="58"/>
      <c r="F79" s="58"/>
      <c r="G79" s="58"/>
      <c r="H79" s="58"/>
      <c r="I79" s="58"/>
      <c r="J79" s="58"/>
      <c r="K79" s="58"/>
      <c r="L79" s="58"/>
      <c r="M79" s="58"/>
      <c r="N79" s="58"/>
      <c r="O79" s="58"/>
      <c r="P79" s="58"/>
    </row>
    <row r="80" spans="1:16">
      <c r="A80" s="58" t="s">
        <v>13</v>
      </c>
      <c r="B80" s="58" t="s">
        <v>59</v>
      </c>
      <c r="C80" s="58"/>
      <c r="D80" s="58"/>
      <c r="E80" s="58"/>
      <c r="F80" s="58"/>
      <c r="G80" s="58"/>
      <c r="H80" s="58"/>
      <c r="I80" s="58"/>
      <c r="J80" s="58"/>
      <c r="K80" s="58"/>
      <c r="L80" s="58"/>
      <c r="M80" s="58"/>
      <c r="N80" s="58"/>
      <c r="O80" s="58"/>
      <c r="P80" s="58"/>
    </row>
    <row r="81" spans="1:16">
      <c r="A81" s="58" t="s">
        <v>15</v>
      </c>
      <c r="B81" s="58">
        <v>1</v>
      </c>
      <c r="C81" s="58"/>
      <c r="D81" s="58"/>
      <c r="E81" s="58"/>
      <c r="F81" s="58"/>
      <c r="G81" s="58"/>
      <c r="H81" s="58"/>
      <c r="I81" s="58"/>
      <c r="J81" s="58"/>
      <c r="K81" s="58"/>
      <c r="L81" s="58"/>
      <c r="M81" s="58"/>
      <c r="N81" s="58"/>
      <c r="O81" s="58"/>
      <c r="P81" s="58"/>
    </row>
    <row r="82" spans="1:16">
      <c r="A82" s="58" t="s">
        <v>16</v>
      </c>
      <c r="B82" s="58" t="s">
        <v>17</v>
      </c>
      <c r="C82" s="58"/>
      <c r="D82" s="58"/>
      <c r="E82" s="58"/>
      <c r="F82" s="58"/>
      <c r="G82" s="58"/>
      <c r="H82" s="58"/>
      <c r="I82" s="58"/>
      <c r="J82" s="58"/>
      <c r="K82" s="58"/>
      <c r="L82" s="58"/>
      <c r="M82" s="58"/>
      <c r="N82" s="58"/>
      <c r="O82" s="58"/>
      <c r="P82" s="58"/>
    </row>
    <row r="83" spans="1:16" ht="15.6">
      <c r="A83" s="58" t="s">
        <v>18</v>
      </c>
      <c r="B83" s="180" t="s">
        <v>37</v>
      </c>
      <c r="C83" s="58"/>
      <c r="D83" s="58"/>
      <c r="E83" s="58" t="s">
        <v>185</v>
      </c>
      <c r="F83" s="58"/>
      <c r="G83" s="58"/>
      <c r="H83" s="58"/>
      <c r="I83" s="58"/>
      <c r="J83" s="58"/>
      <c r="K83" s="58"/>
      <c r="L83" s="58"/>
      <c r="M83" s="58"/>
      <c r="N83" s="58"/>
      <c r="O83" s="58"/>
      <c r="P83" s="58"/>
    </row>
    <row r="84" spans="1:16" ht="15.6">
      <c r="A84" s="181" t="s">
        <v>19</v>
      </c>
      <c r="B84" s="58"/>
      <c r="C84" s="58"/>
      <c r="D84" s="58"/>
      <c r="E84" s="58"/>
      <c r="F84" s="58"/>
      <c r="G84" s="58"/>
      <c r="H84" s="58"/>
      <c r="I84" s="58"/>
      <c r="J84" s="58"/>
      <c r="K84" s="58"/>
      <c r="L84" s="58"/>
      <c r="M84" s="58"/>
      <c r="N84" s="58"/>
      <c r="O84" s="58"/>
      <c r="P84" s="58"/>
    </row>
    <row r="85" spans="1:16" ht="15.6">
      <c r="A85" s="181" t="s">
        <v>20</v>
      </c>
      <c r="B85" s="181" t="s">
        <v>21</v>
      </c>
      <c r="C85" s="181" t="s">
        <v>186</v>
      </c>
      <c r="D85" s="181" t="s">
        <v>18</v>
      </c>
      <c r="E85" s="181" t="s">
        <v>22</v>
      </c>
      <c r="F85" s="181" t="s">
        <v>7</v>
      </c>
      <c r="G85" s="181" t="s">
        <v>13</v>
      </c>
      <c r="H85" s="181" t="s">
        <v>16</v>
      </c>
      <c r="I85" s="181" t="s">
        <v>23</v>
      </c>
      <c r="J85" s="181" t="s">
        <v>24</v>
      </c>
      <c r="K85" s="181" t="s">
        <v>25</v>
      </c>
      <c r="L85" s="181" t="s">
        <v>26</v>
      </c>
      <c r="M85" s="181" t="s">
        <v>27</v>
      </c>
      <c r="N85" s="181" t="s">
        <v>28</v>
      </c>
      <c r="O85" s="181" t="s">
        <v>11</v>
      </c>
      <c r="P85" s="181" t="s">
        <v>187</v>
      </c>
    </row>
    <row r="86" spans="1:16" ht="15.6">
      <c r="A86" s="180" t="str">
        <f>B76</f>
        <v>treatment of composites, tail, airframe, SOFC-bat, Long-Term</v>
      </c>
      <c r="B86" s="180">
        <v>1</v>
      </c>
      <c r="C86" s="180"/>
      <c r="D86" s="180" t="s">
        <v>37</v>
      </c>
      <c r="E86" s="58" t="s">
        <v>2</v>
      </c>
      <c r="F86" s="58" t="s">
        <v>309</v>
      </c>
      <c r="G86" s="180" t="s">
        <v>59</v>
      </c>
      <c r="H86" s="58" t="s">
        <v>30</v>
      </c>
      <c r="I86" s="58">
        <v>0</v>
      </c>
      <c r="J86" s="180" t="s">
        <v>31</v>
      </c>
      <c r="K86" s="180" t="s">
        <v>31</v>
      </c>
      <c r="L86" s="180" t="s">
        <v>31</v>
      </c>
      <c r="M86" s="180" t="s">
        <v>31</v>
      </c>
      <c r="N86" s="180" t="s">
        <v>31</v>
      </c>
      <c r="O86" s="180" t="s">
        <v>330</v>
      </c>
      <c r="P86" s="58"/>
    </row>
    <row r="87" spans="1:16" ht="15.6">
      <c r="A87" s="84" t="s">
        <v>216</v>
      </c>
      <c r="B87">
        <v>-0.5</v>
      </c>
      <c r="D87" t="s">
        <v>37</v>
      </c>
      <c r="E87" s="188" t="s">
        <v>40</v>
      </c>
      <c r="F87" s="58" t="s">
        <v>309</v>
      </c>
      <c r="G87" t="s">
        <v>82</v>
      </c>
      <c r="H87" t="s">
        <v>33</v>
      </c>
      <c r="I87" s="58">
        <v>0</v>
      </c>
      <c r="J87" s="180" t="s">
        <v>31</v>
      </c>
      <c r="K87" s="180" t="s">
        <v>31</v>
      </c>
      <c r="L87" s="180" t="s">
        <v>31</v>
      </c>
      <c r="M87" s="180" t="s">
        <v>31</v>
      </c>
      <c r="N87" s="180" t="s">
        <v>31</v>
      </c>
      <c r="O87" s="180" t="s">
        <v>217</v>
      </c>
      <c r="P87" s="180" t="s">
        <v>279</v>
      </c>
    </row>
    <row r="88" spans="1:16" ht="15.6">
      <c r="A88" t="s">
        <v>38</v>
      </c>
      <c r="B88">
        <f>B89*0.277777777</f>
        <v>2.415277771015</v>
      </c>
      <c r="D88" t="s">
        <v>39</v>
      </c>
      <c r="E88" s="188" t="s">
        <v>40</v>
      </c>
      <c r="F88" s="58" t="s">
        <v>309</v>
      </c>
      <c r="G88" t="s">
        <v>59</v>
      </c>
      <c r="H88" s="58" t="s">
        <v>136</v>
      </c>
      <c r="I88" s="58">
        <v>0</v>
      </c>
      <c r="J88" s="180" t="s">
        <v>31</v>
      </c>
      <c r="K88" s="180" t="s">
        <v>31</v>
      </c>
      <c r="L88" s="180" t="s">
        <v>31</v>
      </c>
      <c r="M88" s="180" t="s">
        <v>31</v>
      </c>
      <c r="N88" s="180" t="s">
        <v>31</v>
      </c>
      <c r="O88" t="s">
        <v>280</v>
      </c>
    </row>
    <row r="89" spans="1:16" ht="15.6">
      <c r="A89" t="s">
        <v>70</v>
      </c>
      <c r="B89">
        <f>-B87*0.5*34.78</f>
        <v>8.6950000000000003</v>
      </c>
      <c r="D89" t="s">
        <v>71</v>
      </c>
      <c r="E89" s="188" t="s">
        <v>40</v>
      </c>
      <c r="F89" s="58" t="s">
        <v>309</v>
      </c>
      <c r="G89" t="s">
        <v>59</v>
      </c>
      <c r="H89" s="58" t="s">
        <v>136</v>
      </c>
      <c r="I89" s="58">
        <v>0</v>
      </c>
      <c r="J89" s="180" t="s">
        <v>31</v>
      </c>
      <c r="K89" s="180" t="s">
        <v>31</v>
      </c>
      <c r="L89" s="180" t="s">
        <v>31</v>
      </c>
      <c r="M89" s="180" t="s">
        <v>31</v>
      </c>
      <c r="N89" s="180" t="s">
        <v>31</v>
      </c>
      <c r="O89" t="s">
        <v>315</v>
      </c>
    </row>
    <row r="90" spans="1:16" ht="15.6">
      <c r="A90" s="84" t="s">
        <v>282</v>
      </c>
      <c r="B90">
        <v>-0.5</v>
      </c>
      <c r="D90" t="s">
        <v>37</v>
      </c>
      <c r="E90" s="188" t="s">
        <v>40</v>
      </c>
      <c r="F90" s="58" t="s">
        <v>309</v>
      </c>
      <c r="G90" t="s">
        <v>82</v>
      </c>
      <c r="H90" s="58" t="s">
        <v>33</v>
      </c>
      <c r="I90" s="58">
        <v>0</v>
      </c>
      <c r="J90" s="180" t="s">
        <v>31</v>
      </c>
      <c r="K90" s="180" t="s">
        <v>31</v>
      </c>
      <c r="L90" s="180" t="s">
        <v>31</v>
      </c>
      <c r="M90" s="180" t="s">
        <v>31</v>
      </c>
      <c r="N90" s="180" t="s">
        <v>31</v>
      </c>
      <c r="O90" s="180"/>
    </row>
    <row r="91" spans="1:16" s="73" customFormat="1" ht="15.6">
      <c r="A91" s="178" t="s">
        <v>5</v>
      </c>
      <c r="B91" s="178" t="s">
        <v>331</v>
      </c>
      <c r="C91" s="178"/>
      <c r="D91" s="74"/>
      <c r="E91" s="150"/>
      <c r="F91" s="150"/>
      <c r="G91" s="150"/>
      <c r="H91" s="150"/>
      <c r="I91" s="150"/>
      <c r="J91" s="150"/>
      <c r="K91" s="150"/>
      <c r="L91" s="150"/>
      <c r="M91" s="150"/>
      <c r="N91" s="150"/>
      <c r="O91" s="150"/>
      <c r="P91" s="150"/>
    </row>
    <row r="92" spans="1:16">
      <c r="A92" s="58" t="s">
        <v>7</v>
      </c>
      <c r="B92" s="58" t="s">
        <v>261</v>
      </c>
      <c r="C92" s="58"/>
      <c r="D92" s="58"/>
      <c r="E92" s="58"/>
      <c r="F92" s="58"/>
      <c r="G92" s="58"/>
      <c r="H92" s="58"/>
      <c r="I92" s="58"/>
      <c r="J92" s="58"/>
      <c r="K92" s="58"/>
      <c r="L92" s="58"/>
      <c r="M92" s="58"/>
      <c r="N92" s="58"/>
      <c r="O92" s="58"/>
      <c r="P92" s="58"/>
    </row>
    <row r="93" spans="1:16">
      <c r="A93" s="58" t="s">
        <v>9</v>
      </c>
      <c r="B93" s="201" t="s">
        <v>332</v>
      </c>
      <c r="C93" s="58"/>
      <c r="D93" s="58"/>
      <c r="E93" s="58"/>
      <c r="F93" s="58"/>
      <c r="G93" s="58"/>
      <c r="H93" s="58"/>
      <c r="I93" s="58"/>
      <c r="J93" s="58"/>
      <c r="K93" s="58"/>
      <c r="L93" s="58"/>
      <c r="M93" s="58"/>
      <c r="N93" s="58"/>
      <c r="O93" s="58"/>
      <c r="P93" s="58"/>
    </row>
    <row r="94" spans="1:16">
      <c r="A94" s="58" t="s">
        <v>11</v>
      </c>
      <c r="B94" s="58" t="s">
        <v>308</v>
      </c>
      <c r="C94" s="58"/>
      <c r="D94" s="58"/>
      <c r="E94" s="58"/>
      <c r="F94" s="58"/>
      <c r="G94" s="58"/>
      <c r="H94" s="58"/>
      <c r="I94" s="58"/>
      <c r="J94" s="58"/>
      <c r="K94" s="58"/>
      <c r="L94" s="58"/>
      <c r="M94" s="58"/>
      <c r="N94" s="58"/>
      <c r="O94" s="58"/>
      <c r="P94" s="58"/>
    </row>
    <row r="95" spans="1:16">
      <c r="A95" s="58" t="s">
        <v>13</v>
      </c>
      <c r="B95" s="58" t="s">
        <v>59</v>
      </c>
      <c r="C95" s="58"/>
      <c r="D95" s="58"/>
      <c r="E95" s="58"/>
      <c r="F95" s="58"/>
      <c r="G95" s="58"/>
      <c r="H95" s="58"/>
      <c r="I95" s="58"/>
      <c r="J95" s="58"/>
      <c r="K95" s="58"/>
      <c r="L95" s="58"/>
      <c r="M95" s="58"/>
      <c r="N95" s="58"/>
      <c r="O95" s="58"/>
      <c r="P95" s="58"/>
    </row>
    <row r="96" spans="1:16">
      <c r="A96" s="58" t="s">
        <v>15</v>
      </c>
      <c r="B96" s="58">
        <v>1</v>
      </c>
      <c r="C96" s="58"/>
      <c r="D96" s="58"/>
      <c r="E96" s="58"/>
      <c r="F96" s="58"/>
      <c r="G96" s="58"/>
      <c r="H96" s="58"/>
      <c r="I96" s="58"/>
      <c r="J96" s="58"/>
      <c r="K96" s="58"/>
      <c r="L96" s="58"/>
      <c r="M96" s="58"/>
      <c r="N96" s="58"/>
      <c r="O96" s="58"/>
      <c r="P96" s="58"/>
    </row>
    <row r="97" spans="1:16">
      <c r="A97" s="58" t="s">
        <v>16</v>
      </c>
      <c r="B97" s="58" t="s">
        <v>17</v>
      </c>
      <c r="C97" s="58"/>
      <c r="D97" s="58"/>
      <c r="E97" s="58"/>
      <c r="F97" s="58"/>
      <c r="G97" s="58"/>
      <c r="H97" s="58"/>
      <c r="I97" s="58"/>
      <c r="J97" s="58"/>
      <c r="K97" s="58"/>
      <c r="L97" s="58"/>
      <c r="M97" s="58"/>
      <c r="N97" s="58"/>
      <c r="O97" s="58"/>
      <c r="P97" s="58"/>
    </row>
    <row r="98" spans="1:16" ht="15.6">
      <c r="A98" s="58" t="s">
        <v>18</v>
      </c>
      <c r="B98" s="180" t="s">
        <v>37</v>
      </c>
      <c r="C98" s="58"/>
      <c r="D98" s="58"/>
      <c r="E98" s="58" t="s">
        <v>185</v>
      </c>
      <c r="F98" s="58"/>
      <c r="G98" s="58"/>
      <c r="H98" s="58"/>
      <c r="I98" s="58"/>
      <c r="J98" s="58"/>
      <c r="K98" s="58"/>
      <c r="L98" s="58"/>
      <c r="M98" s="58"/>
      <c r="N98" s="58"/>
      <c r="O98" s="58"/>
      <c r="P98" s="58"/>
    </row>
    <row r="99" spans="1:16" ht="15.6">
      <c r="A99" s="181" t="s">
        <v>19</v>
      </c>
      <c r="B99" s="58"/>
      <c r="C99" s="58"/>
      <c r="D99" s="58"/>
      <c r="E99" s="58"/>
      <c r="F99" s="58"/>
      <c r="G99" s="58"/>
      <c r="H99" s="58"/>
      <c r="I99" s="58"/>
      <c r="J99" s="58"/>
      <c r="K99" s="58"/>
      <c r="L99" s="58"/>
      <c r="M99" s="58"/>
      <c r="N99" s="58"/>
      <c r="O99" s="58"/>
      <c r="P99" s="58"/>
    </row>
    <row r="100" spans="1:16" ht="15.6">
      <c r="A100" s="181" t="s">
        <v>20</v>
      </c>
      <c r="B100" s="181" t="s">
        <v>21</v>
      </c>
      <c r="C100" s="181" t="s">
        <v>186</v>
      </c>
      <c r="D100" s="181" t="s">
        <v>18</v>
      </c>
      <c r="E100" s="181" t="s">
        <v>22</v>
      </c>
      <c r="F100" s="181" t="s">
        <v>7</v>
      </c>
      <c r="G100" s="181" t="s">
        <v>13</v>
      </c>
      <c r="H100" s="181" t="s">
        <v>16</v>
      </c>
      <c r="I100" s="181" t="s">
        <v>23</v>
      </c>
      <c r="J100" s="181" t="s">
        <v>24</v>
      </c>
      <c r="K100" s="181" t="s">
        <v>25</v>
      </c>
      <c r="L100" s="181" t="s">
        <v>26</v>
      </c>
      <c r="M100" s="181" t="s">
        <v>27</v>
      </c>
      <c r="N100" s="181" t="s">
        <v>28</v>
      </c>
      <c r="O100" s="181" t="s">
        <v>11</v>
      </c>
      <c r="P100" s="181" t="s">
        <v>187</v>
      </c>
    </row>
    <row r="101" spans="1:16" ht="15.6">
      <c r="A101" s="180" t="str">
        <f>B91</f>
        <v>treatment of aluminium, fuselage, airframe, SOFC-bat, Long-Term</v>
      </c>
      <c r="B101" s="180">
        <v>1</v>
      </c>
      <c r="C101" s="180"/>
      <c r="D101" s="180" t="s">
        <v>37</v>
      </c>
      <c r="E101" s="58" t="s">
        <v>2</v>
      </c>
      <c r="F101" s="58" t="s">
        <v>309</v>
      </c>
      <c r="G101" s="180" t="s">
        <v>59</v>
      </c>
      <c r="H101" s="58" t="s">
        <v>30</v>
      </c>
      <c r="I101" s="58">
        <v>0</v>
      </c>
      <c r="J101" s="180" t="s">
        <v>31</v>
      </c>
      <c r="K101" s="180" t="s">
        <v>31</v>
      </c>
      <c r="L101" s="180" t="s">
        <v>31</v>
      </c>
      <c r="M101" s="180" t="s">
        <v>31</v>
      </c>
      <c r="N101" s="180" t="s">
        <v>31</v>
      </c>
      <c r="O101" s="180" t="s">
        <v>333</v>
      </c>
      <c r="P101" s="58"/>
    </row>
    <row r="102" spans="1:16" ht="15.6">
      <c r="A102" t="s">
        <v>201</v>
      </c>
      <c r="B102" s="23">
        <v>0.85</v>
      </c>
      <c r="C102" s="180"/>
      <c r="D102" s="180" t="s">
        <v>37</v>
      </c>
      <c r="E102" s="37" t="s">
        <v>40</v>
      </c>
      <c r="F102" s="58" t="s">
        <v>309</v>
      </c>
      <c r="G102" s="180" t="s">
        <v>82</v>
      </c>
      <c r="H102" s="58" t="s">
        <v>33</v>
      </c>
      <c r="I102" s="58">
        <v>0</v>
      </c>
      <c r="J102" s="180" t="s">
        <v>31</v>
      </c>
      <c r="K102" s="180" t="s">
        <v>31</v>
      </c>
      <c r="L102" s="180" t="s">
        <v>31</v>
      </c>
      <c r="M102" s="180" t="s">
        <v>31</v>
      </c>
      <c r="N102" s="180" t="s">
        <v>31</v>
      </c>
      <c r="O102" s="58"/>
      <c r="P102" s="58"/>
    </row>
    <row r="103" spans="1:16" ht="15.6">
      <c r="A103" t="s">
        <v>202</v>
      </c>
      <c r="B103" s="23">
        <v>0.85</v>
      </c>
      <c r="C103" s="22" t="s">
        <v>203</v>
      </c>
      <c r="D103" t="s">
        <v>37</v>
      </c>
      <c r="E103" s="188" t="s">
        <v>40</v>
      </c>
      <c r="F103" s="58" t="s">
        <v>309</v>
      </c>
      <c r="G103" s="180" t="s">
        <v>82</v>
      </c>
      <c r="H103" s="58" t="s">
        <v>33</v>
      </c>
      <c r="I103" s="58">
        <v>0</v>
      </c>
      <c r="J103" s="180" t="s">
        <v>31</v>
      </c>
      <c r="K103" s="180" t="s">
        <v>31</v>
      </c>
      <c r="L103" s="180" t="s">
        <v>31</v>
      </c>
      <c r="M103" s="180" t="s">
        <v>31</v>
      </c>
      <c r="N103" s="180" t="s">
        <v>31</v>
      </c>
      <c r="O103" s="180" t="s">
        <v>287</v>
      </c>
    </row>
    <row r="104" spans="1:16" ht="15.6">
      <c r="A104" t="s">
        <v>205</v>
      </c>
      <c r="B104" s="23">
        <f>B103*0.9</f>
        <v>0.76500000000000001</v>
      </c>
      <c r="D104" t="s">
        <v>37</v>
      </c>
      <c r="E104" s="188" t="s">
        <v>40</v>
      </c>
      <c r="F104" s="58" t="s">
        <v>309</v>
      </c>
      <c r="G104" t="s">
        <v>59</v>
      </c>
      <c r="H104" s="58" t="s">
        <v>136</v>
      </c>
      <c r="I104" s="58">
        <v>0</v>
      </c>
      <c r="J104" s="180" t="s">
        <v>31</v>
      </c>
      <c r="K104" s="180" t="s">
        <v>31</v>
      </c>
      <c r="L104" s="180" t="s">
        <v>31</v>
      </c>
      <c r="M104" s="180" t="s">
        <v>31</v>
      </c>
      <c r="N104" s="180" t="s">
        <v>31</v>
      </c>
      <c r="O104" s="58"/>
      <c r="P104" s="180" t="s">
        <v>311</v>
      </c>
    </row>
    <row r="105" spans="1:16" ht="15.6">
      <c r="A105" t="s">
        <v>210</v>
      </c>
      <c r="B105" s="23">
        <f>-(1-B104)</f>
        <v>-0.23499999999999999</v>
      </c>
      <c r="D105" t="s">
        <v>37</v>
      </c>
      <c r="E105" s="84" t="s">
        <v>40</v>
      </c>
      <c r="F105" s="58" t="s">
        <v>309</v>
      </c>
      <c r="G105" t="s">
        <v>59</v>
      </c>
      <c r="H105" t="s">
        <v>33</v>
      </c>
      <c r="I105">
        <v>0</v>
      </c>
      <c r="J105" t="s">
        <v>31</v>
      </c>
      <c r="K105" t="s">
        <v>31</v>
      </c>
      <c r="L105" t="s">
        <v>31</v>
      </c>
      <c r="M105" t="s">
        <v>31</v>
      </c>
      <c r="N105" t="s">
        <v>31</v>
      </c>
      <c r="O105" s="17"/>
      <c r="P105" s="58"/>
    </row>
    <row r="106" spans="1:16" s="73" customFormat="1" ht="15.6">
      <c r="A106" s="178" t="s">
        <v>5</v>
      </c>
      <c r="B106" s="178" t="s">
        <v>334</v>
      </c>
      <c r="C106" s="178"/>
      <c r="D106" s="74"/>
      <c r="E106" s="150"/>
      <c r="F106" s="150"/>
      <c r="G106" s="150"/>
      <c r="H106" s="150"/>
      <c r="I106" s="150"/>
      <c r="J106" s="150"/>
      <c r="K106" s="150"/>
      <c r="L106" s="150"/>
      <c r="M106" s="150"/>
      <c r="N106" s="150"/>
      <c r="O106" s="150"/>
      <c r="P106" s="150"/>
    </row>
    <row r="107" spans="1:16">
      <c r="A107" s="58" t="s">
        <v>7</v>
      </c>
      <c r="B107" s="201" t="s">
        <v>261</v>
      </c>
      <c r="C107" s="58"/>
      <c r="D107" s="58"/>
      <c r="E107" s="58"/>
      <c r="F107" s="58"/>
      <c r="G107" s="58"/>
      <c r="H107" s="58"/>
      <c r="I107" s="58"/>
      <c r="J107" s="58"/>
      <c r="K107" s="58"/>
      <c r="L107" s="58"/>
      <c r="M107" s="58"/>
      <c r="N107" s="58"/>
      <c r="O107" s="58"/>
      <c r="P107" s="58"/>
    </row>
    <row r="108" spans="1:16">
      <c r="A108" s="58" t="s">
        <v>9</v>
      </c>
      <c r="B108" s="201" t="s">
        <v>335</v>
      </c>
      <c r="C108" s="58"/>
      <c r="D108" s="58"/>
      <c r="E108" s="58"/>
      <c r="F108" s="58"/>
      <c r="G108" s="58"/>
      <c r="H108" s="58"/>
      <c r="I108" s="58"/>
      <c r="J108" s="58"/>
      <c r="K108" s="58"/>
      <c r="L108" s="58"/>
      <c r="M108" s="58"/>
      <c r="N108" s="58"/>
      <c r="O108" s="58"/>
      <c r="P108" s="58"/>
    </row>
    <row r="109" spans="1:16">
      <c r="A109" s="58" t="s">
        <v>11</v>
      </c>
      <c r="B109" s="58" t="s">
        <v>308</v>
      </c>
      <c r="C109" s="58"/>
      <c r="D109" s="58"/>
      <c r="E109" s="58"/>
      <c r="F109" s="58"/>
      <c r="G109" s="58"/>
      <c r="H109" s="58"/>
      <c r="I109" s="58"/>
      <c r="J109" s="58"/>
      <c r="K109" s="58"/>
      <c r="L109" s="58"/>
      <c r="M109" s="58"/>
      <c r="N109" s="58"/>
      <c r="O109" s="58"/>
      <c r="P109" s="58"/>
    </row>
    <row r="110" spans="1:16">
      <c r="A110" s="58" t="s">
        <v>13</v>
      </c>
      <c r="B110" s="58" t="s">
        <v>59</v>
      </c>
      <c r="C110" s="58"/>
      <c r="D110" s="58"/>
      <c r="E110" s="58"/>
      <c r="F110" s="58"/>
      <c r="G110" s="58"/>
      <c r="H110" s="58"/>
      <c r="I110" s="58"/>
      <c r="J110" s="58"/>
      <c r="K110" s="58"/>
      <c r="L110" s="58"/>
      <c r="M110" s="58"/>
      <c r="N110" s="58"/>
      <c r="O110" s="58"/>
      <c r="P110" s="58"/>
    </row>
    <row r="111" spans="1:16">
      <c r="A111" s="58" t="s">
        <v>15</v>
      </c>
      <c r="B111" s="58">
        <v>1</v>
      </c>
      <c r="C111" s="58"/>
      <c r="D111" s="58"/>
      <c r="E111" s="58"/>
      <c r="F111" s="58"/>
      <c r="G111" s="58"/>
      <c r="H111" s="58"/>
      <c r="I111" s="58"/>
      <c r="J111" s="58"/>
      <c r="K111" s="58"/>
      <c r="L111" s="58"/>
      <c r="M111" s="58"/>
      <c r="N111" s="58"/>
      <c r="O111" s="58"/>
      <c r="P111" s="58"/>
    </row>
    <row r="112" spans="1:16">
      <c r="A112" s="58" t="s">
        <v>16</v>
      </c>
      <c r="B112" s="58" t="s">
        <v>17</v>
      </c>
      <c r="C112" s="58"/>
      <c r="D112" s="58"/>
      <c r="E112" s="58"/>
      <c r="F112" s="58"/>
      <c r="G112" s="58"/>
      <c r="H112" s="58"/>
      <c r="I112" s="58"/>
      <c r="J112" s="58"/>
      <c r="K112" s="58"/>
      <c r="L112" s="58"/>
      <c r="M112" s="58"/>
      <c r="N112" s="58"/>
      <c r="O112" s="58"/>
      <c r="P112" s="58"/>
    </row>
    <row r="113" spans="1:16" ht="15.6">
      <c r="A113" s="58" t="s">
        <v>18</v>
      </c>
      <c r="B113" s="180" t="s">
        <v>37</v>
      </c>
      <c r="C113" s="58"/>
      <c r="D113" s="58"/>
      <c r="E113" s="58" t="s">
        <v>185</v>
      </c>
      <c r="F113" s="58"/>
      <c r="G113" s="58"/>
      <c r="H113" s="58"/>
      <c r="I113" s="58"/>
      <c r="J113" s="58"/>
      <c r="K113" s="58"/>
      <c r="L113" s="58"/>
      <c r="M113" s="58"/>
      <c r="N113" s="58"/>
      <c r="O113" s="58"/>
      <c r="P113" s="58"/>
    </row>
    <row r="114" spans="1:16" ht="15.6">
      <c r="A114" s="181" t="s">
        <v>19</v>
      </c>
      <c r="B114" s="58"/>
      <c r="C114" s="58"/>
      <c r="D114" s="58"/>
      <c r="E114" s="58"/>
      <c r="F114" s="58"/>
      <c r="G114" s="58"/>
      <c r="H114" s="58"/>
      <c r="I114" s="58"/>
      <c r="J114" s="58"/>
      <c r="K114" s="58"/>
      <c r="L114" s="58"/>
      <c r="M114" s="58"/>
      <c r="N114" s="58"/>
      <c r="O114" s="58"/>
      <c r="P114" s="58"/>
    </row>
    <row r="115" spans="1:16" ht="15.6">
      <c r="A115" s="181" t="s">
        <v>20</v>
      </c>
      <c r="B115" s="181" t="s">
        <v>21</v>
      </c>
      <c r="C115" s="181" t="s">
        <v>186</v>
      </c>
      <c r="D115" s="181" t="s">
        <v>18</v>
      </c>
      <c r="E115" s="181" t="s">
        <v>22</v>
      </c>
      <c r="F115" s="181" t="s">
        <v>7</v>
      </c>
      <c r="G115" s="181" t="s">
        <v>13</v>
      </c>
      <c r="H115" s="181" t="s">
        <v>16</v>
      </c>
      <c r="I115" s="181" t="s">
        <v>23</v>
      </c>
      <c r="J115" s="181" t="s">
        <v>24</v>
      </c>
      <c r="K115" s="181" t="s">
        <v>25</v>
      </c>
      <c r="L115" s="181" t="s">
        <v>26</v>
      </c>
      <c r="M115" s="181" t="s">
        <v>27</v>
      </c>
      <c r="N115" s="181" t="s">
        <v>28</v>
      </c>
      <c r="O115" s="181" t="s">
        <v>11</v>
      </c>
      <c r="P115" s="181" t="s">
        <v>187</v>
      </c>
    </row>
    <row r="116" spans="1:16" ht="15.6">
      <c r="A116" s="180" t="str">
        <f>B106</f>
        <v>treatment of composites, fuselage, airframe, SOFC-bat, Long-Term</v>
      </c>
      <c r="B116" s="180">
        <v>1</v>
      </c>
      <c r="C116" s="180"/>
      <c r="D116" s="180" t="s">
        <v>37</v>
      </c>
      <c r="E116" s="58" t="s">
        <v>2</v>
      </c>
      <c r="F116" s="58" t="s">
        <v>309</v>
      </c>
      <c r="G116" s="180" t="s">
        <v>59</v>
      </c>
      <c r="H116" s="58" t="s">
        <v>30</v>
      </c>
      <c r="I116" s="58">
        <v>0</v>
      </c>
      <c r="J116" s="180" t="s">
        <v>31</v>
      </c>
      <c r="K116" s="180" t="s">
        <v>31</v>
      </c>
      <c r="L116" s="180" t="s">
        <v>31</v>
      </c>
      <c r="M116" s="180" t="s">
        <v>31</v>
      </c>
      <c r="N116" s="180" t="s">
        <v>31</v>
      </c>
      <c r="O116" s="180" t="s">
        <v>336</v>
      </c>
      <c r="P116" s="58"/>
    </row>
    <row r="117" spans="1:16" ht="15.6">
      <c r="A117" s="84" t="s">
        <v>216</v>
      </c>
      <c r="B117">
        <v>-0.5</v>
      </c>
      <c r="D117" t="s">
        <v>37</v>
      </c>
      <c r="E117" s="188" t="s">
        <v>40</v>
      </c>
      <c r="F117" s="58" t="s">
        <v>309</v>
      </c>
      <c r="G117" t="s">
        <v>82</v>
      </c>
      <c r="H117" t="s">
        <v>33</v>
      </c>
      <c r="I117" s="58">
        <v>0</v>
      </c>
      <c r="J117" s="180" t="s">
        <v>31</v>
      </c>
      <c r="K117" s="180" t="s">
        <v>31</v>
      </c>
      <c r="L117" s="180" t="s">
        <v>31</v>
      </c>
      <c r="M117" s="180" t="s">
        <v>31</v>
      </c>
      <c r="N117" s="180" t="s">
        <v>31</v>
      </c>
      <c r="O117" s="180" t="s">
        <v>217</v>
      </c>
      <c r="P117" s="180" t="s">
        <v>279</v>
      </c>
    </row>
    <row r="118" spans="1:16" ht="15.6">
      <c r="A118" t="s">
        <v>38</v>
      </c>
      <c r="B118">
        <f>B119*0.277777777</f>
        <v>2.415277771015</v>
      </c>
      <c r="D118" t="s">
        <v>39</v>
      </c>
      <c r="E118" s="188" t="s">
        <v>40</v>
      </c>
      <c r="F118" s="58" t="s">
        <v>309</v>
      </c>
      <c r="G118" t="s">
        <v>59</v>
      </c>
      <c r="H118" s="58" t="s">
        <v>136</v>
      </c>
      <c r="I118" s="58">
        <v>0</v>
      </c>
      <c r="J118" s="180" t="s">
        <v>31</v>
      </c>
      <c r="K118" s="180" t="s">
        <v>31</v>
      </c>
      <c r="L118" s="180" t="s">
        <v>31</v>
      </c>
      <c r="M118" s="180" t="s">
        <v>31</v>
      </c>
      <c r="N118" s="180" t="s">
        <v>31</v>
      </c>
      <c r="O118" t="s">
        <v>280</v>
      </c>
    </row>
    <row r="119" spans="1:16" ht="15.6">
      <c r="A119" t="s">
        <v>70</v>
      </c>
      <c r="B119">
        <f>-B117*0.5*34.78</f>
        <v>8.6950000000000003</v>
      </c>
      <c r="D119" t="s">
        <v>71</v>
      </c>
      <c r="E119" s="188" t="s">
        <v>40</v>
      </c>
      <c r="F119" s="58" t="s">
        <v>309</v>
      </c>
      <c r="G119" t="s">
        <v>59</v>
      </c>
      <c r="H119" s="58" t="s">
        <v>136</v>
      </c>
      <c r="I119" s="58">
        <v>0</v>
      </c>
      <c r="J119" s="180" t="s">
        <v>31</v>
      </c>
      <c r="K119" s="180" t="s">
        <v>31</v>
      </c>
      <c r="L119" s="180" t="s">
        <v>31</v>
      </c>
      <c r="M119" s="180" t="s">
        <v>31</v>
      </c>
      <c r="N119" s="180" t="s">
        <v>31</v>
      </c>
      <c r="O119" t="s">
        <v>315</v>
      </c>
    </row>
    <row r="120" spans="1:16" ht="15.6">
      <c r="A120" s="84" t="s">
        <v>282</v>
      </c>
      <c r="B120">
        <v>-0.5</v>
      </c>
      <c r="D120" t="s">
        <v>37</v>
      </c>
      <c r="E120" s="188" t="s">
        <v>40</v>
      </c>
      <c r="F120" s="58" t="s">
        <v>309</v>
      </c>
      <c r="G120" t="s">
        <v>82</v>
      </c>
      <c r="H120" s="58" t="s">
        <v>33</v>
      </c>
      <c r="I120" s="58">
        <v>0</v>
      </c>
      <c r="J120" s="180" t="s">
        <v>31</v>
      </c>
      <c r="K120" s="180" t="s">
        <v>31</v>
      </c>
      <c r="L120" s="180" t="s">
        <v>31</v>
      </c>
      <c r="M120" s="180" t="s">
        <v>31</v>
      </c>
      <c r="N120" s="180" t="s">
        <v>31</v>
      </c>
      <c r="O120" s="180"/>
    </row>
    <row r="121" spans="1:16" s="73" customFormat="1" ht="15.6">
      <c r="A121" s="178" t="s">
        <v>5</v>
      </c>
      <c r="B121" s="178" t="s">
        <v>337</v>
      </c>
      <c r="C121" s="178"/>
      <c r="D121" s="74"/>
      <c r="E121" s="150"/>
      <c r="F121" s="150"/>
      <c r="G121" s="150"/>
      <c r="H121" s="150"/>
      <c r="I121" s="150"/>
      <c r="J121" s="150"/>
      <c r="K121" s="150"/>
      <c r="L121" s="150"/>
      <c r="M121" s="150"/>
      <c r="N121" s="150"/>
      <c r="O121" s="150"/>
      <c r="P121" s="150"/>
    </row>
    <row r="122" spans="1:16">
      <c r="A122" s="58" t="s">
        <v>7</v>
      </c>
      <c r="B122" s="58" t="s">
        <v>261</v>
      </c>
      <c r="C122" s="58"/>
      <c r="D122" s="58"/>
      <c r="E122" s="58"/>
      <c r="F122" s="58"/>
      <c r="G122" s="58"/>
      <c r="H122" s="58"/>
      <c r="I122" s="58"/>
      <c r="J122" s="58"/>
      <c r="K122" s="58"/>
      <c r="L122" s="58"/>
      <c r="M122" s="58"/>
      <c r="N122" s="58"/>
      <c r="O122" s="58"/>
      <c r="P122" s="58"/>
    </row>
    <row r="123" spans="1:16">
      <c r="A123" s="58" t="s">
        <v>9</v>
      </c>
      <c r="B123" s="201" t="s">
        <v>338</v>
      </c>
      <c r="C123" s="58"/>
      <c r="D123" s="58"/>
      <c r="E123" s="58"/>
      <c r="F123" s="58"/>
      <c r="G123" s="58"/>
      <c r="H123" s="58"/>
      <c r="I123" s="58"/>
      <c r="J123" s="58"/>
      <c r="K123" s="58"/>
      <c r="L123" s="58"/>
      <c r="M123" s="58"/>
      <c r="N123" s="58"/>
      <c r="O123" s="58"/>
      <c r="P123" s="58"/>
    </row>
    <row r="124" spans="1:16">
      <c r="A124" s="58" t="s">
        <v>11</v>
      </c>
      <c r="B124" s="58" t="s">
        <v>308</v>
      </c>
      <c r="C124" s="58"/>
      <c r="D124" s="58"/>
      <c r="E124" s="58"/>
      <c r="F124" s="58"/>
      <c r="G124" s="58"/>
      <c r="H124" s="58"/>
      <c r="I124" s="58"/>
      <c r="J124" s="58"/>
      <c r="K124" s="58"/>
      <c r="L124" s="58"/>
      <c r="M124" s="58"/>
      <c r="N124" s="58"/>
      <c r="O124" s="58"/>
      <c r="P124" s="58"/>
    </row>
    <row r="125" spans="1:16">
      <c r="A125" s="58" t="s">
        <v>13</v>
      </c>
      <c r="B125" s="58" t="s">
        <v>59</v>
      </c>
      <c r="C125" s="58"/>
      <c r="D125" s="58"/>
      <c r="E125" s="58"/>
      <c r="F125" s="58"/>
      <c r="G125" s="58"/>
      <c r="H125" s="58"/>
      <c r="I125" s="58"/>
      <c r="J125" s="58"/>
      <c r="K125" s="58"/>
      <c r="L125" s="58"/>
      <c r="M125" s="58"/>
      <c r="N125" s="58"/>
      <c r="O125" s="58"/>
      <c r="P125" s="58"/>
    </row>
    <row r="126" spans="1:16">
      <c r="A126" s="58" t="s">
        <v>15</v>
      </c>
      <c r="B126" s="58">
        <v>1</v>
      </c>
      <c r="C126" s="58"/>
      <c r="D126" s="58"/>
      <c r="E126" s="58"/>
      <c r="F126" s="58"/>
      <c r="G126" s="58"/>
      <c r="H126" s="58"/>
      <c r="I126" s="58"/>
      <c r="J126" s="58"/>
      <c r="K126" s="58"/>
      <c r="L126" s="58"/>
      <c r="M126" s="58"/>
      <c r="N126" s="58"/>
      <c r="O126" s="58"/>
      <c r="P126" s="58"/>
    </row>
    <row r="127" spans="1:16">
      <c r="A127" s="58" t="s">
        <v>16</v>
      </c>
      <c r="B127" s="58" t="s">
        <v>17</v>
      </c>
      <c r="C127" s="58"/>
      <c r="D127" s="58"/>
      <c r="E127" s="58"/>
      <c r="F127" s="58"/>
      <c r="G127" s="58"/>
      <c r="H127" s="58"/>
      <c r="I127" s="58"/>
      <c r="J127" s="58"/>
      <c r="K127" s="58"/>
      <c r="L127" s="58"/>
      <c r="M127" s="58"/>
      <c r="N127" s="58"/>
      <c r="O127" s="58"/>
      <c r="P127" s="58"/>
    </row>
    <row r="128" spans="1:16" ht="15.6">
      <c r="A128" s="58" t="s">
        <v>18</v>
      </c>
      <c r="B128" s="180" t="s">
        <v>37</v>
      </c>
      <c r="C128" s="58"/>
      <c r="D128" s="58"/>
      <c r="E128" s="58" t="s">
        <v>185</v>
      </c>
      <c r="F128" s="58"/>
      <c r="G128" s="58"/>
      <c r="H128" s="58"/>
      <c r="I128" s="58"/>
      <c r="J128" s="58"/>
      <c r="K128" s="58"/>
      <c r="L128" s="58"/>
      <c r="M128" s="58"/>
      <c r="N128" s="58"/>
      <c r="O128" s="58"/>
      <c r="P128" s="58"/>
    </row>
    <row r="129" spans="1:16" ht="15.6">
      <c r="A129" s="181" t="s">
        <v>19</v>
      </c>
      <c r="B129" s="58"/>
      <c r="C129" s="58"/>
      <c r="D129" s="58"/>
      <c r="E129" s="58"/>
      <c r="F129" s="58"/>
      <c r="G129" s="58"/>
      <c r="H129" s="58"/>
      <c r="I129" s="58"/>
      <c r="J129" s="58"/>
      <c r="K129" s="58"/>
      <c r="L129" s="58"/>
      <c r="M129" s="58"/>
      <c r="N129" s="58"/>
      <c r="O129" s="58"/>
      <c r="P129" s="58"/>
    </row>
    <row r="130" spans="1:16" ht="15.6">
      <c r="A130" s="181" t="s">
        <v>20</v>
      </c>
      <c r="B130" s="181" t="s">
        <v>21</v>
      </c>
      <c r="C130" s="181" t="s">
        <v>186</v>
      </c>
      <c r="D130" s="181" t="s">
        <v>18</v>
      </c>
      <c r="E130" s="181" t="s">
        <v>22</v>
      </c>
      <c r="F130" s="181" t="s">
        <v>7</v>
      </c>
      <c r="G130" s="181" t="s">
        <v>13</v>
      </c>
      <c r="H130" s="181" t="s">
        <v>16</v>
      </c>
      <c r="I130" s="181" t="s">
        <v>23</v>
      </c>
      <c r="J130" s="181" t="s">
        <v>24</v>
      </c>
      <c r="K130" s="181" t="s">
        <v>25</v>
      </c>
      <c r="L130" s="181" t="s">
        <v>26</v>
      </c>
      <c r="M130" s="181" t="s">
        <v>27</v>
      </c>
      <c r="N130" s="181" t="s">
        <v>28</v>
      </c>
      <c r="O130" s="181" t="s">
        <v>11</v>
      </c>
      <c r="P130" s="181" t="s">
        <v>187</v>
      </c>
    </row>
    <row r="131" spans="1:16" ht="15.6">
      <c r="A131" s="180" t="str">
        <f>B121</f>
        <v>treatment of steel, fuselage, airframe, SOFC-bat, Long-Term</v>
      </c>
      <c r="B131" s="180">
        <v>1</v>
      </c>
      <c r="C131" s="180"/>
      <c r="D131" s="180" t="s">
        <v>37</v>
      </c>
      <c r="E131" s="58" t="s">
        <v>2</v>
      </c>
      <c r="F131" s="58" t="s">
        <v>309</v>
      </c>
      <c r="G131" s="180" t="s">
        <v>59</v>
      </c>
      <c r="H131" s="58" t="s">
        <v>30</v>
      </c>
      <c r="I131" s="58">
        <v>0</v>
      </c>
      <c r="J131" s="180" t="s">
        <v>31</v>
      </c>
      <c r="K131" s="180" t="s">
        <v>31</v>
      </c>
      <c r="L131" s="180" t="s">
        <v>31</v>
      </c>
      <c r="M131" s="180" t="s">
        <v>31</v>
      </c>
      <c r="N131" s="180" t="s">
        <v>31</v>
      </c>
      <c r="O131" s="180" t="s">
        <v>339</v>
      </c>
      <c r="P131" s="58"/>
    </row>
    <row r="132" spans="1:16" ht="15.6">
      <c r="A132" t="s">
        <v>135</v>
      </c>
      <c r="B132" s="23">
        <v>0.85</v>
      </c>
      <c r="C132" s="180"/>
      <c r="D132" s="180" t="s">
        <v>37</v>
      </c>
      <c r="E132" s="84" t="s">
        <v>40</v>
      </c>
      <c r="F132" s="58" t="s">
        <v>309</v>
      </c>
      <c r="G132" s="180" t="s">
        <v>82</v>
      </c>
      <c r="H132" s="58" t="s">
        <v>33</v>
      </c>
      <c r="I132" s="58">
        <v>0</v>
      </c>
      <c r="J132" s="180" t="s">
        <v>31</v>
      </c>
      <c r="K132" s="180" t="s">
        <v>31</v>
      </c>
      <c r="L132" s="180" t="s">
        <v>31</v>
      </c>
      <c r="M132" s="180" t="s">
        <v>31</v>
      </c>
      <c r="N132" s="180" t="s">
        <v>31</v>
      </c>
      <c r="O132" s="58"/>
      <c r="P132" s="58"/>
    </row>
    <row r="133" spans="1:16" ht="15.6">
      <c r="A133" t="s">
        <v>237</v>
      </c>
      <c r="B133" s="23">
        <f>0.9*B132</f>
        <v>0.76500000000000001</v>
      </c>
      <c r="C133" s="180"/>
      <c r="D133" s="180" t="s">
        <v>37</v>
      </c>
      <c r="E133" s="84" t="s">
        <v>40</v>
      </c>
      <c r="F133" s="58" t="s">
        <v>309</v>
      </c>
      <c r="G133" s="180" t="s">
        <v>59</v>
      </c>
      <c r="H133" s="58" t="s">
        <v>136</v>
      </c>
      <c r="I133" s="58">
        <v>0</v>
      </c>
      <c r="J133" s="180" t="s">
        <v>31</v>
      </c>
      <c r="K133" s="180" t="s">
        <v>31</v>
      </c>
      <c r="L133" s="180" t="s">
        <v>31</v>
      </c>
      <c r="M133" s="180" t="s">
        <v>31</v>
      </c>
      <c r="N133" s="180" t="s">
        <v>31</v>
      </c>
      <c r="O133" s="58"/>
      <c r="P133" s="58" t="s">
        <v>206</v>
      </c>
    </row>
    <row r="134" spans="1:16" ht="16.5" customHeight="1">
      <c r="A134" t="s">
        <v>210</v>
      </c>
      <c r="B134" s="23">
        <f>-(1-B133)</f>
        <v>-0.23499999999999999</v>
      </c>
      <c r="D134" t="s">
        <v>37</v>
      </c>
      <c r="E134" s="84" t="s">
        <v>40</v>
      </c>
      <c r="F134" s="58" t="s">
        <v>309</v>
      </c>
      <c r="G134" t="s">
        <v>59</v>
      </c>
      <c r="H134" t="s">
        <v>33</v>
      </c>
      <c r="I134">
        <v>0</v>
      </c>
      <c r="J134" t="s">
        <v>31</v>
      </c>
      <c r="K134" t="s">
        <v>31</v>
      </c>
      <c r="L134" t="s">
        <v>31</v>
      </c>
      <c r="M134" t="s">
        <v>31</v>
      </c>
      <c r="N134" t="s">
        <v>31</v>
      </c>
      <c r="O134" s="17"/>
      <c r="P134" s="58" t="s">
        <v>319</v>
      </c>
    </row>
    <row r="135" spans="1:16" s="73" customFormat="1" ht="15.6">
      <c r="A135" s="178" t="s">
        <v>5</v>
      </c>
      <c r="B135" s="178" t="s">
        <v>340</v>
      </c>
      <c r="C135" s="178"/>
      <c r="D135" s="74"/>
      <c r="E135" s="150"/>
      <c r="F135" s="150"/>
      <c r="G135" s="150"/>
      <c r="H135" s="150"/>
      <c r="I135" s="150"/>
      <c r="J135" s="150"/>
      <c r="K135" s="150"/>
      <c r="L135" s="150"/>
      <c r="M135" s="150"/>
      <c r="N135" s="150"/>
      <c r="O135" s="150"/>
      <c r="P135" s="150"/>
    </row>
    <row r="136" spans="1:16">
      <c r="A136" s="58" t="s">
        <v>7</v>
      </c>
      <c r="B136" s="58" t="s">
        <v>261</v>
      </c>
      <c r="C136" s="58"/>
      <c r="D136" s="58"/>
      <c r="E136" s="58"/>
      <c r="F136" s="58"/>
      <c r="G136" s="58"/>
      <c r="H136" s="58"/>
      <c r="I136" s="58"/>
      <c r="J136" s="58"/>
      <c r="K136" s="58"/>
      <c r="L136" s="58"/>
      <c r="M136" s="58"/>
      <c r="N136" s="58"/>
      <c r="O136" s="58"/>
      <c r="P136" s="58"/>
    </row>
    <row r="137" spans="1:16">
      <c r="A137" s="58" t="s">
        <v>9</v>
      </c>
      <c r="B137" s="201" t="s">
        <v>341</v>
      </c>
      <c r="C137" s="58"/>
      <c r="D137" s="58"/>
      <c r="E137" s="58"/>
      <c r="F137" s="58"/>
      <c r="G137" s="58"/>
      <c r="H137" s="58"/>
      <c r="I137" s="58"/>
      <c r="J137" s="58"/>
      <c r="K137" s="58"/>
      <c r="L137" s="58"/>
      <c r="M137" s="58"/>
      <c r="N137" s="58"/>
      <c r="O137" s="58"/>
      <c r="P137" s="58"/>
    </row>
    <row r="138" spans="1:16">
      <c r="A138" s="58" t="s">
        <v>11</v>
      </c>
      <c r="B138" s="58" t="s">
        <v>308</v>
      </c>
      <c r="C138" s="58"/>
      <c r="D138" s="58"/>
      <c r="E138" s="58"/>
      <c r="F138" s="58"/>
      <c r="G138" s="58"/>
      <c r="H138" s="58"/>
      <c r="I138" s="58"/>
      <c r="J138" s="58"/>
      <c r="K138" s="58"/>
      <c r="L138" s="58"/>
      <c r="M138" s="58"/>
      <c r="N138" s="58"/>
      <c r="O138" s="58"/>
      <c r="P138" s="58"/>
    </row>
    <row r="139" spans="1:16">
      <c r="A139" s="58" t="s">
        <v>13</v>
      </c>
      <c r="B139" s="58" t="s">
        <v>59</v>
      </c>
      <c r="C139" s="58"/>
      <c r="D139" s="58"/>
      <c r="E139" s="58"/>
      <c r="F139" s="58"/>
      <c r="G139" s="58"/>
      <c r="H139" s="58"/>
      <c r="I139" s="58"/>
      <c r="J139" s="58"/>
      <c r="K139" s="58"/>
      <c r="L139" s="58"/>
      <c r="M139" s="58"/>
      <c r="N139" s="58"/>
      <c r="O139" s="58"/>
      <c r="P139" s="58"/>
    </row>
    <row r="140" spans="1:16">
      <c r="A140" s="58" t="s">
        <v>15</v>
      </c>
      <c r="B140" s="58">
        <v>1</v>
      </c>
      <c r="C140" s="58"/>
      <c r="D140" s="58"/>
      <c r="E140" s="58"/>
      <c r="F140" s="58"/>
      <c r="G140" s="58"/>
      <c r="H140" s="58"/>
      <c r="I140" s="58"/>
      <c r="J140" s="58"/>
      <c r="K140" s="58"/>
      <c r="L140" s="58"/>
      <c r="M140" s="58"/>
      <c r="N140" s="58"/>
      <c r="O140" s="58"/>
      <c r="P140" s="58"/>
    </row>
    <row r="141" spans="1:16">
      <c r="A141" s="58" t="s">
        <v>16</v>
      </c>
      <c r="B141" s="58" t="s">
        <v>17</v>
      </c>
      <c r="C141" s="58"/>
      <c r="D141" s="58"/>
      <c r="E141" s="58"/>
      <c r="F141" s="58"/>
      <c r="G141" s="58"/>
      <c r="H141" s="58"/>
      <c r="I141" s="58"/>
      <c r="J141" s="58"/>
      <c r="K141" s="58"/>
      <c r="L141" s="58"/>
      <c r="M141" s="58"/>
      <c r="N141" s="58"/>
      <c r="O141" s="58"/>
      <c r="P141" s="58"/>
    </row>
    <row r="142" spans="1:16" ht="15.6">
      <c r="A142" s="58" t="s">
        <v>18</v>
      </c>
      <c r="B142" s="180" t="s">
        <v>37</v>
      </c>
      <c r="C142" s="58"/>
      <c r="D142" s="58"/>
      <c r="E142" s="58" t="s">
        <v>185</v>
      </c>
      <c r="F142" s="58"/>
      <c r="G142" s="58"/>
      <c r="H142" s="58"/>
      <c r="I142" s="58"/>
      <c r="J142" s="58"/>
      <c r="K142" s="58"/>
      <c r="L142" s="58"/>
      <c r="M142" s="58"/>
      <c r="N142" s="58"/>
      <c r="O142" s="58"/>
      <c r="P142" s="58"/>
    </row>
    <row r="143" spans="1:16" ht="15.6">
      <c r="A143" s="181" t="s">
        <v>19</v>
      </c>
      <c r="B143" s="58"/>
      <c r="C143" s="58"/>
      <c r="D143" s="58"/>
      <c r="E143" s="58"/>
      <c r="F143" s="58"/>
      <c r="G143" s="58"/>
      <c r="H143" s="58"/>
      <c r="I143" s="58"/>
      <c r="J143" s="58"/>
      <c r="K143" s="58"/>
      <c r="L143" s="58"/>
      <c r="M143" s="58"/>
      <c r="N143" s="58"/>
      <c r="O143" s="58"/>
      <c r="P143" s="58"/>
    </row>
    <row r="144" spans="1:16" ht="15.6">
      <c r="A144" s="181" t="s">
        <v>20</v>
      </c>
      <c r="B144" s="181" t="s">
        <v>21</v>
      </c>
      <c r="C144" s="181" t="s">
        <v>186</v>
      </c>
      <c r="D144" s="181" t="s">
        <v>18</v>
      </c>
      <c r="E144" s="181" t="s">
        <v>22</v>
      </c>
      <c r="F144" s="181" t="s">
        <v>7</v>
      </c>
      <c r="G144" s="181" t="s">
        <v>13</v>
      </c>
      <c r="H144" s="181" t="s">
        <v>16</v>
      </c>
      <c r="I144" s="181" t="s">
        <v>23</v>
      </c>
      <c r="J144" s="181" t="s">
        <v>24</v>
      </c>
      <c r="K144" s="181" t="s">
        <v>25</v>
      </c>
      <c r="L144" s="181" t="s">
        <v>26</v>
      </c>
      <c r="M144" s="181" t="s">
        <v>27</v>
      </c>
      <c r="N144" s="181" t="s">
        <v>28</v>
      </c>
      <c r="O144" s="181" t="s">
        <v>11</v>
      </c>
      <c r="P144" s="181" t="s">
        <v>187</v>
      </c>
    </row>
    <row r="145" spans="1:22" ht="15.6">
      <c r="A145" s="180" t="str">
        <f>B135</f>
        <v>treatment of titanium, fuselage, airframe, SOFC-bat, Long-Term</v>
      </c>
      <c r="B145" s="180">
        <v>1</v>
      </c>
      <c r="C145" s="180"/>
      <c r="D145" s="180" t="s">
        <v>37</v>
      </c>
      <c r="E145" s="58" t="s">
        <v>2</v>
      </c>
      <c r="F145" s="58" t="s">
        <v>309</v>
      </c>
      <c r="G145" s="180" t="s">
        <v>59</v>
      </c>
      <c r="H145" s="58" t="s">
        <v>30</v>
      </c>
      <c r="I145" s="58">
        <v>0</v>
      </c>
      <c r="J145" s="180" t="s">
        <v>31</v>
      </c>
      <c r="K145" s="180" t="s">
        <v>31</v>
      </c>
      <c r="L145" s="180" t="s">
        <v>31</v>
      </c>
      <c r="M145" s="180" t="s">
        <v>31</v>
      </c>
      <c r="N145" s="180" t="s">
        <v>31</v>
      </c>
      <c r="O145" s="180" t="s">
        <v>318</v>
      </c>
      <c r="P145" s="58"/>
    </row>
    <row r="146" spans="1:22">
      <c r="A146" t="s">
        <v>265</v>
      </c>
      <c r="B146">
        <f>U146</f>
        <v>19.0000152</v>
      </c>
      <c r="D146" t="s">
        <v>39</v>
      </c>
      <c r="E146" t="s">
        <v>40</v>
      </c>
      <c r="F146" s="58" t="s">
        <v>309</v>
      </c>
      <c r="G146" t="s">
        <v>59</v>
      </c>
      <c r="H146" t="s">
        <v>33</v>
      </c>
      <c r="I146">
        <v>2</v>
      </c>
      <c r="J146">
        <v>9.398101209</v>
      </c>
      <c r="K146">
        <v>0.30331501799999999</v>
      </c>
      <c r="L146" t="s">
        <v>31</v>
      </c>
      <c r="M146" t="s">
        <v>31</v>
      </c>
      <c r="N146" t="s">
        <v>31</v>
      </c>
      <c r="O146" t="s">
        <v>342</v>
      </c>
      <c r="P146" t="s">
        <v>343</v>
      </c>
      <c r="Q146" s="22" t="s">
        <v>322</v>
      </c>
      <c r="S146" s="22">
        <f>114*0.6</f>
        <v>68.399999999999991</v>
      </c>
      <c r="T146" s="22" t="s">
        <v>270</v>
      </c>
      <c r="U146" s="22">
        <f>S146*0.277778</f>
        <v>19.0000152</v>
      </c>
      <c r="V146" s="22" t="s">
        <v>271</v>
      </c>
    </row>
    <row r="147" spans="1:22">
      <c r="A147" t="s">
        <v>69</v>
      </c>
      <c r="B147">
        <f>U147</f>
        <v>1.1906005221932117</v>
      </c>
      <c r="D147" t="s">
        <v>42</v>
      </c>
      <c r="E147" t="s">
        <v>40</v>
      </c>
      <c r="F147" s="58" t="s">
        <v>309</v>
      </c>
      <c r="G147" t="s">
        <v>272</v>
      </c>
      <c r="H147" t="s">
        <v>33</v>
      </c>
      <c r="I147">
        <v>2</v>
      </c>
      <c r="J147">
        <v>6.6281192500000001</v>
      </c>
      <c r="K147">
        <v>0.30331501799999999</v>
      </c>
      <c r="L147" t="s">
        <v>31</v>
      </c>
      <c r="M147" t="s">
        <v>31</v>
      </c>
      <c r="N147" t="s">
        <v>31</v>
      </c>
      <c r="O147" t="s">
        <v>344</v>
      </c>
      <c r="P147" t="s">
        <v>345</v>
      </c>
      <c r="Q147" s="22" t="s">
        <v>323</v>
      </c>
      <c r="S147" s="22">
        <f>114*0.4</f>
        <v>45.6</v>
      </c>
      <c r="T147" s="22" t="s">
        <v>270</v>
      </c>
      <c r="U147" s="22">
        <f>S147/38.3</f>
        <v>1.1906005221932117</v>
      </c>
      <c r="V147" s="22" t="s">
        <v>274</v>
      </c>
    </row>
    <row r="148" spans="1:22" ht="15.6">
      <c r="A148" t="s">
        <v>210</v>
      </c>
      <c r="B148" s="23">
        <f>-1</f>
        <v>-1</v>
      </c>
      <c r="D148" t="s">
        <v>37</v>
      </c>
      <c r="E148" s="84" t="s">
        <v>40</v>
      </c>
      <c r="F148" s="58" t="s">
        <v>309</v>
      </c>
      <c r="G148" t="s">
        <v>59</v>
      </c>
      <c r="H148" t="s">
        <v>33</v>
      </c>
      <c r="I148">
        <v>0</v>
      </c>
      <c r="J148" t="s">
        <v>31</v>
      </c>
      <c r="K148" t="s">
        <v>31</v>
      </c>
      <c r="L148" t="s">
        <v>31</v>
      </c>
      <c r="M148" t="s">
        <v>31</v>
      </c>
      <c r="N148" t="s">
        <v>31</v>
      </c>
      <c r="O148" s="17"/>
      <c r="P148" s="58" t="s">
        <v>346</v>
      </c>
    </row>
    <row r="149" spans="1:22" s="73" customFormat="1" ht="15.6">
      <c r="A149" s="178" t="s">
        <v>5</v>
      </c>
      <c r="B149" s="178" t="s">
        <v>347</v>
      </c>
      <c r="C149" s="178"/>
      <c r="D149" s="74"/>
      <c r="E149" s="150"/>
      <c r="F149" s="150"/>
      <c r="G149" s="150"/>
      <c r="H149" s="150"/>
      <c r="I149" s="150"/>
      <c r="J149" s="150"/>
      <c r="K149" s="150"/>
      <c r="L149" s="150"/>
      <c r="M149" s="150"/>
      <c r="N149" s="150"/>
      <c r="O149" s="150"/>
      <c r="P149" s="150"/>
    </row>
    <row r="150" spans="1:22">
      <c r="A150" s="58" t="s">
        <v>7</v>
      </c>
      <c r="B150" s="58" t="s">
        <v>261</v>
      </c>
      <c r="C150" s="58"/>
      <c r="D150" s="58"/>
      <c r="E150" s="58"/>
      <c r="F150" s="58"/>
      <c r="G150" s="58"/>
      <c r="H150" s="58"/>
      <c r="I150" s="58"/>
      <c r="J150" s="58"/>
      <c r="K150" s="58"/>
      <c r="L150" s="58"/>
      <c r="M150" s="58"/>
      <c r="N150" s="58"/>
      <c r="O150" s="58"/>
      <c r="P150" s="58"/>
    </row>
    <row r="151" spans="1:22">
      <c r="A151" s="58" t="s">
        <v>9</v>
      </c>
      <c r="B151" s="201" t="s">
        <v>348</v>
      </c>
      <c r="C151" s="58"/>
      <c r="D151" s="58"/>
      <c r="E151" s="58"/>
      <c r="F151" s="58"/>
      <c r="G151" s="58"/>
      <c r="H151" s="58"/>
      <c r="I151" s="58"/>
      <c r="J151" s="58"/>
      <c r="K151" s="58"/>
      <c r="L151" s="58"/>
      <c r="M151" s="58"/>
      <c r="N151" s="58"/>
      <c r="O151" s="58"/>
      <c r="P151" s="58"/>
    </row>
    <row r="152" spans="1:22">
      <c r="A152" s="58" t="s">
        <v>11</v>
      </c>
      <c r="B152" s="58" t="s">
        <v>308</v>
      </c>
      <c r="C152" s="58"/>
      <c r="D152" s="58"/>
      <c r="E152" s="58"/>
      <c r="F152" s="58"/>
      <c r="G152" s="58"/>
      <c r="H152" s="58"/>
      <c r="I152" s="58"/>
      <c r="J152" s="58"/>
      <c r="K152" s="58"/>
      <c r="L152" s="58"/>
      <c r="M152" s="58"/>
      <c r="N152" s="58"/>
      <c r="O152" s="58"/>
      <c r="P152" s="58"/>
    </row>
    <row r="153" spans="1:22">
      <c r="A153" s="58" t="s">
        <v>13</v>
      </c>
      <c r="B153" s="58" t="s">
        <v>59</v>
      </c>
      <c r="C153" s="58"/>
      <c r="D153" s="58"/>
      <c r="E153" s="58"/>
      <c r="F153" s="58"/>
      <c r="G153" s="58"/>
      <c r="H153" s="58"/>
      <c r="I153" s="58"/>
      <c r="J153" s="58"/>
      <c r="K153" s="58"/>
      <c r="L153" s="58"/>
      <c r="M153" s="58"/>
      <c r="N153" s="58"/>
      <c r="O153" s="58"/>
      <c r="P153" s="58"/>
    </row>
    <row r="154" spans="1:22">
      <c r="A154" s="58" t="s">
        <v>15</v>
      </c>
      <c r="B154" s="58">
        <v>1</v>
      </c>
      <c r="C154" s="58"/>
      <c r="D154" s="58"/>
      <c r="E154" s="58"/>
      <c r="F154" s="58"/>
      <c r="G154" s="58"/>
      <c r="H154" s="58"/>
      <c r="I154" s="58"/>
      <c r="J154" s="58"/>
      <c r="K154" s="58"/>
      <c r="L154" s="58"/>
      <c r="M154" s="58"/>
      <c r="N154" s="58"/>
      <c r="O154" s="58"/>
      <c r="P154" s="58"/>
    </row>
    <row r="155" spans="1:22">
      <c r="A155" s="58" t="s">
        <v>16</v>
      </c>
      <c r="B155" s="58" t="s">
        <v>17</v>
      </c>
      <c r="C155" s="58"/>
      <c r="D155" s="58"/>
      <c r="E155" s="58"/>
      <c r="F155" s="58"/>
      <c r="G155" s="58"/>
      <c r="H155" s="58"/>
      <c r="I155" s="58"/>
      <c r="J155" s="58"/>
      <c r="K155" s="58"/>
      <c r="L155" s="58"/>
      <c r="M155" s="58"/>
      <c r="N155" s="58"/>
      <c r="O155" s="58"/>
      <c r="P155" s="58"/>
    </row>
    <row r="156" spans="1:22" ht="15.6">
      <c r="A156" s="58" t="s">
        <v>18</v>
      </c>
      <c r="B156" s="180" t="s">
        <v>37</v>
      </c>
      <c r="C156" s="58"/>
      <c r="D156" s="58"/>
      <c r="E156" s="58" t="s">
        <v>185</v>
      </c>
      <c r="F156" s="58"/>
      <c r="G156" s="58"/>
      <c r="H156" s="58"/>
      <c r="I156" s="58"/>
      <c r="J156" s="58"/>
      <c r="K156" s="58"/>
      <c r="L156" s="58"/>
      <c r="M156" s="58"/>
      <c r="N156" s="58"/>
      <c r="O156" s="58"/>
      <c r="P156" s="58"/>
    </row>
    <row r="157" spans="1:22" ht="15.6">
      <c r="A157" s="181" t="s">
        <v>19</v>
      </c>
      <c r="B157" s="58"/>
      <c r="C157" s="58"/>
      <c r="D157" s="58"/>
      <c r="E157" s="58"/>
      <c r="F157" s="58"/>
      <c r="G157" s="58"/>
      <c r="H157" s="58"/>
      <c r="I157" s="58"/>
      <c r="J157" s="58"/>
      <c r="K157" s="58"/>
      <c r="L157" s="58"/>
      <c r="M157" s="58"/>
      <c r="N157" s="58"/>
      <c r="O157" s="58"/>
      <c r="P157" s="58"/>
    </row>
    <row r="158" spans="1:22" ht="15.6">
      <c r="A158" s="181" t="s">
        <v>20</v>
      </c>
      <c r="B158" s="181" t="s">
        <v>21</v>
      </c>
      <c r="C158" s="181" t="s">
        <v>186</v>
      </c>
      <c r="D158" s="181" t="s">
        <v>18</v>
      </c>
      <c r="E158" s="181" t="s">
        <v>22</v>
      </c>
      <c r="F158" s="181" t="s">
        <v>7</v>
      </c>
      <c r="G158" s="181" t="s">
        <v>13</v>
      </c>
      <c r="H158" s="181" t="s">
        <v>16</v>
      </c>
      <c r="I158" s="181" t="s">
        <v>23</v>
      </c>
      <c r="J158" s="181" t="s">
        <v>24</v>
      </c>
      <c r="K158" s="181" t="s">
        <v>25</v>
      </c>
      <c r="L158" s="181" t="s">
        <v>26</v>
      </c>
      <c r="M158" s="181" t="s">
        <v>27</v>
      </c>
      <c r="N158" s="181" t="s">
        <v>28</v>
      </c>
      <c r="O158" s="181" t="s">
        <v>11</v>
      </c>
      <c r="P158" s="181" t="s">
        <v>187</v>
      </c>
    </row>
    <row r="159" spans="1:22" ht="15.6">
      <c r="A159" s="180" t="str">
        <f>B149</f>
        <v>treatment of system, frunishing and, operative equipment, airframe, SOFC-bat, Long-Term</v>
      </c>
      <c r="B159" s="180">
        <v>1</v>
      </c>
      <c r="C159" s="180"/>
      <c r="D159" s="180" t="s">
        <v>37</v>
      </c>
      <c r="E159" s="58" t="s">
        <v>2</v>
      </c>
      <c r="F159" s="58" t="s">
        <v>309</v>
      </c>
      <c r="G159" s="180" t="s">
        <v>59</v>
      </c>
      <c r="H159" s="58" t="s">
        <v>30</v>
      </c>
      <c r="I159" s="58">
        <v>0</v>
      </c>
      <c r="J159" s="180" t="s">
        <v>31</v>
      </c>
      <c r="K159" s="180" t="s">
        <v>31</v>
      </c>
      <c r="L159" s="180" t="s">
        <v>31</v>
      </c>
      <c r="M159" s="180" t="s">
        <v>31</v>
      </c>
      <c r="N159" s="180" t="s">
        <v>31</v>
      </c>
      <c r="O159" s="180"/>
      <c r="P159" s="58"/>
    </row>
    <row r="160" spans="1:22" ht="15.6">
      <c r="A160" t="str">
        <f>B91</f>
        <v>treatment of aluminium, fuselage, airframe, SOFC-bat, Long-Term</v>
      </c>
      <c r="B160">
        <v>430.15800000000013</v>
      </c>
      <c r="D160" s="180" t="s">
        <v>37</v>
      </c>
      <c r="E160" s="58" t="s">
        <v>2</v>
      </c>
      <c r="F160" s="58" t="s">
        <v>309</v>
      </c>
      <c r="G160" s="180" t="s">
        <v>59</v>
      </c>
      <c r="H160" s="58" t="s">
        <v>30</v>
      </c>
      <c r="I160" s="58">
        <v>0</v>
      </c>
      <c r="J160" s="180" t="s">
        <v>31</v>
      </c>
      <c r="K160" s="180" t="s">
        <v>31</v>
      </c>
      <c r="L160" s="180" t="s">
        <v>31</v>
      </c>
      <c r="M160" s="180" t="s">
        <v>31</v>
      </c>
      <c r="N160" s="180" t="s">
        <v>31</v>
      </c>
      <c r="O160" s="180" t="s">
        <v>349</v>
      </c>
    </row>
    <row r="161" spans="1:16" ht="15.6">
      <c r="A161" s="84" t="s">
        <v>223</v>
      </c>
      <c r="B161" s="58">
        <v>420.41844479999997</v>
      </c>
      <c r="D161" t="s">
        <v>37</v>
      </c>
      <c r="E161" s="188" t="s">
        <v>40</v>
      </c>
      <c r="F161" s="58" t="s">
        <v>309</v>
      </c>
      <c r="G161" t="s">
        <v>82</v>
      </c>
      <c r="H161" t="s">
        <v>33</v>
      </c>
      <c r="I161" s="58">
        <v>0</v>
      </c>
      <c r="J161" s="180" t="s">
        <v>31</v>
      </c>
      <c r="K161" s="180" t="s">
        <v>31</v>
      </c>
      <c r="L161" s="180" t="s">
        <v>31</v>
      </c>
      <c r="M161" s="180" t="s">
        <v>31</v>
      </c>
      <c r="N161" s="180" t="s">
        <v>31</v>
      </c>
      <c r="O161" s="180" t="s">
        <v>350</v>
      </c>
    </row>
    <row r="162" spans="1:16">
      <c r="A162" t="s">
        <v>210</v>
      </c>
      <c r="B162" s="23">
        <v>-47.819000000000003</v>
      </c>
      <c r="D162" t="s">
        <v>37</v>
      </c>
      <c r="E162" s="84" t="s">
        <v>40</v>
      </c>
      <c r="F162" s="58" t="s">
        <v>309</v>
      </c>
      <c r="G162" t="s">
        <v>59</v>
      </c>
      <c r="H162" t="s">
        <v>33</v>
      </c>
      <c r="I162">
        <v>0</v>
      </c>
      <c r="J162" t="s">
        <v>31</v>
      </c>
      <c r="K162" t="s">
        <v>31</v>
      </c>
      <c r="L162" t="s">
        <v>31</v>
      </c>
      <c r="M162" t="s">
        <v>31</v>
      </c>
      <c r="N162" t="s">
        <v>31</v>
      </c>
      <c r="O162" s="58" t="s">
        <v>351</v>
      </c>
    </row>
    <row r="163" spans="1:16">
      <c r="A163" t="s">
        <v>210</v>
      </c>
      <c r="B163">
        <v>-7.3369999999999997</v>
      </c>
      <c r="D163" t="s">
        <v>37</v>
      </c>
      <c r="E163" s="84" t="s">
        <v>40</v>
      </c>
      <c r="F163" s="58" t="s">
        <v>309</v>
      </c>
      <c r="G163" t="s">
        <v>59</v>
      </c>
      <c r="H163" t="s">
        <v>33</v>
      </c>
      <c r="I163">
        <v>0</v>
      </c>
      <c r="J163" t="s">
        <v>31</v>
      </c>
      <c r="K163" t="s">
        <v>31</v>
      </c>
      <c r="L163" t="s">
        <v>31</v>
      </c>
      <c r="M163" t="s">
        <v>31</v>
      </c>
      <c r="N163" t="s">
        <v>31</v>
      </c>
      <c r="O163" s="58" t="s">
        <v>352</v>
      </c>
    </row>
    <row r="164" spans="1:16" ht="15.6">
      <c r="A164" s="84" t="s">
        <v>223</v>
      </c>
      <c r="B164" s="58">
        <v>133.7013024</v>
      </c>
      <c r="D164" t="s">
        <v>37</v>
      </c>
      <c r="E164" s="188" t="s">
        <v>40</v>
      </c>
      <c r="F164" s="58" t="s">
        <v>309</v>
      </c>
      <c r="G164" t="s">
        <v>82</v>
      </c>
      <c r="H164" t="s">
        <v>33</v>
      </c>
      <c r="I164" s="58">
        <v>0</v>
      </c>
      <c r="J164" s="180" t="s">
        <v>31</v>
      </c>
      <c r="K164" s="180" t="s">
        <v>31</v>
      </c>
      <c r="L164" s="180" t="s">
        <v>31</v>
      </c>
      <c r="M164" s="180" t="s">
        <v>31</v>
      </c>
      <c r="N164" s="180" t="s">
        <v>31</v>
      </c>
      <c r="O164" s="180" t="s">
        <v>353</v>
      </c>
    </row>
    <row r="165" spans="1:16" ht="15.6">
      <c r="A165" s="84" t="s">
        <v>223</v>
      </c>
      <c r="B165" s="58">
        <v>10</v>
      </c>
      <c r="D165" t="s">
        <v>37</v>
      </c>
      <c r="E165" s="188" t="s">
        <v>40</v>
      </c>
      <c r="F165" s="58" t="s">
        <v>309</v>
      </c>
      <c r="G165" t="s">
        <v>82</v>
      </c>
      <c r="H165" t="s">
        <v>33</v>
      </c>
      <c r="I165" s="58">
        <v>0</v>
      </c>
      <c r="J165" s="180" t="s">
        <v>31</v>
      </c>
      <c r="K165" s="180" t="s">
        <v>31</v>
      </c>
      <c r="L165" s="180" t="s">
        <v>31</v>
      </c>
      <c r="M165" s="180" t="s">
        <v>31</v>
      </c>
      <c r="N165" s="180" t="s">
        <v>31</v>
      </c>
      <c r="O165" s="180" t="s">
        <v>354</v>
      </c>
    </row>
    <row r="166" spans="1:16" ht="15.6">
      <c r="A166" s="84" t="s">
        <v>223</v>
      </c>
      <c r="B166" s="58">
        <v>10.5</v>
      </c>
      <c r="D166" t="s">
        <v>37</v>
      </c>
      <c r="E166" s="188" t="s">
        <v>40</v>
      </c>
      <c r="F166" s="58" t="s">
        <v>309</v>
      </c>
      <c r="G166" t="s">
        <v>82</v>
      </c>
      <c r="H166" t="s">
        <v>33</v>
      </c>
      <c r="I166" s="58">
        <v>0</v>
      </c>
      <c r="J166" s="180" t="s">
        <v>31</v>
      </c>
      <c r="K166" s="180" t="s">
        <v>31</v>
      </c>
      <c r="L166" s="180" t="s">
        <v>31</v>
      </c>
      <c r="M166" s="180" t="s">
        <v>31</v>
      </c>
      <c r="N166" s="180" t="s">
        <v>31</v>
      </c>
      <c r="O166" s="180" t="s">
        <v>355</v>
      </c>
    </row>
    <row r="167" spans="1:16" ht="15.6">
      <c r="A167" t="s">
        <v>210</v>
      </c>
      <c r="B167" s="58">
        <v>-6.26</v>
      </c>
      <c r="D167" t="s">
        <v>37</v>
      </c>
      <c r="E167" s="84" t="s">
        <v>40</v>
      </c>
      <c r="F167" s="58" t="s">
        <v>309</v>
      </c>
      <c r="G167" t="s">
        <v>59</v>
      </c>
      <c r="H167" t="s">
        <v>33</v>
      </c>
      <c r="I167">
        <v>0</v>
      </c>
      <c r="J167" t="s">
        <v>31</v>
      </c>
      <c r="K167" t="s">
        <v>31</v>
      </c>
      <c r="L167" t="s">
        <v>31</v>
      </c>
      <c r="M167" t="s">
        <v>31</v>
      </c>
      <c r="N167" t="s">
        <v>31</v>
      </c>
      <c r="O167" s="180" t="s">
        <v>356</v>
      </c>
    </row>
    <row r="168" spans="1:16">
      <c r="A168" t="s">
        <v>210</v>
      </c>
      <c r="B168" s="58">
        <v>-15.526999999999999</v>
      </c>
      <c r="D168" t="s">
        <v>37</v>
      </c>
      <c r="E168" s="84" t="s">
        <v>40</v>
      </c>
      <c r="F168" s="58" t="s">
        <v>309</v>
      </c>
      <c r="G168" t="s">
        <v>59</v>
      </c>
      <c r="H168" t="s">
        <v>33</v>
      </c>
      <c r="I168">
        <v>0</v>
      </c>
      <c r="J168" t="s">
        <v>31</v>
      </c>
      <c r="K168" t="s">
        <v>31</v>
      </c>
      <c r="L168" t="s">
        <v>31</v>
      </c>
      <c r="M168" t="s">
        <v>31</v>
      </c>
      <c r="N168" t="s">
        <v>31</v>
      </c>
      <c r="O168" s="58" t="s">
        <v>357</v>
      </c>
    </row>
    <row r="169" spans="1:16" s="185" customFormat="1" ht="15.6">
      <c r="A169" s="182" t="s">
        <v>5</v>
      </c>
      <c r="B169" s="182" t="s">
        <v>358</v>
      </c>
      <c r="C169" s="182"/>
      <c r="D169" s="183"/>
      <c r="E169" s="184"/>
      <c r="F169" s="184"/>
      <c r="G169" s="184"/>
      <c r="H169" s="184"/>
      <c r="I169" s="184"/>
      <c r="J169" s="184"/>
      <c r="K169" s="184"/>
      <c r="L169" s="184"/>
      <c r="M169" s="184"/>
      <c r="N169" s="184"/>
      <c r="O169" s="184"/>
      <c r="P169" s="184"/>
    </row>
    <row r="170" spans="1:16">
      <c r="A170" s="58" t="s">
        <v>7</v>
      </c>
      <c r="B170" s="58" t="s">
        <v>261</v>
      </c>
      <c r="C170" s="58"/>
      <c r="D170" s="58"/>
      <c r="E170" s="58"/>
      <c r="F170" s="58"/>
      <c r="G170" s="58"/>
      <c r="H170" s="58"/>
      <c r="I170" s="58"/>
      <c r="J170" s="58"/>
      <c r="K170" s="58"/>
      <c r="L170" s="58"/>
      <c r="M170" s="58"/>
      <c r="N170" s="58"/>
      <c r="O170" s="58"/>
      <c r="P170" s="58"/>
    </row>
    <row r="171" spans="1:16">
      <c r="A171" s="58" t="s">
        <v>9</v>
      </c>
      <c r="B171" s="201" t="s">
        <v>359</v>
      </c>
      <c r="C171" s="58"/>
      <c r="D171" s="58"/>
      <c r="E171" s="58"/>
      <c r="F171" s="58"/>
      <c r="G171" s="58"/>
      <c r="H171" s="58"/>
      <c r="I171" s="58"/>
      <c r="J171" s="58"/>
      <c r="K171" s="58"/>
      <c r="L171" s="58"/>
      <c r="M171" s="58"/>
      <c r="N171" s="58"/>
      <c r="O171" s="58"/>
      <c r="P171" s="58"/>
    </row>
    <row r="172" spans="1:16">
      <c r="A172" s="58" t="s">
        <v>11</v>
      </c>
      <c r="B172" s="58" t="s">
        <v>360</v>
      </c>
      <c r="C172" s="58"/>
      <c r="D172" s="58"/>
      <c r="E172" s="58"/>
      <c r="F172" s="58"/>
      <c r="G172" s="58"/>
      <c r="H172" s="58"/>
      <c r="I172" s="58"/>
      <c r="J172" s="58"/>
      <c r="K172" s="58"/>
      <c r="L172" s="58"/>
      <c r="M172" s="58"/>
      <c r="N172" s="58"/>
      <c r="O172" s="58"/>
      <c r="P172" s="58"/>
    </row>
    <row r="173" spans="1:16">
      <c r="A173" s="58" t="s">
        <v>13</v>
      </c>
      <c r="B173" s="58" t="s">
        <v>59</v>
      </c>
      <c r="C173" s="58"/>
      <c r="D173" s="58"/>
      <c r="E173" s="58"/>
      <c r="F173" s="58"/>
      <c r="G173" s="58"/>
      <c r="H173" s="58"/>
      <c r="I173" s="58"/>
      <c r="J173" s="58"/>
      <c r="K173" s="58"/>
      <c r="L173" s="58"/>
      <c r="M173" s="58"/>
      <c r="N173" s="58"/>
      <c r="O173" s="58"/>
      <c r="P173" s="58"/>
    </row>
    <row r="174" spans="1:16">
      <c r="A174" s="58" t="s">
        <v>15</v>
      </c>
      <c r="B174" s="58">
        <v>1</v>
      </c>
      <c r="C174" s="58"/>
      <c r="D174" s="58"/>
      <c r="E174" s="58"/>
      <c r="F174" s="58"/>
      <c r="G174" s="58"/>
      <c r="H174" s="58"/>
      <c r="I174" s="58"/>
      <c r="J174" s="58"/>
      <c r="K174" s="58"/>
      <c r="L174" s="58"/>
      <c r="M174" s="58"/>
      <c r="N174" s="58"/>
      <c r="O174" s="58"/>
      <c r="P174" s="58"/>
    </row>
    <row r="175" spans="1:16">
      <c r="A175" s="58" t="s">
        <v>16</v>
      </c>
      <c r="B175" s="58" t="s">
        <v>17</v>
      </c>
      <c r="C175" s="58"/>
      <c r="D175" s="58"/>
      <c r="E175" s="58"/>
      <c r="F175" s="58"/>
      <c r="G175" s="58"/>
      <c r="H175" s="58"/>
      <c r="I175" s="58"/>
      <c r="J175" s="58"/>
      <c r="K175" s="58"/>
      <c r="L175" s="58"/>
      <c r="M175" s="58"/>
      <c r="N175" s="58"/>
      <c r="O175" s="58"/>
      <c r="P175" s="58"/>
    </row>
    <row r="176" spans="1:16" ht="15.6">
      <c r="A176" s="58" t="s">
        <v>18</v>
      </c>
      <c r="B176" s="180" t="s">
        <v>18</v>
      </c>
      <c r="C176" s="58"/>
      <c r="D176" s="58"/>
      <c r="E176" s="58" t="s">
        <v>185</v>
      </c>
      <c r="F176" s="58"/>
      <c r="G176" s="58"/>
      <c r="H176" s="58"/>
      <c r="I176" s="58"/>
      <c r="J176" s="58"/>
      <c r="K176" s="58"/>
      <c r="L176" s="58"/>
      <c r="M176" s="58"/>
      <c r="N176" s="58"/>
      <c r="O176" s="58"/>
      <c r="P176" s="58"/>
    </row>
    <row r="177" spans="1:16" ht="15.6">
      <c r="A177" s="181" t="s">
        <v>19</v>
      </c>
      <c r="B177" s="58"/>
      <c r="C177" s="58"/>
      <c r="D177" s="58"/>
      <c r="E177" s="58"/>
      <c r="F177" s="58"/>
      <c r="G177" s="58"/>
      <c r="H177" s="58"/>
      <c r="I177" s="58"/>
      <c r="J177" s="58"/>
      <c r="K177" s="58"/>
      <c r="L177" s="58"/>
      <c r="M177" s="58"/>
      <c r="N177" s="58"/>
      <c r="O177" s="58"/>
      <c r="P177" s="58"/>
    </row>
    <row r="178" spans="1:16" ht="15.6">
      <c r="A178" s="181" t="s">
        <v>20</v>
      </c>
      <c r="B178" s="181" t="s">
        <v>21</v>
      </c>
      <c r="C178" s="181" t="s">
        <v>186</v>
      </c>
      <c r="D178" s="181" t="s">
        <v>18</v>
      </c>
      <c r="E178" s="181" t="s">
        <v>22</v>
      </c>
      <c r="F178" s="181" t="s">
        <v>7</v>
      </c>
      <c r="G178" s="181" t="s">
        <v>13</v>
      </c>
      <c r="H178" s="181" t="s">
        <v>16</v>
      </c>
      <c r="I178" s="181" t="s">
        <v>23</v>
      </c>
      <c r="J178" s="181" t="s">
        <v>24</v>
      </c>
      <c r="K178" s="181" t="s">
        <v>25</v>
      </c>
      <c r="L178" s="181" t="s">
        <v>26</v>
      </c>
      <c r="M178" s="181" t="s">
        <v>27</v>
      </c>
      <c r="N178" s="181" t="s">
        <v>28</v>
      </c>
      <c r="O178" s="181" t="s">
        <v>11</v>
      </c>
      <c r="P178" s="181" t="s">
        <v>187</v>
      </c>
    </row>
    <row r="179" spans="1:16" ht="15.6">
      <c r="A179" s="180" t="str">
        <f>B169</f>
        <v>treatment wing , airframe, SOFC-bat, Long-Term</v>
      </c>
      <c r="B179">
        <v>1</v>
      </c>
      <c r="C179" s="180"/>
      <c r="D179" s="180" t="s">
        <v>18</v>
      </c>
      <c r="E179" s="58" t="s">
        <v>2</v>
      </c>
      <c r="F179" s="58" t="s">
        <v>309</v>
      </c>
      <c r="G179" s="180" t="s">
        <v>59</v>
      </c>
      <c r="H179" s="58" t="s">
        <v>30</v>
      </c>
      <c r="I179" s="58">
        <v>0</v>
      </c>
      <c r="J179" s="180" t="s">
        <v>31</v>
      </c>
      <c r="K179" s="180" t="s">
        <v>31</v>
      </c>
      <c r="L179" s="180" t="s">
        <v>31</v>
      </c>
      <c r="M179" s="180" t="s">
        <v>31</v>
      </c>
      <c r="N179" s="180" t="s">
        <v>31</v>
      </c>
      <c r="O179" s="180"/>
      <c r="P179" s="58"/>
    </row>
    <row r="180" spans="1:16" ht="15.6">
      <c r="A180" t="str">
        <f>B2</f>
        <v>treatment of aluminium, wing, airframe, SOFC-bat, Long-Term</v>
      </c>
      <c r="B180" s="209">
        <v>326.31551999999999</v>
      </c>
      <c r="C180" s="180"/>
      <c r="D180" s="180" t="s">
        <v>37</v>
      </c>
      <c r="E180" s="58" t="s">
        <v>2</v>
      </c>
      <c r="F180" s="58" t="s">
        <v>309</v>
      </c>
      <c r="G180" s="180" t="s">
        <v>59</v>
      </c>
      <c r="H180" s="58" t="s">
        <v>33</v>
      </c>
      <c r="I180" s="58">
        <v>0</v>
      </c>
      <c r="J180" s="180" t="s">
        <v>31</v>
      </c>
      <c r="K180" s="180" t="s">
        <v>31</v>
      </c>
      <c r="L180" s="180" t="s">
        <v>31</v>
      </c>
      <c r="M180" s="180" t="s">
        <v>31</v>
      </c>
      <c r="N180" s="180" t="s">
        <v>31</v>
      </c>
    </row>
    <row r="181" spans="1:16" ht="15.6">
      <c r="A181" t="str">
        <f>B17</f>
        <v>treatment of biofiber, wing, airframe, SOFC-bat, Long-Term</v>
      </c>
      <c r="B181" s="210">
        <v>8896.4</v>
      </c>
      <c r="C181" s="180"/>
      <c r="D181" s="180" t="s">
        <v>37</v>
      </c>
      <c r="E181" s="58" t="s">
        <v>2</v>
      </c>
      <c r="F181" s="58" t="s">
        <v>309</v>
      </c>
      <c r="G181" s="180" t="s">
        <v>59</v>
      </c>
      <c r="H181" s="58" t="s">
        <v>33</v>
      </c>
      <c r="I181" s="58">
        <v>0</v>
      </c>
      <c r="J181" s="180" t="s">
        <v>31</v>
      </c>
      <c r="K181" s="180" t="s">
        <v>31</v>
      </c>
      <c r="L181" s="180" t="s">
        <v>31</v>
      </c>
      <c r="M181" s="180" t="s">
        <v>31</v>
      </c>
      <c r="N181" s="180" t="s">
        <v>31</v>
      </c>
      <c r="P181" t="s">
        <v>361</v>
      </c>
    </row>
    <row r="182" spans="1:16" ht="15.6">
      <c r="A182" t="str">
        <f>B32</f>
        <v>treatment of steel, wing, airframe, SOFC-bat, Long-Term</v>
      </c>
      <c r="B182" s="209">
        <v>120.24387</v>
      </c>
      <c r="C182" s="180"/>
      <c r="D182" s="180" t="s">
        <v>37</v>
      </c>
      <c r="E182" s="58" t="s">
        <v>2</v>
      </c>
      <c r="F182" s="58" t="s">
        <v>309</v>
      </c>
      <c r="G182" s="180" t="s">
        <v>59</v>
      </c>
      <c r="H182" s="58" t="s">
        <v>33</v>
      </c>
      <c r="I182" s="58">
        <v>0</v>
      </c>
      <c r="J182" s="180" t="s">
        <v>31</v>
      </c>
      <c r="K182" s="180" t="s">
        <v>31</v>
      </c>
      <c r="L182" s="180" t="s">
        <v>31</v>
      </c>
      <c r="M182" s="180" t="s">
        <v>31</v>
      </c>
      <c r="N182" s="180" t="s">
        <v>31</v>
      </c>
    </row>
    <row r="183" spans="1:16" ht="15.6">
      <c r="A183" t="str">
        <f>B46</f>
        <v>treatment of titanium, wing, airframe, SOFC-bat, Long-Term</v>
      </c>
      <c r="B183" s="209">
        <v>227.31614999999999</v>
      </c>
      <c r="C183" s="180"/>
      <c r="D183" s="180" t="s">
        <v>37</v>
      </c>
      <c r="E183" s="58" t="s">
        <v>2</v>
      </c>
      <c r="F183" s="58" t="s">
        <v>309</v>
      </c>
      <c r="G183" s="180" t="s">
        <v>59</v>
      </c>
      <c r="H183" s="58" t="s">
        <v>33</v>
      </c>
      <c r="I183" s="58">
        <v>0</v>
      </c>
      <c r="J183" s="180" t="s">
        <v>31</v>
      </c>
      <c r="K183" s="180" t="s">
        <v>31</v>
      </c>
      <c r="L183" s="180" t="s">
        <v>31</v>
      </c>
      <c r="M183" s="180" t="s">
        <v>31</v>
      </c>
      <c r="N183" s="180" t="s">
        <v>31</v>
      </c>
    </row>
    <row r="184" spans="1:16" s="185" customFormat="1" ht="15.6">
      <c r="A184" s="182" t="s">
        <v>5</v>
      </c>
      <c r="B184" s="182" t="s">
        <v>362</v>
      </c>
      <c r="C184" s="182"/>
      <c r="D184" s="183"/>
      <c r="E184" s="184"/>
      <c r="F184" s="184"/>
      <c r="G184" s="184"/>
      <c r="H184" s="184"/>
      <c r="I184" s="184"/>
      <c r="J184" s="184"/>
      <c r="K184" s="184"/>
      <c r="L184" s="184"/>
      <c r="M184" s="184"/>
      <c r="N184" s="184"/>
      <c r="O184" s="184"/>
      <c r="P184" s="184"/>
    </row>
    <row r="185" spans="1:16">
      <c r="A185" s="58" t="s">
        <v>7</v>
      </c>
      <c r="B185" s="58" t="s">
        <v>261</v>
      </c>
      <c r="C185" s="58"/>
      <c r="D185" s="58"/>
      <c r="E185" s="58"/>
      <c r="F185" s="58"/>
      <c r="G185" s="58"/>
      <c r="H185" s="58"/>
      <c r="I185" s="58"/>
      <c r="J185" s="58"/>
      <c r="K185" s="58"/>
      <c r="L185" s="58"/>
      <c r="M185" s="58"/>
      <c r="N185" s="58"/>
      <c r="O185" s="58"/>
      <c r="P185" s="58"/>
    </row>
    <row r="186" spans="1:16">
      <c r="A186" s="58" t="s">
        <v>9</v>
      </c>
      <c r="B186" s="201" t="s">
        <v>363</v>
      </c>
      <c r="C186" s="58"/>
      <c r="D186" s="58"/>
      <c r="E186" s="58"/>
      <c r="F186" s="58"/>
      <c r="G186" s="58"/>
      <c r="H186" s="58"/>
      <c r="I186" s="58"/>
      <c r="J186" s="58"/>
      <c r="K186" s="58"/>
      <c r="L186" s="58"/>
      <c r="M186" s="58"/>
      <c r="N186" s="58"/>
      <c r="O186" s="58"/>
      <c r="P186" s="58"/>
    </row>
    <row r="187" spans="1:16">
      <c r="A187" s="58" t="s">
        <v>11</v>
      </c>
      <c r="B187" s="58" t="s">
        <v>360</v>
      </c>
      <c r="C187" s="58"/>
      <c r="D187" s="58"/>
      <c r="E187" s="58"/>
      <c r="F187" s="58"/>
      <c r="G187" s="58"/>
      <c r="H187" s="58"/>
      <c r="I187" s="58"/>
      <c r="J187" s="58"/>
      <c r="K187" s="58"/>
      <c r="L187" s="58"/>
      <c r="M187" s="58"/>
      <c r="N187" s="58"/>
      <c r="O187" s="58"/>
      <c r="P187" s="58"/>
    </row>
    <row r="188" spans="1:16">
      <c r="A188" s="58" t="s">
        <v>13</v>
      </c>
      <c r="B188" s="58" t="s">
        <v>59</v>
      </c>
      <c r="C188" s="58"/>
      <c r="D188" s="58"/>
      <c r="E188" s="58"/>
      <c r="F188" s="58"/>
      <c r="G188" s="58"/>
      <c r="H188" s="58"/>
      <c r="I188" s="58"/>
      <c r="J188" s="58"/>
      <c r="K188" s="58"/>
      <c r="L188" s="58"/>
      <c r="M188" s="58"/>
      <c r="N188" s="58"/>
      <c r="O188" s="58"/>
      <c r="P188" s="58"/>
    </row>
    <row r="189" spans="1:16">
      <c r="A189" s="58" t="s">
        <v>15</v>
      </c>
      <c r="B189" s="58">
        <v>1</v>
      </c>
      <c r="C189" s="58"/>
      <c r="D189" s="58"/>
      <c r="E189" s="58"/>
      <c r="F189" s="58"/>
      <c r="G189" s="58"/>
      <c r="H189" s="58"/>
      <c r="I189" s="58"/>
      <c r="J189" s="58"/>
      <c r="K189" s="58"/>
      <c r="L189" s="58"/>
      <c r="M189" s="58"/>
      <c r="N189" s="58"/>
      <c r="O189" s="58"/>
      <c r="P189" s="58"/>
    </row>
    <row r="190" spans="1:16">
      <c r="A190" s="58" t="s">
        <v>16</v>
      </c>
      <c r="B190" s="58" t="s">
        <v>17</v>
      </c>
      <c r="C190" s="58"/>
      <c r="D190" s="58"/>
      <c r="E190" s="58"/>
      <c r="F190" s="58"/>
      <c r="G190" s="58"/>
      <c r="H190" s="58"/>
      <c r="I190" s="58"/>
      <c r="J190" s="58"/>
      <c r="K190" s="58"/>
      <c r="L190" s="58"/>
      <c r="M190" s="58"/>
      <c r="N190" s="58"/>
      <c r="O190" s="58"/>
      <c r="P190" s="58"/>
    </row>
    <row r="191" spans="1:16" ht="15.6">
      <c r="A191" s="58" t="s">
        <v>18</v>
      </c>
      <c r="B191" s="180" t="s">
        <v>18</v>
      </c>
      <c r="C191" s="58"/>
      <c r="D191" s="58"/>
      <c r="E191" s="58" t="s">
        <v>185</v>
      </c>
      <c r="F191" s="58"/>
      <c r="G191" s="58"/>
      <c r="H191" s="58"/>
      <c r="I191" s="58"/>
      <c r="J191" s="58"/>
      <c r="K191" s="58"/>
      <c r="L191" s="58"/>
      <c r="M191" s="58"/>
      <c r="N191" s="58"/>
      <c r="O191" s="58"/>
      <c r="P191" s="58"/>
    </row>
    <row r="192" spans="1:16" ht="15.6">
      <c r="A192" s="181" t="s">
        <v>19</v>
      </c>
      <c r="B192" s="58"/>
      <c r="C192" s="58"/>
      <c r="D192" s="58"/>
      <c r="E192" s="58"/>
      <c r="F192" s="58"/>
      <c r="G192" s="58"/>
      <c r="H192" s="58"/>
      <c r="I192" s="58"/>
      <c r="J192" s="58"/>
      <c r="K192" s="58"/>
      <c r="L192" s="58"/>
      <c r="M192" s="58"/>
      <c r="N192" s="58"/>
      <c r="O192" s="58"/>
      <c r="P192" s="58"/>
    </row>
    <row r="193" spans="1:16" ht="15.6">
      <c r="A193" s="181" t="s">
        <v>20</v>
      </c>
      <c r="B193" s="181" t="s">
        <v>21</v>
      </c>
      <c r="C193" s="181" t="s">
        <v>186</v>
      </c>
      <c r="D193" s="181" t="s">
        <v>18</v>
      </c>
      <c r="E193" s="181" t="s">
        <v>22</v>
      </c>
      <c r="F193" s="181" t="s">
        <v>7</v>
      </c>
      <c r="G193" s="181" t="s">
        <v>13</v>
      </c>
      <c r="H193" s="181" t="s">
        <v>16</v>
      </c>
      <c r="I193" s="181" t="s">
        <v>23</v>
      </c>
      <c r="J193" s="181" t="s">
        <v>24</v>
      </c>
      <c r="K193" s="181" t="s">
        <v>25</v>
      </c>
      <c r="L193" s="181" t="s">
        <v>26</v>
      </c>
      <c r="M193" s="181" t="s">
        <v>27</v>
      </c>
      <c r="N193" s="181" t="s">
        <v>28</v>
      </c>
      <c r="O193" s="181" t="s">
        <v>11</v>
      </c>
      <c r="P193" s="181" t="s">
        <v>187</v>
      </c>
    </row>
    <row r="194" spans="1:16" ht="15.6">
      <c r="A194" s="180" t="str">
        <f>B184</f>
        <v>treatment tail , airframe, SOFC-bat, Long-Term</v>
      </c>
      <c r="B194">
        <v>1</v>
      </c>
      <c r="C194" s="180"/>
      <c r="D194" s="180" t="s">
        <v>18</v>
      </c>
      <c r="E194" s="58" t="s">
        <v>2</v>
      </c>
      <c r="F194" s="58" t="s">
        <v>309</v>
      </c>
      <c r="G194" s="180" t="s">
        <v>59</v>
      </c>
      <c r="H194" s="58" t="s">
        <v>30</v>
      </c>
      <c r="I194" s="58">
        <v>0</v>
      </c>
      <c r="J194" s="180" t="s">
        <v>31</v>
      </c>
      <c r="K194" s="180" t="s">
        <v>31</v>
      </c>
      <c r="L194" s="180" t="s">
        <v>31</v>
      </c>
      <c r="M194" s="180" t="s">
        <v>31</v>
      </c>
      <c r="N194" s="180" t="s">
        <v>31</v>
      </c>
      <c r="O194" s="180"/>
      <c r="P194" s="58"/>
    </row>
    <row r="195" spans="1:16" ht="15.6">
      <c r="A195" t="str">
        <f>B61</f>
        <v>treatment of aluminium, tail, airframe, SOFC-bat, Long-Term</v>
      </c>
      <c r="B195" s="211">
        <v>19.354458111</v>
      </c>
      <c r="D195" s="180" t="s">
        <v>37</v>
      </c>
      <c r="E195" s="58" t="s">
        <v>2</v>
      </c>
      <c r="F195" s="58" t="s">
        <v>309</v>
      </c>
      <c r="G195" s="180" t="s">
        <v>59</v>
      </c>
      <c r="H195" s="58" t="s">
        <v>33</v>
      </c>
      <c r="I195" s="58">
        <v>0</v>
      </c>
      <c r="J195" s="180" t="s">
        <v>31</v>
      </c>
      <c r="K195" s="180" t="s">
        <v>31</v>
      </c>
      <c r="L195" s="180" t="s">
        <v>31</v>
      </c>
      <c r="M195" s="180" t="s">
        <v>31</v>
      </c>
      <c r="N195" s="180" t="s">
        <v>31</v>
      </c>
    </row>
    <row r="196" spans="1:16" ht="15.6">
      <c r="A196" t="str">
        <f>B76</f>
        <v>treatment of composites, tail, airframe, SOFC-bat, Long-Term</v>
      </c>
      <c r="B196" s="211">
        <v>320.27697699999999</v>
      </c>
      <c r="D196" s="180" t="s">
        <v>37</v>
      </c>
      <c r="E196" s="58" t="s">
        <v>2</v>
      </c>
      <c r="F196" s="58" t="s">
        <v>309</v>
      </c>
      <c r="G196" s="180" t="s">
        <v>59</v>
      </c>
      <c r="H196" s="58" t="s">
        <v>33</v>
      </c>
      <c r="I196" s="58">
        <v>0</v>
      </c>
      <c r="J196" s="180" t="s">
        <v>31</v>
      </c>
      <c r="K196" s="180" t="s">
        <v>31</v>
      </c>
      <c r="L196" s="180" t="s">
        <v>31</v>
      </c>
      <c r="M196" s="180" t="s">
        <v>31</v>
      </c>
      <c r="N196" s="180" t="s">
        <v>31</v>
      </c>
      <c r="O196" s="180" t="s">
        <v>364</v>
      </c>
    </row>
    <row r="197" spans="1:16" ht="15.6">
      <c r="A197" t="str">
        <f>B76</f>
        <v>treatment of composites, tail, airframe, SOFC-bat, Long-Term</v>
      </c>
      <c r="B197" s="211">
        <v>117.06856483099999</v>
      </c>
      <c r="D197" s="180" t="s">
        <v>37</v>
      </c>
      <c r="E197" s="58" t="s">
        <v>2</v>
      </c>
      <c r="F197" s="58" t="s">
        <v>309</v>
      </c>
      <c r="G197" s="180" t="s">
        <v>59</v>
      </c>
      <c r="H197" s="58" t="s">
        <v>33</v>
      </c>
      <c r="I197" s="58">
        <v>0</v>
      </c>
      <c r="J197" s="180" t="s">
        <v>31</v>
      </c>
      <c r="K197" s="180" t="s">
        <v>31</v>
      </c>
      <c r="L197" s="180" t="s">
        <v>31</v>
      </c>
      <c r="M197" s="180" t="s">
        <v>31</v>
      </c>
      <c r="N197" s="180" t="s">
        <v>31</v>
      </c>
      <c r="O197" s="180" t="s">
        <v>365</v>
      </c>
    </row>
    <row r="198" spans="1:16" s="185" customFormat="1" ht="15.6">
      <c r="A198" s="182" t="s">
        <v>5</v>
      </c>
      <c r="B198" s="182" t="s">
        <v>366</v>
      </c>
      <c r="C198" s="182"/>
      <c r="D198" s="183"/>
      <c r="E198" s="184"/>
      <c r="F198" s="184"/>
      <c r="G198" s="184"/>
      <c r="H198" s="184"/>
      <c r="I198" s="184"/>
      <c r="J198" s="184"/>
      <c r="K198" s="184"/>
      <c r="L198" s="184"/>
      <c r="M198" s="184"/>
      <c r="N198" s="184"/>
      <c r="O198" s="184"/>
      <c r="P198" s="184"/>
    </row>
    <row r="199" spans="1:16">
      <c r="A199" s="58" t="s">
        <v>7</v>
      </c>
      <c r="B199" s="58" t="s">
        <v>261</v>
      </c>
      <c r="C199" s="58"/>
      <c r="D199" s="58"/>
      <c r="E199" s="58"/>
      <c r="F199" s="58"/>
      <c r="G199" s="58"/>
      <c r="H199" s="58"/>
      <c r="I199" s="58"/>
      <c r="J199" s="58"/>
      <c r="K199" s="58"/>
      <c r="L199" s="58"/>
      <c r="M199" s="58"/>
      <c r="N199" s="58"/>
      <c r="O199" s="58"/>
      <c r="P199" s="58"/>
    </row>
    <row r="200" spans="1:16">
      <c r="A200" s="58" t="s">
        <v>9</v>
      </c>
      <c r="B200" s="212" t="s">
        <v>367</v>
      </c>
      <c r="C200" s="58"/>
      <c r="D200" s="58"/>
      <c r="E200" s="58"/>
      <c r="F200" s="58"/>
      <c r="G200" s="58"/>
      <c r="H200" s="58"/>
      <c r="I200" s="58"/>
      <c r="J200" s="58"/>
      <c r="K200" s="58"/>
      <c r="L200" s="58"/>
      <c r="M200" s="58"/>
      <c r="N200" s="58"/>
      <c r="O200" s="58"/>
      <c r="P200" s="58"/>
    </row>
    <row r="201" spans="1:16">
      <c r="A201" s="58" t="s">
        <v>11</v>
      </c>
      <c r="B201" s="58" t="s">
        <v>360</v>
      </c>
      <c r="C201" s="58"/>
      <c r="D201" s="58"/>
      <c r="E201" s="58"/>
      <c r="F201" s="58"/>
      <c r="G201" s="58"/>
      <c r="H201" s="58"/>
      <c r="I201" s="58"/>
      <c r="J201" s="58"/>
      <c r="K201" s="58"/>
      <c r="L201" s="58"/>
      <c r="M201" s="58"/>
      <c r="N201" s="58"/>
      <c r="O201" s="58"/>
      <c r="P201" s="58"/>
    </row>
    <row r="202" spans="1:16">
      <c r="A202" s="58" t="s">
        <v>13</v>
      </c>
      <c r="B202" s="58" t="s">
        <v>59</v>
      </c>
      <c r="C202" s="58"/>
      <c r="D202" s="58"/>
      <c r="E202" s="58"/>
      <c r="F202" s="58"/>
      <c r="G202" s="58"/>
      <c r="H202" s="58"/>
      <c r="I202" s="58"/>
      <c r="J202" s="58"/>
      <c r="K202" s="58"/>
      <c r="L202" s="58"/>
      <c r="M202" s="58"/>
      <c r="N202" s="58"/>
      <c r="O202" s="58"/>
      <c r="P202" s="58"/>
    </row>
    <row r="203" spans="1:16">
      <c r="A203" s="58" t="s">
        <v>15</v>
      </c>
      <c r="B203" s="58">
        <v>1</v>
      </c>
      <c r="C203" s="58"/>
      <c r="D203" s="58"/>
      <c r="E203" s="58"/>
      <c r="F203" s="58"/>
      <c r="G203" s="58"/>
      <c r="H203" s="58"/>
      <c r="I203" s="58"/>
      <c r="J203" s="58"/>
      <c r="K203" s="58"/>
      <c r="L203" s="58"/>
      <c r="M203" s="58"/>
      <c r="N203" s="58"/>
      <c r="O203" s="58"/>
      <c r="P203" s="58"/>
    </row>
    <row r="204" spans="1:16">
      <c r="A204" s="58" t="s">
        <v>16</v>
      </c>
      <c r="B204" s="58" t="s">
        <v>17</v>
      </c>
      <c r="C204" s="58"/>
      <c r="D204" s="58"/>
      <c r="E204" s="58"/>
      <c r="F204" s="58"/>
      <c r="G204" s="58"/>
      <c r="H204" s="58"/>
      <c r="I204" s="58"/>
      <c r="J204" s="58"/>
      <c r="K204" s="58"/>
      <c r="L204" s="58"/>
      <c r="M204" s="58"/>
      <c r="N204" s="58"/>
      <c r="O204" s="58"/>
      <c r="P204" s="58"/>
    </row>
    <row r="205" spans="1:16" ht="15.6">
      <c r="A205" s="58" t="s">
        <v>18</v>
      </c>
      <c r="B205" s="180" t="s">
        <v>18</v>
      </c>
      <c r="C205" s="58"/>
      <c r="D205" s="58"/>
      <c r="E205" s="58" t="s">
        <v>185</v>
      </c>
      <c r="F205" s="58"/>
      <c r="G205" s="58"/>
      <c r="H205" s="58"/>
      <c r="I205" s="58"/>
      <c r="J205" s="58"/>
      <c r="K205" s="58"/>
      <c r="L205" s="58"/>
      <c r="M205" s="58"/>
      <c r="N205" s="58"/>
      <c r="O205" s="58"/>
      <c r="P205" s="58"/>
    </row>
    <row r="206" spans="1:16" ht="15.6">
      <c r="A206" s="181" t="s">
        <v>19</v>
      </c>
      <c r="B206" s="58"/>
      <c r="C206" s="58"/>
      <c r="D206" s="58"/>
      <c r="E206" s="58"/>
      <c r="F206" s="58"/>
      <c r="G206" s="58"/>
      <c r="H206" s="58"/>
      <c r="I206" s="58"/>
      <c r="J206" s="58"/>
      <c r="K206" s="58"/>
      <c r="L206" s="58"/>
      <c r="M206" s="58"/>
      <c r="N206" s="58"/>
      <c r="O206" s="58"/>
      <c r="P206" s="58"/>
    </row>
    <row r="207" spans="1:16" ht="15.6">
      <c r="A207" s="181" t="s">
        <v>20</v>
      </c>
      <c r="B207" s="181" t="s">
        <v>21</v>
      </c>
      <c r="C207" s="181" t="s">
        <v>186</v>
      </c>
      <c r="D207" s="181" t="s">
        <v>18</v>
      </c>
      <c r="E207" s="181" t="s">
        <v>22</v>
      </c>
      <c r="F207" s="181" t="s">
        <v>7</v>
      </c>
      <c r="G207" s="181" t="s">
        <v>13</v>
      </c>
      <c r="H207" s="181" t="s">
        <v>16</v>
      </c>
      <c r="I207" s="181" t="s">
        <v>23</v>
      </c>
      <c r="J207" s="181" t="s">
        <v>24</v>
      </c>
      <c r="K207" s="181" t="s">
        <v>25</v>
      </c>
      <c r="L207" s="181" t="s">
        <v>26</v>
      </c>
      <c r="M207" s="181" t="s">
        <v>27</v>
      </c>
      <c r="N207" s="181" t="s">
        <v>28</v>
      </c>
      <c r="O207" s="181" t="s">
        <v>11</v>
      </c>
      <c r="P207" s="181" t="s">
        <v>187</v>
      </c>
    </row>
    <row r="208" spans="1:16" ht="15.6">
      <c r="A208" s="180" t="str">
        <f>B198</f>
        <v>treatment fuselage , airframe, SOFC-bat, Long-Term</v>
      </c>
      <c r="B208">
        <v>1</v>
      </c>
      <c r="C208" s="180"/>
      <c r="D208" s="180" t="s">
        <v>18</v>
      </c>
      <c r="E208" s="58" t="s">
        <v>2</v>
      </c>
      <c r="F208" s="58" t="s">
        <v>309</v>
      </c>
      <c r="G208" s="180" t="s">
        <v>59</v>
      </c>
      <c r="H208" s="58" t="s">
        <v>30</v>
      </c>
      <c r="I208" s="58">
        <v>0</v>
      </c>
      <c r="J208" s="180" t="s">
        <v>31</v>
      </c>
      <c r="K208" s="180" t="s">
        <v>31</v>
      </c>
      <c r="L208" s="180" t="s">
        <v>31</v>
      </c>
      <c r="M208" s="180" t="s">
        <v>31</v>
      </c>
      <c r="N208" s="180" t="s">
        <v>31</v>
      </c>
      <c r="O208" s="180"/>
      <c r="P208" s="58"/>
    </row>
    <row r="209" spans="1:16" ht="15.6">
      <c r="A209" t="str">
        <f>B91</f>
        <v>treatment of aluminium, fuselage, airframe, SOFC-bat, Long-Term</v>
      </c>
      <c r="B209" s="209">
        <v>250.39792846899999</v>
      </c>
      <c r="D209" s="180" t="s">
        <v>37</v>
      </c>
      <c r="E209" s="58" t="s">
        <v>2</v>
      </c>
      <c r="F209" s="58" t="s">
        <v>309</v>
      </c>
      <c r="G209" s="180" t="s">
        <v>59</v>
      </c>
      <c r="H209" s="58" t="s">
        <v>33</v>
      </c>
      <c r="I209" s="58">
        <v>0</v>
      </c>
      <c r="J209" s="180" t="s">
        <v>31</v>
      </c>
      <c r="K209" s="180" t="s">
        <v>31</v>
      </c>
      <c r="L209" s="180" t="s">
        <v>31</v>
      </c>
      <c r="M209" s="180" t="s">
        <v>31</v>
      </c>
      <c r="N209" s="180" t="s">
        <v>31</v>
      </c>
    </row>
    <row r="210" spans="1:16" ht="15.6">
      <c r="A210" t="str">
        <f>B106</f>
        <v>treatment of composites, fuselage, airframe, SOFC-bat, Long-Term</v>
      </c>
      <c r="B210" s="209">
        <v>2621.382808932</v>
      </c>
      <c r="D210" s="180" t="s">
        <v>37</v>
      </c>
      <c r="E210" s="58" t="s">
        <v>2</v>
      </c>
      <c r="F210" s="58" t="s">
        <v>309</v>
      </c>
      <c r="G210" s="180" t="s">
        <v>59</v>
      </c>
      <c r="H210" s="58" t="s">
        <v>33</v>
      </c>
      <c r="I210" s="58">
        <v>0</v>
      </c>
      <c r="J210" s="180" t="s">
        <v>31</v>
      </c>
      <c r="K210" s="180" t="s">
        <v>31</v>
      </c>
      <c r="L210" s="180" t="s">
        <v>31</v>
      </c>
      <c r="M210" s="180" t="s">
        <v>31</v>
      </c>
      <c r="N210" s="180" t="s">
        <v>31</v>
      </c>
      <c r="O210" s="180" t="s">
        <v>364</v>
      </c>
    </row>
    <row r="211" spans="1:16" ht="15.6">
      <c r="A211" t="str">
        <f>B106</f>
        <v>treatment of composites, fuselage, airframe, SOFC-bat, Long-Term</v>
      </c>
      <c r="B211" s="209">
        <v>13.89533578</v>
      </c>
      <c r="D211" s="180" t="s">
        <v>37</v>
      </c>
      <c r="E211" s="58" t="s">
        <v>2</v>
      </c>
      <c r="F211" s="58" t="s">
        <v>309</v>
      </c>
      <c r="G211" s="180" t="s">
        <v>59</v>
      </c>
      <c r="H211" s="58" t="s">
        <v>33</v>
      </c>
      <c r="I211" s="58">
        <v>0</v>
      </c>
      <c r="J211" s="180" t="s">
        <v>31</v>
      </c>
      <c r="K211" s="180" t="s">
        <v>31</v>
      </c>
      <c r="L211" s="180" t="s">
        <v>31</v>
      </c>
      <c r="M211" s="180" t="s">
        <v>31</v>
      </c>
      <c r="N211" s="180" t="s">
        <v>31</v>
      </c>
      <c r="O211" s="180" t="s">
        <v>365</v>
      </c>
    </row>
    <row r="212" spans="1:16" ht="15.6">
      <c r="A212" t="str">
        <f>B121</f>
        <v>treatment of steel, fuselage, airframe, SOFC-bat, Long-Term</v>
      </c>
      <c r="B212" s="209">
        <v>1024.8189682</v>
      </c>
      <c r="D212" s="180" t="s">
        <v>37</v>
      </c>
      <c r="E212" s="58" t="s">
        <v>2</v>
      </c>
      <c r="F212" s="58" t="s">
        <v>309</v>
      </c>
      <c r="G212" s="180" t="s">
        <v>59</v>
      </c>
      <c r="H212" s="58" t="s">
        <v>33</v>
      </c>
      <c r="I212" s="58">
        <v>0</v>
      </c>
      <c r="J212" s="180" t="s">
        <v>31</v>
      </c>
      <c r="K212" s="180" t="s">
        <v>31</v>
      </c>
      <c r="L212" s="180" t="s">
        <v>31</v>
      </c>
      <c r="M212" s="180" t="s">
        <v>31</v>
      </c>
      <c r="N212" s="180" t="s">
        <v>31</v>
      </c>
    </row>
    <row r="213" spans="1:16" ht="15.95" thickBot="1">
      <c r="A213" t="str">
        <f>B135</f>
        <v>treatment of titanium, fuselage, airframe, SOFC-bat, Long-Term</v>
      </c>
      <c r="B213" s="213">
        <v>193.70495856900001</v>
      </c>
      <c r="D213" s="180" t="s">
        <v>37</v>
      </c>
      <c r="E213" s="58" t="s">
        <v>2</v>
      </c>
      <c r="F213" s="58" t="s">
        <v>309</v>
      </c>
      <c r="G213" s="180" t="s">
        <v>59</v>
      </c>
      <c r="H213" s="58" t="s">
        <v>33</v>
      </c>
      <c r="I213" s="58">
        <v>0</v>
      </c>
      <c r="J213" s="180" t="s">
        <v>31</v>
      </c>
      <c r="K213" s="180" t="s">
        <v>31</v>
      </c>
      <c r="L213" s="180" t="s">
        <v>31</v>
      </c>
      <c r="M213" s="180" t="s">
        <v>31</v>
      </c>
      <c r="N213" s="180" t="s">
        <v>31</v>
      </c>
    </row>
    <row r="214" spans="1:16" s="185" customFormat="1" ht="15.6">
      <c r="A214" s="182" t="s">
        <v>5</v>
      </c>
      <c r="B214" s="182" t="s">
        <v>368</v>
      </c>
      <c r="C214" s="182"/>
      <c r="D214" s="183"/>
      <c r="E214" s="184"/>
      <c r="F214" s="184"/>
      <c r="G214" s="184"/>
      <c r="H214" s="184"/>
      <c r="I214" s="184"/>
      <c r="J214" s="184"/>
      <c r="K214" s="184"/>
      <c r="L214" s="184"/>
      <c r="M214" s="184"/>
      <c r="N214" s="184"/>
      <c r="O214" s="184"/>
      <c r="P214" s="184"/>
    </row>
    <row r="215" spans="1:16">
      <c r="A215" s="58" t="s">
        <v>7</v>
      </c>
      <c r="B215" s="58" t="s">
        <v>261</v>
      </c>
      <c r="C215" s="58"/>
      <c r="D215" s="58"/>
      <c r="E215" s="58"/>
      <c r="F215" s="58"/>
      <c r="G215" s="58"/>
      <c r="H215" s="58"/>
      <c r="I215" s="58"/>
      <c r="J215" s="58"/>
      <c r="K215" s="58"/>
      <c r="L215" s="58"/>
      <c r="M215" s="58"/>
      <c r="N215" s="58"/>
      <c r="O215" s="58"/>
      <c r="P215" s="58"/>
    </row>
    <row r="216" spans="1:16">
      <c r="A216" s="58" t="s">
        <v>9</v>
      </c>
      <c r="B216" s="212" t="s">
        <v>369</v>
      </c>
      <c r="C216" s="58"/>
      <c r="D216" s="58"/>
      <c r="E216" s="58"/>
      <c r="F216" s="58"/>
      <c r="G216" s="58"/>
      <c r="H216" s="58"/>
      <c r="I216" s="58"/>
      <c r="J216" s="58"/>
      <c r="K216" s="58"/>
      <c r="L216" s="58"/>
      <c r="M216" s="58"/>
      <c r="N216" s="58"/>
      <c r="O216" s="58"/>
      <c r="P216" s="58"/>
    </row>
    <row r="217" spans="1:16">
      <c r="A217" s="58" t="s">
        <v>11</v>
      </c>
      <c r="B217" s="58" t="s">
        <v>360</v>
      </c>
      <c r="C217" s="58"/>
      <c r="D217" s="58"/>
      <c r="E217" s="58"/>
      <c r="F217" s="58"/>
      <c r="G217" s="58"/>
      <c r="H217" s="58"/>
      <c r="I217" s="58"/>
      <c r="J217" s="58"/>
      <c r="K217" s="58"/>
      <c r="L217" s="58"/>
      <c r="M217" s="58"/>
      <c r="N217" s="58"/>
      <c r="O217" s="58"/>
      <c r="P217" s="58"/>
    </row>
    <row r="218" spans="1:16">
      <c r="A218" s="58" t="s">
        <v>13</v>
      </c>
      <c r="B218" s="58" t="s">
        <v>59</v>
      </c>
      <c r="C218" s="58"/>
      <c r="D218" s="58"/>
      <c r="E218" s="58"/>
      <c r="F218" s="58"/>
      <c r="G218" s="58"/>
      <c r="H218" s="58"/>
      <c r="I218" s="58"/>
      <c r="J218" s="58"/>
      <c r="K218" s="58"/>
      <c r="L218" s="58"/>
      <c r="M218" s="58"/>
      <c r="N218" s="58"/>
      <c r="O218" s="58"/>
      <c r="P218" s="58"/>
    </row>
    <row r="219" spans="1:16">
      <c r="A219" s="58" t="s">
        <v>15</v>
      </c>
      <c r="B219" s="58">
        <v>1</v>
      </c>
      <c r="C219" s="58"/>
      <c r="D219" s="58"/>
      <c r="E219" s="58"/>
      <c r="F219" s="58"/>
      <c r="G219" s="58"/>
      <c r="H219" s="58"/>
      <c r="I219" s="58"/>
      <c r="J219" s="58"/>
      <c r="K219" s="58"/>
      <c r="L219" s="58"/>
      <c r="M219" s="58"/>
      <c r="N219" s="58"/>
      <c r="O219" s="58"/>
      <c r="P219" s="58"/>
    </row>
    <row r="220" spans="1:16">
      <c r="A220" s="58" t="s">
        <v>16</v>
      </c>
      <c r="B220" s="58" t="s">
        <v>17</v>
      </c>
      <c r="C220" s="58"/>
      <c r="D220" s="58"/>
      <c r="E220" s="58"/>
      <c r="F220" s="58"/>
      <c r="G220" s="58"/>
      <c r="H220" s="58"/>
      <c r="I220" s="58"/>
      <c r="J220" s="58"/>
      <c r="K220" s="58"/>
      <c r="L220" s="58"/>
      <c r="M220" s="58"/>
      <c r="N220" s="58"/>
      <c r="O220" s="58"/>
      <c r="P220" s="58"/>
    </row>
    <row r="221" spans="1:16" ht="15.6">
      <c r="A221" s="58" t="s">
        <v>18</v>
      </c>
      <c r="B221" s="180" t="s">
        <v>18</v>
      </c>
      <c r="C221" s="58"/>
      <c r="D221" s="58"/>
      <c r="E221" s="58" t="s">
        <v>185</v>
      </c>
      <c r="F221" s="58"/>
      <c r="G221" s="58"/>
      <c r="H221" s="58"/>
      <c r="I221" s="58"/>
      <c r="J221" s="58"/>
      <c r="K221" s="58"/>
      <c r="L221" s="58"/>
      <c r="M221" s="58"/>
      <c r="N221" s="58"/>
      <c r="O221" s="58"/>
      <c r="P221" s="58"/>
    </row>
    <row r="222" spans="1:16" ht="15.6">
      <c r="A222" s="181" t="s">
        <v>19</v>
      </c>
      <c r="B222" s="58"/>
      <c r="C222" s="58"/>
      <c r="D222" s="58"/>
      <c r="E222" s="58"/>
      <c r="F222" s="58"/>
      <c r="G222" s="58"/>
      <c r="H222" s="58"/>
      <c r="I222" s="58"/>
      <c r="J222" s="58"/>
      <c r="K222" s="58"/>
      <c r="L222" s="58"/>
      <c r="M222" s="58"/>
      <c r="N222" s="58"/>
      <c r="O222" s="58"/>
      <c r="P222" s="58"/>
    </row>
    <row r="223" spans="1:16" ht="15.6">
      <c r="A223" s="181" t="s">
        <v>20</v>
      </c>
      <c r="B223" s="181" t="s">
        <v>21</v>
      </c>
      <c r="C223" s="181" t="s">
        <v>186</v>
      </c>
      <c r="D223" s="181" t="s">
        <v>18</v>
      </c>
      <c r="E223" s="181" t="s">
        <v>22</v>
      </c>
      <c r="F223" s="181" t="s">
        <v>7</v>
      </c>
      <c r="G223" s="181" t="s">
        <v>13</v>
      </c>
      <c r="H223" s="181" t="s">
        <v>16</v>
      </c>
      <c r="I223" s="181" t="s">
        <v>23</v>
      </c>
      <c r="J223" s="181" t="s">
        <v>24</v>
      </c>
      <c r="K223" s="181" t="s">
        <v>25</v>
      </c>
      <c r="L223" s="181" t="s">
        <v>26</v>
      </c>
      <c r="M223" s="181" t="s">
        <v>27</v>
      </c>
      <c r="N223" s="181" t="s">
        <v>28</v>
      </c>
      <c r="O223" s="181" t="s">
        <v>11</v>
      </c>
      <c r="P223" s="181" t="s">
        <v>187</v>
      </c>
    </row>
    <row r="224" spans="1:16" ht="15.95" thickBot="1">
      <c r="A224" s="180" t="str">
        <f>B214</f>
        <v>treatment systems, airframe, SOFC-bat, Long-Term</v>
      </c>
      <c r="B224">
        <v>1</v>
      </c>
      <c r="C224" s="180"/>
      <c r="D224" s="180" t="s">
        <v>18</v>
      </c>
      <c r="E224" s="58" t="s">
        <v>2</v>
      </c>
      <c r="F224" s="58" t="s">
        <v>309</v>
      </c>
      <c r="G224" s="180" t="s">
        <v>59</v>
      </c>
      <c r="H224" s="58" t="s">
        <v>30</v>
      </c>
      <c r="I224" s="58">
        <v>0</v>
      </c>
      <c r="J224" s="180" t="s">
        <v>31</v>
      </c>
      <c r="K224" s="180" t="s">
        <v>31</v>
      </c>
      <c r="L224" s="180" t="s">
        <v>31</v>
      </c>
      <c r="M224" s="180" t="s">
        <v>31</v>
      </c>
      <c r="N224" s="180" t="s">
        <v>31</v>
      </c>
      <c r="O224" s="180"/>
      <c r="P224" s="58"/>
    </row>
    <row r="225" spans="1:16" ht="15.6">
      <c r="A225" t="s">
        <v>331</v>
      </c>
      <c r="B225" s="214">
        <v>229.98899999999992</v>
      </c>
      <c r="D225" t="s">
        <v>37</v>
      </c>
      <c r="E225" s="58" t="s">
        <v>2</v>
      </c>
      <c r="F225" s="58" t="s">
        <v>309</v>
      </c>
      <c r="G225" s="180" t="s">
        <v>59</v>
      </c>
      <c r="H225" t="s">
        <v>33</v>
      </c>
      <c r="I225" s="58">
        <v>0</v>
      </c>
      <c r="J225" s="180" t="s">
        <v>31</v>
      </c>
      <c r="K225" s="180" t="s">
        <v>31</v>
      </c>
      <c r="L225" s="180" t="s">
        <v>31</v>
      </c>
      <c r="M225" s="180" t="s">
        <v>31</v>
      </c>
      <c r="N225" s="180" t="s">
        <v>31</v>
      </c>
      <c r="O225" t="s">
        <v>370</v>
      </c>
    </row>
    <row r="226" spans="1:16" ht="15.6">
      <c r="A226" t="s">
        <v>334</v>
      </c>
      <c r="B226" s="211">
        <v>9.6319999999999997</v>
      </c>
      <c r="D226" t="s">
        <v>37</v>
      </c>
      <c r="E226" s="58" t="s">
        <v>2</v>
      </c>
      <c r="F226" s="58" t="s">
        <v>309</v>
      </c>
      <c r="G226" s="180" t="s">
        <v>59</v>
      </c>
      <c r="H226" t="s">
        <v>33</v>
      </c>
      <c r="I226" s="58">
        <v>0</v>
      </c>
      <c r="J226" s="180" t="s">
        <v>31</v>
      </c>
      <c r="K226" s="180" t="s">
        <v>31</v>
      </c>
      <c r="L226" s="180" t="s">
        <v>31</v>
      </c>
      <c r="M226" s="180" t="s">
        <v>31</v>
      </c>
      <c r="N226" s="180" t="s">
        <v>31</v>
      </c>
    </row>
    <row r="227" spans="1:16" ht="15.6">
      <c r="A227" s="180" t="s">
        <v>293</v>
      </c>
      <c r="B227" s="211">
        <v>142.65199999999999</v>
      </c>
      <c r="C227" s="180"/>
      <c r="D227" t="s">
        <v>37</v>
      </c>
      <c r="E227" s="58" t="s">
        <v>2</v>
      </c>
      <c r="F227" s="58" t="s">
        <v>309</v>
      </c>
      <c r="G227" s="180" t="s">
        <v>59</v>
      </c>
      <c r="H227" t="s">
        <v>33</v>
      </c>
      <c r="I227" s="58">
        <v>0</v>
      </c>
      <c r="J227" s="180" t="s">
        <v>31</v>
      </c>
      <c r="K227" s="180" t="s">
        <v>31</v>
      </c>
      <c r="L227" s="180" t="s">
        <v>31</v>
      </c>
      <c r="M227" s="180" t="s">
        <v>31</v>
      </c>
      <c r="N227" s="180" t="s">
        <v>31</v>
      </c>
      <c r="O227" s="58" t="s">
        <v>371</v>
      </c>
    </row>
    <row r="228" spans="1:16" ht="15.6">
      <c r="A228" t="s">
        <v>194</v>
      </c>
      <c r="B228" s="211">
        <v>1466.8</v>
      </c>
      <c r="D228" t="s">
        <v>37</v>
      </c>
      <c r="E228" s="84" t="s">
        <v>40</v>
      </c>
      <c r="F228" s="58" t="s">
        <v>309</v>
      </c>
      <c r="G228" s="180" t="s">
        <v>82</v>
      </c>
      <c r="H228" t="s">
        <v>33</v>
      </c>
      <c r="I228" s="58">
        <v>0</v>
      </c>
      <c r="J228" s="180" t="s">
        <v>31</v>
      </c>
      <c r="K228" s="180" t="s">
        <v>31</v>
      </c>
      <c r="L228" s="180" t="s">
        <v>31</v>
      </c>
      <c r="M228" s="180" t="s">
        <v>31</v>
      </c>
      <c r="N228" s="180" t="s">
        <v>31</v>
      </c>
    </row>
    <row r="229" spans="1:16" ht="15.6">
      <c r="A229" t="s">
        <v>334</v>
      </c>
      <c r="B229" s="211">
        <v>172.684</v>
      </c>
      <c r="D229" t="s">
        <v>37</v>
      </c>
      <c r="E229" s="58" t="s">
        <v>2</v>
      </c>
      <c r="F229" s="58" t="s">
        <v>309</v>
      </c>
      <c r="G229" s="180" t="s">
        <v>59</v>
      </c>
      <c r="H229" t="s">
        <v>33</v>
      </c>
      <c r="I229" s="58">
        <v>0</v>
      </c>
      <c r="J229" s="180" t="s">
        <v>31</v>
      </c>
      <c r="K229" s="180" t="s">
        <v>31</v>
      </c>
      <c r="L229" s="180" t="s">
        <v>31</v>
      </c>
      <c r="M229" s="180" t="s">
        <v>31</v>
      </c>
      <c r="N229" s="180" t="s">
        <v>31</v>
      </c>
    </row>
    <row r="230" spans="1:16" ht="15.6">
      <c r="A230" t="s">
        <v>337</v>
      </c>
      <c r="B230" s="211">
        <v>1237.4749999999999</v>
      </c>
      <c r="D230" t="s">
        <v>37</v>
      </c>
      <c r="E230" s="58" t="s">
        <v>2</v>
      </c>
      <c r="F230" s="58" t="s">
        <v>309</v>
      </c>
      <c r="G230" s="180" t="s">
        <v>59</v>
      </c>
      <c r="H230" t="s">
        <v>33</v>
      </c>
      <c r="I230" s="58">
        <v>0</v>
      </c>
      <c r="J230" s="180" t="s">
        <v>31</v>
      </c>
      <c r="K230" s="180" t="s">
        <v>31</v>
      </c>
      <c r="L230" s="180" t="s">
        <v>31</v>
      </c>
      <c r="M230" s="180" t="s">
        <v>31</v>
      </c>
      <c r="N230" s="180" t="s">
        <v>31</v>
      </c>
    </row>
    <row r="231" spans="1:16" ht="15.95" thickBot="1">
      <c r="A231" t="s">
        <v>334</v>
      </c>
      <c r="B231" s="215">
        <v>48.159999999999968</v>
      </c>
      <c r="D231" t="s">
        <v>37</v>
      </c>
      <c r="E231" s="58" t="s">
        <v>2</v>
      </c>
      <c r="F231" s="58" t="s">
        <v>309</v>
      </c>
      <c r="G231" s="180" t="s">
        <v>59</v>
      </c>
      <c r="H231" t="s">
        <v>33</v>
      </c>
      <c r="I231" s="58">
        <v>0</v>
      </c>
      <c r="J231" s="180" t="s">
        <v>31</v>
      </c>
      <c r="K231" s="180" t="s">
        <v>31</v>
      </c>
      <c r="L231" s="180" t="s">
        <v>31</v>
      </c>
      <c r="M231" s="180" t="s">
        <v>31</v>
      </c>
      <c r="N231" s="180" t="s">
        <v>31</v>
      </c>
    </row>
    <row r="232" spans="1:16" s="73" customFormat="1" ht="15.6">
      <c r="A232" s="178" t="s">
        <v>5</v>
      </c>
      <c r="B232" s="178" t="s">
        <v>372</v>
      </c>
      <c r="C232" s="178"/>
      <c r="D232" s="74"/>
      <c r="E232" s="150"/>
      <c r="F232" s="150"/>
      <c r="G232" s="150"/>
      <c r="H232" s="150"/>
      <c r="I232" s="150"/>
      <c r="J232" s="150"/>
      <c r="K232" s="150"/>
      <c r="L232" s="150"/>
      <c r="M232" s="150"/>
      <c r="N232" s="150"/>
      <c r="O232" s="150"/>
      <c r="P232" s="150"/>
    </row>
    <row r="233" spans="1:16">
      <c r="A233" s="58" t="s">
        <v>7</v>
      </c>
      <c r="B233" s="58" t="s">
        <v>261</v>
      </c>
      <c r="C233" s="58"/>
      <c r="D233" s="58"/>
      <c r="E233" s="58"/>
      <c r="F233" s="58"/>
      <c r="G233" s="58"/>
      <c r="H233" s="58"/>
      <c r="I233" s="58"/>
      <c r="J233" s="58"/>
      <c r="K233" s="58"/>
      <c r="L233" s="58"/>
      <c r="M233" s="58"/>
      <c r="N233" s="58"/>
      <c r="O233" s="58"/>
      <c r="P233" s="58"/>
    </row>
    <row r="234" spans="1:16">
      <c r="A234" s="58" t="s">
        <v>9</v>
      </c>
      <c r="B234" s="212" t="s">
        <v>373</v>
      </c>
      <c r="C234" s="58"/>
      <c r="D234" s="58"/>
      <c r="E234" s="58"/>
      <c r="F234" s="58"/>
      <c r="G234" s="58"/>
      <c r="H234" s="58"/>
      <c r="I234" s="58"/>
      <c r="J234" s="58"/>
      <c r="K234" s="58"/>
      <c r="L234" s="58"/>
      <c r="M234" s="58"/>
      <c r="N234" s="58"/>
      <c r="O234" s="58"/>
      <c r="P234" s="58"/>
    </row>
    <row r="235" spans="1:16">
      <c r="A235" s="58" t="s">
        <v>11</v>
      </c>
      <c r="B235" s="58" t="s">
        <v>360</v>
      </c>
      <c r="C235" s="58"/>
      <c r="D235" s="58"/>
      <c r="E235" s="58"/>
      <c r="F235" s="58"/>
      <c r="G235" s="58"/>
      <c r="H235" s="58"/>
      <c r="I235" s="58"/>
      <c r="J235" s="58"/>
      <c r="K235" s="58"/>
      <c r="L235" s="58"/>
      <c r="M235" s="58"/>
      <c r="N235" s="58"/>
      <c r="O235" s="58"/>
      <c r="P235" s="58"/>
    </row>
    <row r="236" spans="1:16">
      <c r="A236" s="58" t="s">
        <v>13</v>
      </c>
      <c r="B236" s="58" t="s">
        <v>59</v>
      </c>
      <c r="C236" s="58"/>
      <c r="D236" s="58"/>
      <c r="E236" s="58"/>
      <c r="F236" s="58"/>
      <c r="G236" s="58"/>
      <c r="H236" s="58"/>
      <c r="I236" s="58"/>
      <c r="J236" s="58"/>
      <c r="K236" s="58"/>
      <c r="L236" s="58"/>
      <c r="M236" s="58"/>
      <c r="N236" s="58"/>
      <c r="O236" s="58"/>
      <c r="P236" s="58"/>
    </row>
    <row r="237" spans="1:16">
      <c r="A237" s="58" t="s">
        <v>15</v>
      </c>
      <c r="B237" s="58">
        <v>1</v>
      </c>
      <c r="C237" s="58"/>
      <c r="D237" s="58"/>
      <c r="E237" s="58"/>
      <c r="F237" s="58"/>
      <c r="G237" s="58"/>
      <c r="H237" s="58"/>
      <c r="I237" s="58"/>
      <c r="J237" s="58"/>
      <c r="K237" s="58"/>
      <c r="L237" s="58"/>
      <c r="M237" s="58"/>
      <c r="N237" s="58"/>
      <c r="O237" s="58"/>
      <c r="P237" s="58"/>
    </row>
    <row r="238" spans="1:16">
      <c r="A238" s="58" t="s">
        <v>16</v>
      </c>
      <c r="B238" s="58" t="s">
        <v>17</v>
      </c>
      <c r="C238" s="58"/>
      <c r="D238" s="58"/>
      <c r="E238" s="58"/>
      <c r="F238" s="58"/>
      <c r="G238" s="58"/>
      <c r="H238" s="58"/>
      <c r="I238" s="58"/>
      <c r="J238" s="58"/>
      <c r="K238" s="58"/>
      <c r="L238" s="58"/>
      <c r="M238" s="58"/>
      <c r="N238" s="58"/>
      <c r="O238" s="58"/>
      <c r="P238" s="58"/>
    </row>
    <row r="239" spans="1:16" ht="15.6">
      <c r="A239" s="58" t="s">
        <v>18</v>
      </c>
      <c r="B239" s="180" t="s">
        <v>18</v>
      </c>
      <c r="C239" s="58"/>
      <c r="D239" s="58"/>
      <c r="E239" s="58" t="s">
        <v>185</v>
      </c>
      <c r="F239" s="58"/>
      <c r="G239" s="58"/>
      <c r="H239" s="58"/>
      <c r="I239" s="58"/>
      <c r="J239" s="58"/>
      <c r="K239" s="58"/>
      <c r="L239" s="58"/>
      <c r="M239" s="58"/>
      <c r="N239" s="58"/>
      <c r="O239" s="58"/>
      <c r="P239" s="58"/>
    </row>
    <row r="240" spans="1:16" ht="15.6">
      <c r="A240" s="181" t="s">
        <v>19</v>
      </c>
      <c r="B240" s="58"/>
      <c r="C240" s="58"/>
      <c r="D240" s="58"/>
      <c r="E240" s="58"/>
      <c r="F240" s="58"/>
      <c r="G240" s="58"/>
      <c r="H240" s="58"/>
      <c r="I240" s="58"/>
      <c r="J240" s="58"/>
      <c r="K240" s="58"/>
      <c r="L240" s="58"/>
      <c r="M240" s="58"/>
      <c r="N240" s="58"/>
      <c r="O240" s="58"/>
      <c r="P240" s="58"/>
    </row>
    <row r="241" spans="1:16" ht="15.6">
      <c r="A241" s="181" t="s">
        <v>20</v>
      </c>
      <c r="B241" s="181" t="s">
        <v>21</v>
      </c>
      <c r="C241" s="181" t="s">
        <v>186</v>
      </c>
      <c r="D241" s="181" t="s">
        <v>18</v>
      </c>
      <c r="E241" s="181" t="s">
        <v>22</v>
      </c>
      <c r="F241" s="181" t="s">
        <v>7</v>
      </c>
      <c r="G241" s="181" t="s">
        <v>13</v>
      </c>
      <c r="H241" s="181" t="s">
        <v>16</v>
      </c>
      <c r="I241" s="181" t="s">
        <v>23</v>
      </c>
      <c r="J241" s="181" t="s">
        <v>24</v>
      </c>
      <c r="K241" s="181" t="s">
        <v>25</v>
      </c>
      <c r="L241" s="181" t="s">
        <v>26</v>
      </c>
      <c r="M241" s="181" t="s">
        <v>27</v>
      </c>
      <c r="N241" s="181" t="s">
        <v>28</v>
      </c>
      <c r="O241" s="181" t="s">
        <v>11</v>
      </c>
      <c r="P241" s="181" t="s">
        <v>187</v>
      </c>
    </row>
    <row r="242" spans="1:16" ht="15.6">
      <c r="A242" s="180" t="str">
        <f>B232</f>
        <v>treatment of airframe , SOFC-bat, Long-Term</v>
      </c>
      <c r="B242">
        <v>1</v>
      </c>
      <c r="C242" s="180"/>
      <c r="D242" s="180" t="s">
        <v>18</v>
      </c>
      <c r="E242" s="58" t="s">
        <v>2</v>
      </c>
      <c r="F242" s="58" t="s">
        <v>309</v>
      </c>
      <c r="G242" s="180" t="s">
        <v>59</v>
      </c>
      <c r="H242" s="58" t="s">
        <v>30</v>
      </c>
      <c r="I242" s="58">
        <v>0</v>
      </c>
      <c r="J242" s="180" t="s">
        <v>31</v>
      </c>
      <c r="K242" s="180" t="s">
        <v>31</v>
      </c>
      <c r="L242" s="180" t="s">
        <v>31</v>
      </c>
      <c r="M242" s="180" t="s">
        <v>31</v>
      </c>
      <c r="N242" s="180" t="s">
        <v>31</v>
      </c>
      <c r="O242" s="180"/>
      <c r="P242" s="58"/>
    </row>
    <row r="243" spans="1:16">
      <c r="A243" t="str">
        <f>A208</f>
        <v>treatment fuselage , airframe, SOFC-bat, Long-Term</v>
      </c>
      <c r="B243">
        <f t="shared" ref="B243:N243" si="1">B208</f>
        <v>1</v>
      </c>
      <c r="D243" t="str">
        <f t="shared" si="1"/>
        <v>unit</v>
      </c>
      <c r="E243" t="str">
        <f t="shared" si="1"/>
        <v>GENESIS_2050_SOFC-bat_Base</v>
      </c>
      <c r="F243" s="58" t="s">
        <v>309</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SOFC-bat, Long-Term</v>
      </c>
      <c r="B244">
        <f t="shared" ref="B244:N244" si="2">B194</f>
        <v>1</v>
      </c>
      <c r="D244" t="str">
        <f t="shared" si="2"/>
        <v>unit</v>
      </c>
      <c r="E244" t="str">
        <f t="shared" si="2"/>
        <v>GENESIS_2050_SOFC-bat_Base</v>
      </c>
      <c r="F244" s="58" t="s">
        <v>309</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SOFC-bat, Long-Term</v>
      </c>
      <c r="B245">
        <f t="shared" ref="B245:N245" si="3">B179</f>
        <v>1</v>
      </c>
      <c r="D245" t="str">
        <f t="shared" si="3"/>
        <v>unit</v>
      </c>
      <c r="E245" t="str">
        <f t="shared" si="3"/>
        <v>GENESIS_2050_SOFC-bat_Base</v>
      </c>
      <c r="F245" s="58" t="s">
        <v>309</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SOFC-bat, Long-Term</v>
      </c>
      <c r="B246">
        <f t="shared" ref="B246:N246" si="4">B159</f>
        <v>1</v>
      </c>
      <c r="D246" t="str">
        <f t="shared" si="4"/>
        <v>kilogram</v>
      </c>
      <c r="E246" t="str">
        <f t="shared" si="4"/>
        <v>GENESIS_2050_SOFC-bat_Base</v>
      </c>
      <c r="F246" s="58" t="s">
        <v>309</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
        <v>368</v>
      </c>
      <c r="B247">
        <v>1</v>
      </c>
      <c r="D247" t="s">
        <v>18</v>
      </c>
      <c r="E247" t="s">
        <v>2</v>
      </c>
      <c r="F247" t="s">
        <v>309</v>
      </c>
      <c r="G247" t="s">
        <v>59</v>
      </c>
      <c r="H247" t="s">
        <v>33</v>
      </c>
      <c r="I247">
        <v>0</v>
      </c>
      <c r="J247" t="s">
        <v>31</v>
      </c>
      <c r="K247" t="s">
        <v>31</v>
      </c>
      <c r="L247" t="s">
        <v>31</v>
      </c>
      <c r="M247" t="s">
        <v>31</v>
      </c>
      <c r="N247" t="s">
        <v>31</v>
      </c>
    </row>
    <row r="249" spans="1:16">
      <c r="F249" t="s">
        <v>374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4904-601A-45CC-9E38-7AF01FD38446}">
  <sheetPr>
    <tabColor theme="9"/>
  </sheetPr>
  <dimension ref="A1:P59"/>
  <sheetViews>
    <sheetView zoomScale="70" zoomScaleNormal="70" workbookViewId="0">
      <selection activeCell="B5" sqref="B5"/>
    </sheetView>
  </sheetViews>
  <sheetFormatPr defaultRowHeight="14.45"/>
  <cols>
    <col min="1" max="1" width="79.5703125" bestFit="1" customWidth="1"/>
    <col min="5" max="5" width="31.28515625" bestFit="1" customWidth="1"/>
    <col min="6" max="6" width="37.140625" bestFit="1" customWidth="1"/>
  </cols>
  <sheetData>
    <row r="1" spans="1:16">
      <c r="A1" t="s">
        <v>0</v>
      </c>
      <c r="B1">
        <v>14</v>
      </c>
    </row>
    <row r="2" spans="1:16" s="73" customFormat="1" ht="15.6">
      <c r="A2" s="178" t="s">
        <v>5</v>
      </c>
      <c r="B2" s="178" t="s">
        <v>375</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58" t="s">
        <v>376</v>
      </c>
      <c r="C4" s="58"/>
      <c r="D4" s="58"/>
      <c r="E4" s="58"/>
      <c r="F4" s="58"/>
      <c r="G4" s="58"/>
      <c r="H4" s="58"/>
      <c r="I4" s="58"/>
      <c r="J4" s="58"/>
      <c r="K4" s="58"/>
      <c r="L4" s="58"/>
      <c r="M4" s="58"/>
      <c r="N4" s="58"/>
      <c r="O4" s="58"/>
      <c r="P4" s="58"/>
    </row>
    <row r="5" spans="1:16">
      <c r="A5" s="58" t="s">
        <v>11</v>
      </c>
      <c r="B5" s="58" t="s">
        <v>308</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steel, H2_storage EoL, SOFC-bat, Long-Term</v>
      </c>
      <c r="B12" s="180">
        <v>1</v>
      </c>
      <c r="C12" s="180"/>
      <c r="D12" s="180" t="s">
        <v>37</v>
      </c>
      <c r="E12" s="58" t="s">
        <v>2</v>
      </c>
      <c r="F12" s="58" t="s">
        <v>188</v>
      </c>
      <c r="G12" s="180" t="s">
        <v>59</v>
      </c>
      <c r="H12" s="58" t="s">
        <v>30</v>
      </c>
      <c r="I12" s="58">
        <v>0</v>
      </c>
      <c r="J12" s="180" t="s">
        <v>31</v>
      </c>
      <c r="K12" s="180" t="s">
        <v>31</v>
      </c>
      <c r="L12" s="180" t="s">
        <v>31</v>
      </c>
      <c r="M12" s="180" t="s">
        <v>31</v>
      </c>
      <c r="N12" s="180" t="s">
        <v>31</v>
      </c>
      <c r="O12" s="180" t="s">
        <v>339</v>
      </c>
      <c r="P12" s="58"/>
    </row>
    <row r="13" spans="1:16" ht="15.6">
      <c r="A13" t="s">
        <v>135</v>
      </c>
      <c r="B13" s="23">
        <v>0.85</v>
      </c>
      <c r="C13" s="180"/>
      <c r="D13" s="180" t="s">
        <v>37</v>
      </c>
      <c r="E13" s="84" t="s">
        <v>40</v>
      </c>
      <c r="F13" s="58" t="s">
        <v>188</v>
      </c>
      <c r="G13" s="180" t="s">
        <v>82</v>
      </c>
      <c r="H13" s="58" t="s">
        <v>33</v>
      </c>
      <c r="I13" s="58">
        <v>0</v>
      </c>
      <c r="J13" s="180" t="s">
        <v>31</v>
      </c>
      <c r="K13" s="180" t="s">
        <v>31</v>
      </c>
      <c r="L13" s="180" t="s">
        <v>31</v>
      </c>
      <c r="M13" s="180" t="s">
        <v>31</v>
      </c>
      <c r="N13" s="180" t="s">
        <v>31</v>
      </c>
      <c r="O13" s="58"/>
      <c r="P13" s="58"/>
    </row>
    <row r="14" spans="1:16" ht="15.6">
      <c r="A14" t="s">
        <v>237</v>
      </c>
      <c r="B14" s="23">
        <f>0.9*B13</f>
        <v>0.76500000000000001</v>
      </c>
      <c r="C14" s="180"/>
      <c r="D14" s="180" t="s">
        <v>37</v>
      </c>
      <c r="E14" s="84" t="s">
        <v>40</v>
      </c>
      <c r="F14" s="58" t="s">
        <v>188</v>
      </c>
      <c r="G14" s="180" t="s">
        <v>59</v>
      </c>
      <c r="H14" s="58" t="s">
        <v>136</v>
      </c>
      <c r="I14" s="58">
        <v>0</v>
      </c>
      <c r="J14" s="180" t="s">
        <v>31</v>
      </c>
      <c r="K14" s="180" t="s">
        <v>31</v>
      </c>
      <c r="L14" s="180" t="s">
        <v>31</v>
      </c>
      <c r="M14" s="180" t="s">
        <v>31</v>
      </c>
      <c r="N14" s="180" t="s">
        <v>31</v>
      </c>
      <c r="O14" s="58"/>
      <c r="P14" s="58" t="s">
        <v>206</v>
      </c>
    </row>
    <row r="15" spans="1:16" ht="16.5" customHeight="1">
      <c r="A15" t="s">
        <v>210</v>
      </c>
      <c r="B15" s="23">
        <f>-(1-B14)</f>
        <v>-0.23499999999999999</v>
      </c>
      <c r="D15" t="s">
        <v>37</v>
      </c>
      <c r="E15" s="84" t="s">
        <v>40</v>
      </c>
      <c r="F15" s="58" t="s">
        <v>188</v>
      </c>
      <c r="G15" t="s">
        <v>59</v>
      </c>
      <c r="H15" t="s">
        <v>33</v>
      </c>
      <c r="I15">
        <v>0</v>
      </c>
      <c r="J15" t="s">
        <v>31</v>
      </c>
      <c r="K15" t="s">
        <v>31</v>
      </c>
      <c r="L15" t="s">
        <v>31</v>
      </c>
      <c r="M15" t="s">
        <v>31</v>
      </c>
      <c r="N15" t="s">
        <v>31</v>
      </c>
      <c r="O15" s="17"/>
      <c r="P15" s="58" t="s">
        <v>319</v>
      </c>
    </row>
    <row r="16" spans="1:16" s="73" customFormat="1" ht="15.6">
      <c r="A16" s="178" t="s">
        <v>5</v>
      </c>
      <c r="B16" s="178" t="s">
        <v>377</v>
      </c>
      <c r="C16" s="178"/>
      <c r="D16" s="74"/>
      <c r="E16" s="150"/>
      <c r="F16" s="150"/>
      <c r="G16" s="150"/>
      <c r="H16" s="150"/>
      <c r="I16" s="150"/>
      <c r="J16" s="150"/>
      <c r="K16" s="150"/>
      <c r="L16" s="150"/>
      <c r="M16" s="150"/>
      <c r="N16" s="150"/>
      <c r="O16" s="150"/>
      <c r="P16" s="150"/>
    </row>
    <row r="17" spans="1:16">
      <c r="A17" s="58" t="s">
        <v>7</v>
      </c>
      <c r="B17" s="58" t="s">
        <v>261</v>
      </c>
      <c r="C17" s="58"/>
      <c r="D17" s="58"/>
      <c r="E17" s="58"/>
      <c r="F17" s="58"/>
      <c r="G17" s="58"/>
      <c r="H17" s="58"/>
      <c r="I17" s="58"/>
      <c r="J17" s="58"/>
      <c r="K17" s="58"/>
      <c r="L17" s="58"/>
      <c r="M17" s="58"/>
      <c r="N17" s="58"/>
      <c r="O17" s="58"/>
      <c r="P17" s="58"/>
    </row>
    <row r="18" spans="1:16">
      <c r="A18" s="58" t="s">
        <v>9</v>
      </c>
      <c r="B18" s="58" t="s">
        <v>378</v>
      </c>
      <c r="C18" s="58"/>
      <c r="D18" s="58"/>
      <c r="E18" s="58"/>
      <c r="F18" s="58"/>
      <c r="G18" s="58"/>
      <c r="H18" s="58"/>
      <c r="I18" s="58"/>
      <c r="J18" s="58"/>
      <c r="K18" s="58"/>
      <c r="L18" s="58"/>
      <c r="M18" s="58"/>
      <c r="N18" s="58"/>
      <c r="O18" s="58"/>
      <c r="P18" s="58"/>
    </row>
    <row r="19" spans="1:16">
      <c r="A19" s="58" t="s">
        <v>11</v>
      </c>
      <c r="B19" s="58" t="s">
        <v>308</v>
      </c>
      <c r="C19" s="58"/>
      <c r="D19" s="58"/>
      <c r="E19" s="58"/>
      <c r="F19" s="58"/>
      <c r="G19" s="58"/>
      <c r="H19" s="58"/>
      <c r="I19" s="58"/>
      <c r="J19" s="58"/>
      <c r="K19" s="58"/>
      <c r="L19" s="58"/>
      <c r="M19" s="58"/>
      <c r="N19" s="58"/>
      <c r="O19" s="58"/>
      <c r="P19" s="58"/>
    </row>
    <row r="20" spans="1:16">
      <c r="A20" s="58" t="s">
        <v>13</v>
      </c>
      <c r="B20" s="58" t="s">
        <v>59</v>
      </c>
      <c r="C20" s="58"/>
      <c r="D20" s="58"/>
      <c r="E20" s="58"/>
      <c r="F20" s="58"/>
      <c r="G20" s="58"/>
      <c r="H20" s="58"/>
      <c r="I20" s="58"/>
      <c r="J20" s="58"/>
      <c r="K20" s="58"/>
      <c r="L20" s="58"/>
      <c r="M20" s="58"/>
      <c r="N20" s="58"/>
      <c r="O20" s="58"/>
      <c r="P20" s="58"/>
    </row>
    <row r="21" spans="1:16">
      <c r="A21" s="58" t="s">
        <v>15</v>
      </c>
      <c r="B21" s="58">
        <v>1</v>
      </c>
      <c r="C21" s="58"/>
      <c r="D21" s="58"/>
      <c r="E21" s="58"/>
      <c r="F21" s="58"/>
      <c r="G21" s="58"/>
      <c r="H21" s="58"/>
      <c r="I21" s="58"/>
      <c r="J21" s="58"/>
      <c r="K21" s="58"/>
      <c r="L21" s="58"/>
      <c r="M21" s="58"/>
      <c r="N21" s="58"/>
      <c r="O21" s="58"/>
      <c r="P21" s="58"/>
    </row>
    <row r="22" spans="1:16">
      <c r="A22" s="58" t="s">
        <v>16</v>
      </c>
      <c r="B22" s="58" t="s">
        <v>17</v>
      </c>
      <c r="C22" s="58"/>
      <c r="D22" s="58"/>
      <c r="E22" s="58"/>
      <c r="F22" s="58"/>
      <c r="G22" s="58"/>
      <c r="H22" s="58"/>
      <c r="I22" s="58"/>
      <c r="J22" s="58"/>
      <c r="K22" s="58"/>
      <c r="L22" s="58"/>
      <c r="M22" s="58"/>
      <c r="N22" s="58"/>
      <c r="O22" s="58"/>
      <c r="P22" s="58"/>
    </row>
    <row r="23" spans="1:16" ht="15.6">
      <c r="A23" s="58" t="s">
        <v>18</v>
      </c>
      <c r="B23" s="180" t="s">
        <v>37</v>
      </c>
      <c r="C23" s="58"/>
      <c r="D23" s="58"/>
      <c r="E23" s="58" t="s">
        <v>185</v>
      </c>
      <c r="F23" s="58"/>
      <c r="G23" s="58"/>
      <c r="H23" s="58"/>
      <c r="I23" s="58"/>
      <c r="J23" s="58"/>
      <c r="K23" s="58"/>
      <c r="L23" s="58"/>
      <c r="M23" s="58"/>
      <c r="N23" s="58"/>
      <c r="O23" s="58"/>
      <c r="P23" s="58"/>
    </row>
    <row r="24" spans="1:16" ht="15.6">
      <c r="A24" s="181" t="s">
        <v>19</v>
      </c>
      <c r="B24" s="58"/>
      <c r="C24" s="58"/>
      <c r="D24" s="58"/>
      <c r="E24" s="58"/>
      <c r="F24" s="58"/>
      <c r="G24" s="58"/>
      <c r="H24" s="58"/>
      <c r="I24" s="58"/>
      <c r="J24" s="58"/>
      <c r="K24" s="58"/>
      <c r="L24" s="58"/>
      <c r="M24" s="58"/>
      <c r="N24" s="58"/>
      <c r="O24" s="58"/>
      <c r="P24" s="58"/>
    </row>
    <row r="25" spans="1:16" ht="15.6">
      <c r="A25" s="181" t="s">
        <v>20</v>
      </c>
      <c r="B25" s="181" t="s">
        <v>21</v>
      </c>
      <c r="C25" s="181" t="s">
        <v>186</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187</v>
      </c>
    </row>
    <row r="26" spans="1:16" ht="15.6">
      <c r="A26" s="180" t="str">
        <f>B16</f>
        <v>treatment of CFRP, H2 storage EoL,SOFC-bat, Long-Term</v>
      </c>
      <c r="B26" s="180">
        <v>1</v>
      </c>
      <c r="C26" s="180"/>
      <c r="D26" s="180" t="s">
        <v>37</v>
      </c>
      <c r="E26" s="58" t="s">
        <v>2</v>
      </c>
      <c r="F26" s="58" t="s">
        <v>188</v>
      </c>
      <c r="G26" s="180" t="s">
        <v>59</v>
      </c>
      <c r="H26" s="58" t="s">
        <v>30</v>
      </c>
      <c r="I26" s="58">
        <v>0</v>
      </c>
      <c r="J26" s="180" t="s">
        <v>31</v>
      </c>
      <c r="K26" s="180" t="s">
        <v>31</v>
      </c>
      <c r="L26" s="180" t="s">
        <v>31</v>
      </c>
      <c r="M26" s="180" t="s">
        <v>31</v>
      </c>
      <c r="N26" s="180" t="s">
        <v>31</v>
      </c>
      <c r="O26" s="180" t="s">
        <v>336</v>
      </c>
      <c r="P26" s="58"/>
    </row>
    <row r="27" spans="1:16" ht="15.6">
      <c r="A27" s="84" t="s">
        <v>216</v>
      </c>
      <c r="B27">
        <v>-0.5</v>
      </c>
      <c r="D27" t="s">
        <v>37</v>
      </c>
      <c r="E27" s="188" t="s">
        <v>40</v>
      </c>
      <c r="F27" s="58" t="s">
        <v>188</v>
      </c>
      <c r="G27" t="s">
        <v>82</v>
      </c>
      <c r="H27" t="s">
        <v>33</v>
      </c>
      <c r="I27" s="58">
        <v>0</v>
      </c>
      <c r="J27" s="180" t="s">
        <v>31</v>
      </c>
      <c r="K27" s="180" t="s">
        <v>31</v>
      </c>
      <c r="L27" s="180" t="s">
        <v>31</v>
      </c>
      <c r="M27" s="180" t="s">
        <v>31</v>
      </c>
      <c r="N27" s="180" t="s">
        <v>31</v>
      </c>
      <c r="O27" s="180" t="s">
        <v>217</v>
      </c>
      <c r="P27" s="180" t="s">
        <v>279</v>
      </c>
    </row>
    <row r="28" spans="1:16" ht="15.6">
      <c r="A28" s="84" t="s">
        <v>282</v>
      </c>
      <c r="B28">
        <v>-0.5</v>
      </c>
      <c r="D28" t="s">
        <v>37</v>
      </c>
      <c r="E28" s="188" t="s">
        <v>40</v>
      </c>
      <c r="F28" s="58" t="s">
        <v>188</v>
      </c>
      <c r="G28" t="s">
        <v>82</v>
      </c>
      <c r="H28" s="58" t="s">
        <v>33</v>
      </c>
      <c r="I28" s="58">
        <v>0</v>
      </c>
      <c r="J28" s="180" t="s">
        <v>31</v>
      </c>
      <c r="K28" s="180" t="s">
        <v>31</v>
      </c>
      <c r="L28" s="180" t="s">
        <v>31</v>
      </c>
      <c r="M28" s="180" t="s">
        <v>31</v>
      </c>
      <c r="N28" s="180" t="s">
        <v>31</v>
      </c>
      <c r="O28" s="180"/>
    </row>
    <row r="29" spans="1:16" s="73" customFormat="1" ht="15.6">
      <c r="A29" s="178" t="s">
        <v>5</v>
      </c>
      <c r="B29" s="178" t="s">
        <v>379</v>
      </c>
      <c r="C29" s="178"/>
      <c r="D29" s="74"/>
      <c r="E29" s="150"/>
      <c r="F29" s="150"/>
      <c r="G29" s="150"/>
      <c r="H29" s="150"/>
      <c r="I29" s="150"/>
      <c r="J29" s="150"/>
      <c r="K29" s="150"/>
      <c r="L29" s="150"/>
      <c r="M29" s="150"/>
      <c r="N29" s="150"/>
      <c r="O29" s="150"/>
      <c r="P29" s="150"/>
    </row>
    <row r="30" spans="1:16">
      <c r="A30" s="58" t="s">
        <v>7</v>
      </c>
      <c r="B30" s="58" t="s">
        <v>261</v>
      </c>
      <c r="C30" s="58"/>
      <c r="D30" s="58"/>
      <c r="E30" s="58"/>
      <c r="F30" s="58"/>
      <c r="G30" s="58"/>
      <c r="H30" s="58"/>
      <c r="I30" s="58"/>
      <c r="J30" s="58"/>
      <c r="K30" s="58"/>
      <c r="L30" s="58"/>
      <c r="M30" s="58"/>
      <c r="N30" s="58"/>
      <c r="O30" s="58"/>
      <c r="P30" s="58"/>
    </row>
    <row r="31" spans="1:16">
      <c r="A31" s="58" t="s">
        <v>9</v>
      </c>
      <c r="B31" s="22" t="s">
        <v>380</v>
      </c>
      <c r="C31" s="58"/>
      <c r="D31" s="58"/>
      <c r="E31" s="58"/>
      <c r="F31" s="58"/>
      <c r="G31" s="58"/>
      <c r="H31" s="58"/>
      <c r="I31" s="58"/>
      <c r="J31" s="58"/>
      <c r="K31" s="58"/>
      <c r="L31" s="58"/>
      <c r="M31" s="58"/>
      <c r="N31" s="58"/>
      <c r="O31" s="58"/>
      <c r="P31" s="58"/>
    </row>
    <row r="32" spans="1:16">
      <c r="A32" s="58" t="s">
        <v>11</v>
      </c>
      <c r="B32" s="58" t="s">
        <v>381</v>
      </c>
      <c r="C32" s="58"/>
      <c r="D32" s="58"/>
      <c r="E32" s="58"/>
      <c r="F32" s="58"/>
      <c r="G32" s="58"/>
      <c r="H32" s="58"/>
      <c r="I32" s="58"/>
      <c r="J32" s="58"/>
      <c r="K32" s="58"/>
      <c r="L32" s="58"/>
      <c r="M32" s="58"/>
      <c r="N32" s="58"/>
      <c r="O32" s="58"/>
      <c r="P32" s="58"/>
    </row>
    <row r="33" spans="1:16">
      <c r="A33" s="58" t="s">
        <v>13</v>
      </c>
      <c r="B33" s="58" t="s">
        <v>59</v>
      </c>
      <c r="C33" s="58"/>
      <c r="D33" s="58"/>
      <c r="E33" s="58"/>
      <c r="F33" s="58"/>
      <c r="G33" s="58"/>
      <c r="H33" s="58"/>
      <c r="I33" s="58"/>
      <c r="J33" s="58"/>
      <c r="K33" s="58"/>
      <c r="L33" s="58"/>
      <c r="M33" s="58"/>
      <c r="N33" s="58"/>
      <c r="O33" s="58"/>
      <c r="P33" s="58"/>
    </row>
    <row r="34" spans="1:16">
      <c r="A34" s="58" t="s">
        <v>15</v>
      </c>
      <c r="B34" s="58">
        <v>1</v>
      </c>
      <c r="C34" s="58"/>
      <c r="D34" s="58"/>
      <c r="E34" s="58"/>
      <c r="F34" s="58"/>
      <c r="G34" s="58"/>
      <c r="H34" s="58"/>
      <c r="I34" s="58"/>
      <c r="J34" s="58"/>
      <c r="K34" s="58"/>
      <c r="L34" s="58"/>
      <c r="M34" s="58"/>
      <c r="N34" s="58"/>
      <c r="O34" s="58"/>
      <c r="P34" s="58"/>
    </row>
    <row r="35" spans="1:16">
      <c r="A35" s="58" t="s">
        <v>16</v>
      </c>
      <c r="B35" s="58" t="s">
        <v>17</v>
      </c>
      <c r="C35" s="58"/>
      <c r="D35" s="58"/>
      <c r="E35" s="58"/>
      <c r="F35" s="58"/>
      <c r="G35" s="58"/>
      <c r="H35" s="58"/>
      <c r="I35" s="58"/>
      <c r="J35" s="58"/>
      <c r="K35" s="58"/>
      <c r="L35" s="58"/>
      <c r="M35" s="58"/>
      <c r="N35" s="58"/>
      <c r="O35" s="58"/>
      <c r="P35" s="58"/>
    </row>
    <row r="36" spans="1:16" ht="15.6">
      <c r="A36" s="58" t="s">
        <v>18</v>
      </c>
      <c r="B36" s="180" t="s">
        <v>37</v>
      </c>
      <c r="C36" s="58"/>
      <c r="D36" s="58"/>
      <c r="E36" s="58" t="s">
        <v>185</v>
      </c>
      <c r="F36" s="58"/>
      <c r="G36" s="58"/>
      <c r="H36" s="58"/>
      <c r="I36" s="58"/>
      <c r="J36" s="58"/>
      <c r="K36" s="58"/>
      <c r="L36" s="58"/>
      <c r="M36" s="58"/>
      <c r="N36" s="58"/>
      <c r="O36" s="58"/>
      <c r="P36" s="58"/>
    </row>
    <row r="37" spans="1:16" ht="15.6">
      <c r="A37" s="181" t="s">
        <v>19</v>
      </c>
      <c r="B37" s="58"/>
      <c r="C37" s="58"/>
      <c r="D37" s="58"/>
      <c r="E37" s="58"/>
      <c r="F37" s="58"/>
      <c r="G37" s="58"/>
      <c r="H37" s="58"/>
      <c r="I37" s="58"/>
      <c r="J37" s="58"/>
      <c r="K37" s="58"/>
      <c r="L37" s="58"/>
      <c r="M37" s="58"/>
      <c r="N37" s="58"/>
      <c r="O37" s="58"/>
      <c r="P37" s="58"/>
    </row>
    <row r="38" spans="1:16" ht="15.6">
      <c r="A38" s="181" t="s">
        <v>20</v>
      </c>
      <c r="B38" s="181" t="s">
        <v>21</v>
      </c>
      <c r="C38" s="181" t="s">
        <v>186</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187</v>
      </c>
    </row>
    <row r="39" spans="1:16" ht="15.6">
      <c r="A39" s="180" t="str">
        <f>B29</f>
        <v>treatment of aluminium, H2 storage EoL,SOFC-bat, Long-Term</v>
      </c>
      <c r="B39" s="180">
        <v>1</v>
      </c>
      <c r="C39" s="180"/>
      <c r="D39" s="180" t="s">
        <v>37</v>
      </c>
      <c r="E39" s="58" t="s">
        <v>2</v>
      </c>
      <c r="F39" s="58" t="s">
        <v>309</v>
      </c>
      <c r="G39" s="180" t="s">
        <v>59</v>
      </c>
      <c r="H39" s="58" t="s">
        <v>30</v>
      </c>
      <c r="I39" s="58">
        <v>0</v>
      </c>
      <c r="J39" s="180" t="s">
        <v>31</v>
      </c>
      <c r="K39" s="180" t="s">
        <v>31</v>
      </c>
      <c r="L39" s="180" t="s">
        <v>31</v>
      </c>
      <c r="M39" s="180" t="s">
        <v>31</v>
      </c>
      <c r="N39" s="180" t="s">
        <v>31</v>
      </c>
      <c r="O39" s="180" t="s">
        <v>333</v>
      </c>
      <c r="P39" s="58"/>
    </row>
    <row r="40" spans="1:16" ht="15.6">
      <c r="A40" t="s">
        <v>201</v>
      </c>
      <c r="B40" s="23">
        <v>0.85</v>
      </c>
      <c r="C40" s="180"/>
      <c r="D40" s="180" t="s">
        <v>37</v>
      </c>
      <c r="E40" s="37" t="s">
        <v>40</v>
      </c>
      <c r="F40" s="58" t="s">
        <v>309</v>
      </c>
      <c r="G40" s="180" t="s">
        <v>82</v>
      </c>
      <c r="H40" s="58" t="s">
        <v>33</v>
      </c>
      <c r="I40" s="58">
        <v>0</v>
      </c>
      <c r="J40" s="180" t="s">
        <v>31</v>
      </c>
      <c r="K40" s="180" t="s">
        <v>31</v>
      </c>
      <c r="L40" s="180" t="s">
        <v>31</v>
      </c>
      <c r="M40" s="180" t="s">
        <v>31</v>
      </c>
      <c r="N40" s="180" t="s">
        <v>31</v>
      </c>
      <c r="O40" s="58"/>
      <c r="P40" s="58"/>
    </row>
    <row r="41" spans="1:16" ht="15.6">
      <c r="A41" t="s">
        <v>202</v>
      </c>
      <c r="B41" s="23">
        <v>0.85</v>
      </c>
      <c r="C41" s="22" t="s">
        <v>203</v>
      </c>
      <c r="D41" t="s">
        <v>37</v>
      </c>
      <c r="E41" s="188" t="s">
        <v>40</v>
      </c>
      <c r="F41" s="58" t="s">
        <v>309</v>
      </c>
      <c r="G41" s="180" t="s">
        <v>82</v>
      </c>
      <c r="H41" s="58" t="s">
        <v>33</v>
      </c>
      <c r="I41" s="58">
        <v>0</v>
      </c>
      <c r="J41" s="180" t="s">
        <v>31</v>
      </c>
      <c r="K41" s="180" t="s">
        <v>31</v>
      </c>
      <c r="L41" s="180" t="s">
        <v>31</v>
      </c>
      <c r="M41" s="180" t="s">
        <v>31</v>
      </c>
      <c r="N41" s="180" t="s">
        <v>31</v>
      </c>
      <c r="O41" s="180" t="s">
        <v>287</v>
      </c>
    </row>
    <row r="42" spans="1:16" ht="15.6">
      <c r="A42" t="s">
        <v>205</v>
      </c>
      <c r="B42" s="23">
        <f>B41*0.9</f>
        <v>0.76500000000000001</v>
      </c>
      <c r="D42" t="s">
        <v>37</v>
      </c>
      <c r="E42" s="188" t="s">
        <v>40</v>
      </c>
      <c r="F42" s="58" t="s">
        <v>309</v>
      </c>
      <c r="G42" t="s">
        <v>59</v>
      </c>
      <c r="H42" s="58" t="s">
        <v>136</v>
      </c>
      <c r="I42" s="58">
        <v>0</v>
      </c>
      <c r="J42" s="180" t="s">
        <v>31</v>
      </c>
      <c r="K42" s="180" t="s">
        <v>31</v>
      </c>
      <c r="L42" s="180" t="s">
        <v>31</v>
      </c>
      <c r="M42" s="180" t="s">
        <v>31</v>
      </c>
      <c r="N42" s="180" t="s">
        <v>31</v>
      </c>
      <c r="O42" s="58"/>
      <c r="P42" s="180" t="s">
        <v>311</v>
      </c>
    </row>
    <row r="43" spans="1:16" ht="15.6">
      <c r="A43" t="s">
        <v>210</v>
      </c>
      <c r="B43" s="23">
        <f>-(1-B42)</f>
        <v>-0.23499999999999999</v>
      </c>
      <c r="D43" t="s">
        <v>37</v>
      </c>
      <c r="E43" s="84" t="s">
        <v>40</v>
      </c>
      <c r="F43" s="58" t="s">
        <v>309</v>
      </c>
      <c r="G43" t="s">
        <v>59</v>
      </c>
      <c r="H43" t="s">
        <v>33</v>
      </c>
      <c r="I43">
        <v>0</v>
      </c>
      <c r="J43" t="s">
        <v>31</v>
      </c>
      <c r="K43" t="s">
        <v>31</v>
      </c>
      <c r="L43" t="s">
        <v>31</v>
      </c>
      <c r="M43" t="s">
        <v>31</v>
      </c>
      <c r="N43" t="s">
        <v>31</v>
      </c>
      <c r="O43" s="17"/>
      <c r="P43" s="58"/>
    </row>
    <row r="44" spans="1:16" s="73" customFormat="1" ht="15.6">
      <c r="A44" s="178" t="s">
        <v>5</v>
      </c>
      <c r="B44" s="182" t="s">
        <v>382</v>
      </c>
      <c r="C44" s="178"/>
      <c r="D44" s="74"/>
      <c r="E44" s="150"/>
      <c r="F44" s="150"/>
      <c r="G44" s="150"/>
      <c r="H44" s="150"/>
      <c r="I44" s="150"/>
      <c r="J44" s="150"/>
      <c r="K44" s="150"/>
      <c r="L44" s="150"/>
      <c r="M44" s="150"/>
      <c r="N44" s="150"/>
      <c r="O44" s="150"/>
      <c r="P44" s="150"/>
    </row>
    <row r="45" spans="1:16">
      <c r="A45" s="58" t="s">
        <v>7</v>
      </c>
      <c r="B45" s="58" t="s">
        <v>261</v>
      </c>
      <c r="C45" s="58"/>
      <c r="D45" s="58"/>
      <c r="E45" s="58"/>
      <c r="F45" s="58"/>
      <c r="G45" s="58"/>
      <c r="H45" s="58"/>
      <c r="I45" s="58"/>
      <c r="J45" s="58"/>
      <c r="K45" s="58"/>
      <c r="L45" s="58"/>
      <c r="M45" s="58"/>
      <c r="N45" s="58"/>
      <c r="O45" s="58"/>
      <c r="P45" s="58"/>
    </row>
    <row r="46" spans="1:16">
      <c r="A46" s="58" t="s">
        <v>9</v>
      </c>
      <c r="B46" s="58" t="s">
        <v>383</v>
      </c>
      <c r="C46" s="58"/>
      <c r="D46" s="58"/>
      <c r="E46" s="58"/>
      <c r="F46" s="58"/>
      <c r="G46" s="58"/>
      <c r="H46" s="58"/>
      <c r="I46" s="58"/>
      <c r="J46" s="58"/>
      <c r="K46" s="58"/>
      <c r="L46" s="58"/>
      <c r="M46" s="58"/>
      <c r="N46" s="58"/>
      <c r="O46" s="58"/>
      <c r="P46" s="58"/>
    </row>
    <row r="47" spans="1:16">
      <c r="A47" s="58" t="s">
        <v>11</v>
      </c>
      <c r="B47" s="58" t="s">
        <v>308</v>
      </c>
      <c r="C47" s="58"/>
      <c r="D47" s="58"/>
      <c r="E47" s="58"/>
      <c r="F47" s="58"/>
      <c r="G47" s="58"/>
      <c r="H47" s="58"/>
      <c r="I47" s="58"/>
      <c r="J47" s="58"/>
      <c r="K47" s="58"/>
      <c r="L47" s="58"/>
      <c r="M47" s="58"/>
      <c r="N47" s="58"/>
      <c r="O47" s="58"/>
      <c r="P47" s="58"/>
    </row>
    <row r="48" spans="1:16">
      <c r="A48" s="58" t="s">
        <v>13</v>
      </c>
      <c r="B48" s="58" t="s">
        <v>59</v>
      </c>
      <c r="C48" s="58"/>
      <c r="D48" s="58"/>
      <c r="E48" s="58"/>
      <c r="F48" s="58"/>
      <c r="G48" s="58"/>
      <c r="H48" s="58"/>
      <c r="I48" s="58"/>
      <c r="J48" s="58"/>
      <c r="K48" s="58"/>
      <c r="L48" s="58"/>
      <c r="M48" s="58"/>
      <c r="N48" s="58"/>
      <c r="O48" s="58"/>
      <c r="P48" s="58"/>
    </row>
    <row r="49" spans="1:16">
      <c r="A49" s="58" t="s">
        <v>15</v>
      </c>
      <c r="B49" s="58">
        <v>1</v>
      </c>
      <c r="C49" s="58"/>
      <c r="D49" s="58"/>
      <c r="E49" s="58"/>
      <c r="F49" s="58"/>
      <c r="G49" s="58"/>
      <c r="H49" s="58"/>
      <c r="I49" s="58"/>
      <c r="J49" s="58"/>
      <c r="K49" s="58"/>
      <c r="L49" s="58"/>
      <c r="M49" s="58"/>
      <c r="N49" s="58"/>
      <c r="O49" s="58"/>
      <c r="P49" s="58"/>
    </row>
    <row r="50" spans="1:16">
      <c r="A50" s="58" t="s">
        <v>16</v>
      </c>
      <c r="B50" s="58" t="s">
        <v>17</v>
      </c>
      <c r="C50" s="58"/>
      <c r="D50" s="58"/>
      <c r="E50" s="58"/>
      <c r="F50" s="58"/>
      <c r="G50" s="58"/>
      <c r="H50" s="58"/>
      <c r="I50" s="58"/>
      <c r="J50" s="58"/>
      <c r="K50" s="58"/>
      <c r="L50" s="58"/>
      <c r="M50" s="58"/>
      <c r="N50" s="58"/>
      <c r="O50" s="58"/>
      <c r="P50" s="58"/>
    </row>
    <row r="51" spans="1:16" ht="15.6">
      <c r="A51" s="58" t="s">
        <v>18</v>
      </c>
      <c r="B51" s="180" t="s">
        <v>18</v>
      </c>
      <c r="C51" s="58"/>
      <c r="D51" s="58"/>
      <c r="E51" s="58" t="s">
        <v>185</v>
      </c>
      <c r="F51" s="58"/>
      <c r="G51" s="58"/>
      <c r="H51" s="58"/>
      <c r="I51" s="58"/>
      <c r="J51" s="58"/>
      <c r="K51" s="58"/>
      <c r="L51" s="58"/>
      <c r="M51" s="58"/>
      <c r="N51" s="58"/>
      <c r="O51" s="58"/>
      <c r="P51" s="58"/>
    </row>
    <row r="52" spans="1:16" ht="15.6">
      <c r="A52" s="181" t="s">
        <v>19</v>
      </c>
      <c r="B52" s="58"/>
      <c r="C52" s="58"/>
      <c r="D52" s="58"/>
      <c r="E52" s="58"/>
      <c r="F52" s="58"/>
      <c r="G52" s="58"/>
      <c r="H52" s="58"/>
      <c r="I52" s="58"/>
      <c r="J52" s="58"/>
      <c r="K52" s="58"/>
      <c r="L52" s="58"/>
      <c r="M52" s="58"/>
      <c r="N52" s="58"/>
      <c r="O52" s="58"/>
      <c r="P52" s="58"/>
    </row>
    <row r="53" spans="1:16" ht="15.6">
      <c r="A53" s="181" t="s">
        <v>20</v>
      </c>
      <c r="B53" s="181" t="s">
        <v>21</v>
      </c>
      <c r="C53" s="181" t="s">
        <v>186</v>
      </c>
      <c r="D53" s="181" t="s">
        <v>18</v>
      </c>
      <c r="E53" s="181" t="s">
        <v>22</v>
      </c>
      <c r="F53" s="181" t="s">
        <v>7</v>
      </c>
      <c r="G53" s="181" t="s">
        <v>13</v>
      </c>
      <c r="H53" s="181" t="s">
        <v>16</v>
      </c>
      <c r="I53" s="181" t="s">
        <v>23</v>
      </c>
      <c r="J53" s="181" t="s">
        <v>24</v>
      </c>
      <c r="K53" s="181" t="s">
        <v>25</v>
      </c>
      <c r="L53" s="181" t="s">
        <v>26</v>
      </c>
      <c r="M53" s="181" t="s">
        <v>27</v>
      </c>
      <c r="N53" s="181" t="s">
        <v>28</v>
      </c>
      <c r="O53" s="181" t="s">
        <v>11</v>
      </c>
      <c r="P53" s="181" t="s">
        <v>187</v>
      </c>
    </row>
    <row r="54" spans="1:16" ht="15.6">
      <c r="A54" s="180" t="str">
        <f>B44</f>
        <v>treatment of H2 storage on-board</v>
      </c>
      <c r="B54" s="180">
        <v>1</v>
      </c>
      <c r="C54" s="180"/>
      <c r="D54" s="180" t="s">
        <v>18</v>
      </c>
      <c r="E54" s="58" t="s">
        <v>2</v>
      </c>
      <c r="F54" s="58" t="s">
        <v>188</v>
      </c>
      <c r="G54" s="180" t="s">
        <v>59</v>
      </c>
      <c r="H54" s="58" t="s">
        <v>30</v>
      </c>
      <c r="I54" s="58">
        <v>0</v>
      </c>
      <c r="J54" s="180" t="s">
        <v>31</v>
      </c>
      <c r="K54" s="180" t="s">
        <v>31</v>
      </c>
      <c r="L54" s="180" t="s">
        <v>31</v>
      </c>
      <c r="M54" s="180" t="s">
        <v>31</v>
      </c>
      <c r="N54" s="180" t="s">
        <v>31</v>
      </c>
      <c r="O54" s="180" t="s">
        <v>336</v>
      </c>
      <c r="P54" s="58"/>
    </row>
    <row r="55" spans="1:16">
      <c r="A55" t="str">
        <f>A12</f>
        <v>treatment of steel, H2_storage EoL, SOFC-bat, Long-Term</v>
      </c>
      <c r="B55">
        <v>38</v>
      </c>
      <c r="D55" t="str">
        <f t="shared" ref="D55:N55" si="0">D12</f>
        <v>kilogram</v>
      </c>
      <c r="E55" t="str">
        <f t="shared" si="0"/>
        <v>GENESIS_2050_SOFC-bat_Base</v>
      </c>
      <c r="F55" s="58" t="s">
        <v>188</v>
      </c>
      <c r="G55" t="str">
        <f t="shared" si="0"/>
        <v>GLO</v>
      </c>
      <c r="H55" t="str">
        <f t="shared" si="0"/>
        <v>production</v>
      </c>
      <c r="I55">
        <f t="shared" si="0"/>
        <v>0</v>
      </c>
      <c r="J55" t="str">
        <f t="shared" si="0"/>
        <v>(Unknown)</v>
      </c>
      <c r="K55" t="str">
        <f t="shared" si="0"/>
        <v>(Unknown)</v>
      </c>
      <c r="L55" t="str">
        <f t="shared" si="0"/>
        <v>(Unknown)</v>
      </c>
      <c r="M55" t="str">
        <f t="shared" si="0"/>
        <v>(Unknown)</v>
      </c>
      <c r="N55" t="str">
        <f t="shared" si="0"/>
        <v>(Unknown)</v>
      </c>
    </row>
    <row r="56" spans="1:16">
      <c r="A56" t="str">
        <f>A26</f>
        <v>treatment of CFRP, H2 storage EoL,SOFC-bat, Long-Term</v>
      </c>
      <c r="B56">
        <v>29.4</v>
      </c>
      <c r="D56" t="str">
        <f t="shared" ref="D56:N57" si="1">D26</f>
        <v>kilogram</v>
      </c>
      <c r="E56" t="str">
        <f t="shared" si="1"/>
        <v>GENESIS_2050_SOFC-bat_Base</v>
      </c>
      <c r="F56" s="58" t="s">
        <v>188</v>
      </c>
      <c r="G56" t="str">
        <f t="shared" si="1"/>
        <v>GLO</v>
      </c>
      <c r="H56" t="str">
        <f t="shared" si="1"/>
        <v>production</v>
      </c>
      <c r="I56">
        <f t="shared" si="1"/>
        <v>0</v>
      </c>
      <c r="J56" t="str">
        <f t="shared" si="1"/>
        <v>(Unknown)</v>
      </c>
      <c r="K56" t="str">
        <f t="shared" si="1"/>
        <v>(Unknown)</v>
      </c>
      <c r="L56" t="str">
        <f t="shared" si="1"/>
        <v>(Unknown)</v>
      </c>
      <c r="M56" t="str">
        <f t="shared" si="1"/>
        <v>(Unknown)</v>
      </c>
      <c r="N56" t="str">
        <f t="shared" si="1"/>
        <v>(Unknown)</v>
      </c>
    </row>
    <row r="57" spans="1:16">
      <c r="A57" t="str">
        <f>A39</f>
        <v>treatment of aluminium, H2 storage EoL,SOFC-bat, Long-Term</v>
      </c>
      <c r="B57">
        <v>15</v>
      </c>
      <c r="D57" t="str">
        <f t="shared" si="1"/>
        <v>kilogram</v>
      </c>
      <c r="E57" t="s">
        <v>2</v>
      </c>
      <c r="F57" s="58" t="s">
        <v>188</v>
      </c>
      <c r="G57" t="s">
        <v>59</v>
      </c>
      <c r="H57" t="str">
        <f t="shared" si="1"/>
        <v>technosphere</v>
      </c>
      <c r="I57">
        <f t="shared" si="1"/>
        <v>0</v>
      </c>
      <c r="J57" t="str">
        <f t="shared" si="1"/>
        <v>(Unknown)</v>
      </c>
      <c r="K57" t="str">
        <f t="shared" si="1"/>
        <v>(Unknown)</v>
      </c>
      <c r="L57" t="str">
        <f t="shared" si="1"/>
        <v>(Unknown)</v>
      </c>
      <c r="M57" t="str">
        <f t="shared" si="1"/>
        <v>(Unknown)</v>
      </c>
      <c r="N57" t="str">
        <f t="shared" si="1"/>
        <v>(Unknown)</v>
      </c>
    </row>
    <row r="58" spans="1:16" ht="15.6">
      <c r="A58" s="84" t="s">
        <v>223</v>
      </c>
      <c r="B58">
        <v>2.6</v>
      </c>
      <c r="D58" t="s">
        <v>37</v>
      </c>
      <c r="E58" s="84" t="s">
        <v>40</v>
      </c>
      <c r="F58" s="58" t="s">
        <v>188</v>
      </c>
      <c r="G58" t="s">
        <v>82</v>
      </c>
      <c r="H58" t="s">
        <v>33</v>
      </c>
      <c r="I58" s="58">
        <v>0</v>
      </c>
      <c r="J58" s="180" t="s">
        <v>31</v>
      </c>
      <c r="K58" s="180" t="s">
        <v>31</v>
      </c>
      <c r="L58" s="180" t="s">
        <v>31</v>
      </c>
      <c r="M58" s="180" t="s">
        <v>31</v>
      </c>
      <c r="N58" s="180" t="s">
        <v>31</v>
      </c>
      <c r="P58" s="180" t="s">
        <v>384</v>
      </c>
    </row>
    <row r="59" spans="1:16" ht="15.6">
      <c r="A59" s="84" t="s">
        <v>385</v>
      </c>
      <c r="B59">
        <v>-151</v>
      </c>
      <c r="D59" t="s">
        <v>37</v>
      </c>
      <c r="E59" s="84" t="s">
        <v>40</v>
      </c>
      <c r="F59" s="58" t="s">
        <v>188</v>
      </c>
      <c r="G59" t="s">
        <v>82</v>
      </c>
      <c r="H59" t="s">
        <v>33</v>
      </c>
      <c r="I59" s="58">
        <v>0</v>
      </c>
      <c r="J59" s="180" t="s">
        <v>31</v>
      </c>
      <c r="K59" s="180" t="s">
        <v>31</v>
      </c>
      <c r="L59" s="180" t="s">
        <v>31</v>
      </c>
      <c r="M59" s="180" t="s">
        <v>31</v>
      </c>
      <c r="N59" s="180" t="s">
        <v>31</v>
      </c>
      <c r="P59" t="s">
        <v>386</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54D8-E752-43C0-861E-C9B567E9D06F}">
  <sheetPr>
    <tabColor theme="9"/>
  </sheetPr>
  <dimension ref="A1:Q101"/>
  <sheetViews>
    <sheetView topLeftCell="A65" zoomScale="85" zoomScaleNormal="85" workbookViewId="0">
      <selection activeCell="B5" sqref="B5"/>
    </sheetView>
  </sheetViews>
  <sheetFormatPr defaultRowHeight="14.45"/>
  <cols>
    <col min="1" max="1" width="65.5703125" customWidth="1"/>
    <col min="2" max="2" width="7.85546875" customWidth="1"/>
    <col min="5" max="5" width="30" bestFit="1" customWidth="1"/>
    <col min="6" max="6" width="30.140625" bestFit="1" customWidth="1"/>
  </cols>
  <sheetData>
    <row r="1" spans="1:16">
      <c r="A1" t="s">
        <v>0</v>
      </c>
      <c r="B1">
        <v>14</v>
      </c>
    </row>
    <row r="2" spans="1:16" s="73" customFormat="1" ht="15.6">
      <c r="A2" s="178" t="s">
        <v>5</v>
      </c>
      <c r="B2" s="178" t="s">
        <v>387</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216" t="s">
        <v>388</v>
      </c>
      <c r="C4" s="58"/>
      <c r="D4" s="58"/>
      <c r="E4" s="58"/>
      <c r="F4" s="58"/>
      <c r="G4" s="58"/>
      <c r="H4" s="58"/>
      <c r="I4" s="58"/>
      <c r="J4" s="58"/>
      <c r="K4" s="58"/>
      <c r="L4" s="58"/>
      <c r="M4" s="58"/>
      <c r="N4" s="58"/>
      <c r="O4" s="58"/>
      <c r="P4" s="58"/>
    </row>
    <row r="5" spans="1:16">
      <c r="A5" s="58" t="s">
        <v>11</v>
      </c>
      <c r="B5" s="58" t="s">
        <v>389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aluminium,SOFC EoL, SOFC-bat, Long-Term</v>
      </c>
      <c r="B12" s="180">
        <v>1</v>
      </c>
      <c r="C12" s="180"/>
      <c r="D12" s="180" t="s">
        <v>37</v>
      </c>
      <c r="E12" s="58" t="s">
        <v>2</v>
      </c>
      <c r="F12" s="58" t="s">
        <v>390</v>
      </c>
      <c r="G12" s="180" t="s">
        <v>59</v>
      </c>
      <c r="H12" s="58" t="s">
        <v>30</v>
      </c>
      <c r="I12" s="58">
        <v>0</v>
      </c>
      <c r="J12" s="180" t="s">
        <v>31</v>
      </c>
      <c r="K12" s="180" t="s">
        <v>31</v>
      </c>
      <c r="L12" s="180" t="s">
        <v>31</v>
      </c>
      <c r="M12" s="180" t="s">
        <v>31</v>
      </c>
      <c r="N12" s="180" t="s">
        <v>31</v>
      </c>
      <c r="O12" s="180" t="s">
        <v>391</v>
      </c>
      <c r="P12" s="58"/>
    </row>
    <row r="13" spans="1:16" ht="15.6">
      <c r="A13" t="s">
        <v>201</v>
      </c>
      <c r="B13" s="23">
        <v>0.85</v>
      </c>
      <c r="C13" s="180"/>
      <c r="D13" s="180" t="s">
        <v>37</v>
      </c>
      <c r="E13" s="37" t="s">
        <v>40</v>
      </c>
      <c r="F13" s="58" t="s">
        <v>390</v>
      </c>
      <c r="G13" s="180" t="s">
        <v>82</v>
      </c>
      <c r="H13" s="58" t="s">
        <v>33</v>
      </c>
      <c r="I13" s="58">
        <v>0</v>
      </c>
      <c r="J13" s="180" t="s">
        <v>31</v>
      </c>
      <c r="K13" s="180" t="s">
        <v>31</v>
      </c>
      <c r="L13" s="180" t="s">
        <v>31</v>
      </c>
      <c r="M13" s="180" t="s">
        <v>31</v>
      </c>
      <c r="N13" s="180" t="s">
        <v>31</v>
      </c>
      <c r="O13" s="58"/>
      <c r="P13" s="58"/>
    </row>
    <row r="14" spans="1:16" ht="15.6">
      <c r="A14" t="s">
        <v>202</v>
      </c>
      <c r="B14" s="23">
        <v>0.85</v>
      </c>
      <c r="C14" s="22" t="s">
        <v>203</v>
      </c>
      <c r="D14" t="s">
        <v>37</v>
      </c>
      <c r="E14" s="188" t="s">
        <v>40</v>
      </c>
      <c r="F14" s="58" t="s">
        <v>390</v>
      </c>
      <c r="G14" s="180" t="s">
        <v>82</v>
      </c>
      <c r="H14" s="58" t="s">
        <v>33</v>
      </c>
      <c r="I14" s="58">
        <v>0</v>
      </c>
      <c r="J14" s="180" t="s">
        <v>31</v>
      </c>
      <c r="K14" s="180" t="s">
        <v>31</v>
      </c>
      <c r="L14" s="180" t="s">
        <v>31</v>
      </c>
      <c r="M14" s="180" t="s">
        <v>31</v>
      </c>
      <c r="N14" s="180" t="s">
        <v>31</v>
      </c>
      <c r="O14" s="180" t="s">
        <v>287</v>
      </c>
    </row>
    <row r="15" spans="1:16" ht="15.6">
      <c r="A15" t="s">
        <v>205</v>
      </c>
      <c r="B15" s="23">
        <f>B14*0.9</f>
        <v>0.76500000000000001</v>
      </c>
      <c r="D15" t="s">
        <v>37</v>
      </c>
      <c r="E15" s="188" t="s">
        <v>40</v>
      </c>
      <c r="F15" s="58" t="s">
        <v>390</v>
      </c>
      <c r="G15" t="s">
        <v>59</v>
      </c>
      <c r="H15" s="58" t="s">
        <v>136</v>
      </c>
      <c r="I15" s="58">
        <v>0</v>
      </c>
      <c r="J15" s="180" t="s">
        <v>31</v>
      </c>
      <c r="K15" s="180" t="s">
        <v>31</v>
      </c>
      <c r="L15" s="180" t="s">
        <v>31</v>
      </c>
      <c r="M15" s="180" t="s">
        <v>31</v>
      </c>
      <c r="N15" s="180" t="s">
        <v>31</v>
      </c>
      <c r="O15" s="58"/>
      <c r="P15" s="180" t="s">
        <v>311</v>
      </c>
    </row>
    <row r="16" spans="1:16" ht="15.6">
      <c r="A16" t="s">
        <v>210</v>
      </c>
      <c r="B16" s="23">
        <f>-(1-B15)</f>
        <v>-0.23499999999999999</v>
      </c>
      <c r="D16" t="s">
        <v>37</v>
      </c>
      <c r="E16" s="84" t="s">
        <v>40</v>
      </c>
      <c r="F16" s="58" t="s">
        <v>390</v>
      </c>
      <c r="G16" t="s">
        <v>59</v>
      </c>
      <c r="H16" t="s">
        <v>33</v>
      </c>
      <c r="I16">
        <v>0</v>
      </c>
      <c r="J16" t="s">
        <v>31</v>
      </c>
      <c r="K16" t="s">
        <v>31</v>
      </c>
      <c r="L16" t="s">
        <v>31</v>
      </c>
      <c r="M16" t="s">
        <v>31</v>
      </c>
      <c r="N16" t="s">
        <v>31</v>
      </c>
      <c r="O16" s="17"/>
      <c r="P16" s="58"/>
    </row>
    <row r="17" spans="1:16" s="73" customFormat="1" ht="15.6">
      <c r="A17" s="178" t="s">
        <v>5</v>
      </c>
      <c r="B17" s="178" t="s">
        <v>392</v>
      </c>
      <c r="C17" s="178"/>
      <c r="D17" s="74"/>
      <c r="E17" s="150"/>
      <c r="F17" s="150"/>
      <c r="G17" s="150"/>
      <c r="H17" s="150"/>
      <c r="I17" s="150"/>
      <c r="J17" s="150"/>
      <c r="K17" s="150"/>
      <c r="L17" s="150"/>
      <c r="M17" s="150"/>
      <c r="N17" s="150"/>
      <c r="O17" s="150"/>
      <c r="P17" s="150"/>
    </row>
    <row r="18" spans="1:16">
      <c r="A18" s="58" t="s">
        <v>7</v>
      </c>
      <c r="B18" s="58" t="s">
        <v>261</v>
      </c>
      <c r="C18" s="58"/>
      <c r="D18" s="58"/>
      <c r="E18" s="58"/>
      <c r="F18" s="58"/>
      <c r="G18" s="58"/>
      <c r="H18" s="58"/>
      <c r="I18" s="58"/>
      <c r="J18" s="58"/>
      <c r="K18" s="58"/>
      <c r="L18" s="58"/>
      <c r="M18" s="58"/>
      <c r="N18" s="58"/>
      <c r="O18" s="58"/>
      <c r="P18" s="58"/>
    </row>
    <row r="19" spans="1:16">
      <c r="A19" s="58" t="s">
        <v>9</v>
      </c>
      <c r="B19" s="212" t="s">
        <v>393</v>
      </c>
      <c r="C19" s="58"/>
      <c r="D19" s="58"/>
      <c r="E19" s="58"/>
      <c r="F19" s="58"/>
      <c r="G19" s="58"/>
      <c r="H19" s="58"/>
      <c r="I19" s="58"/>
      <c r="J19" s="58"/>
      <c r="K19" s="58"/>
      <c r="L19" s="58"/>
      <c r="M19" s="58"/>
      <c r="N19" s="58"/>
      <c r="O19" s="58"/>
      <c r="P19" s="58"/>
    </row>
    <row r="20" spans="1:16">
      <c r="A20" s="58" t="s">
        <v>11</v>
      </c>
      <c r="B20" s="58" t="s">
        <v>389</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copper,SOFC EoL, SOFC-bat, Long-Term</v>
      </c>
      <c r="B27" s="180">
        <v>1</v>
      </c>
      <c r="C27" s="180"/>
      <c r="D27" s="180" t="s">
        <v>37</v>
      </c>
      <c r="E27" s="58" t="s">
        <v>2</v>
      </c>
      <c r="F27" s="58" t="s">
        <v>390</v>
      </c>
      <c r="G27" s="180" t="s">
        <v>59</v>
      </c>
      <c r="H27" s="58" t="s">
        <v>30</v>
      </c>
      <c r="I27" s="58">
        <v>0</v>
      </c>
      <c r="J27" s="180" t="s">
        <v>31</v>
      </c>
      <c r="K27" s="180" t="s">
        <v>31</v>
      </c>
      <c r="L27" s="180" t="s">
        <v>31</v>
      </c>
      <c r="M27" s="180" t="s">
        <v>31</v>
      </c>
      <c r="N27" s="180" t="s">
        <v>31</v>
      </c>
      <c r="O27" s="180" t="s">
        <v>394</v>
      </c>
      <c r="P27" s="58"/>
    </row>
    <row r="28" spans="1:16" ht="15.6">
      <c r="A28" t="s">
        <v>207</v>
      </c>
      <c r="B28" s="197">
        <f>B27</f>
        <v>1</v>
      </c>
      <c r="C28" t="s">
        <v>208</v>
      </c>
      <c r="D28" t="s">
        <v>37</v>
      </c>
      <c r="E28" s="188" t="s">
        <v>40</v>
      </c>
      <c r="F28" s="58" t="s">
        <v>390</v>
      </c>
      <c r="G28" t="s">
        <v>82</v>
      </c>
      <c r="H28" t="s">
        <v>33</v>
      </c>
      <c r="I28" s="58">
        <v>0</v>
      </c>
      <c r="J28" s="180" t="s">
        <v>31</v>
      </c>
      <c r="K28" s="180" t="s">
        <v>31</v>
      </c>
      <c r="L28" s="180" t="s">
        <v>31</v>
      </c>
      <c r="M28" s="180" t="s">
        <v>31</v>
      </c>
      <c r="N28" s="180" t="s">
        <v>31</v>
      </c>
    </row>
    <row r="29" spans="1:16" ht="15.6">
      <c r="A29" t="s">
        <v>209</v>
      </c>
      <c r="B29">
        <f>0.9*B28</f>
        <v>0.9</v>
      </c>
      <c r="D29" t="s">
        <v>37</v>
      </c>
      <c r="E29" s="188" t="s">
        <v>40</v>
      </c>
      <c r="F29" s="58" t="s">
        <v>390</v>
      </c>
      <c r="G29" t="s">
        <v>59</v>
      </c>
      <c r="H29" t="s">
        <v>136</v>
      </c>
      <c r="I29" s="58">
        <v>0</v>
      </c>
      <c r="J29" s="180" t="s">
        <v>31</v>
      </c>
      <c r="K29" s="180" t="s">
        <v>31</v>
      </c>
      <c r="L29" s="180" t="s">
        <v>31</v>
      </c>
      <c r="M29" s="180" t="s">
        <v>31</v>
      </c>
      <c r="N29" s="180" t="s">
        <v>31</v>
      </c>
      <c r="O29" s="58" t="s">
        <v>206</v>
      </c>
    </row>
    <row r="30" spans="1:16" ht="15.6">
      <c r="A30" t="s">
        <v>210</v>
      </c>
      <c r="B30" s="23">
        <f>-(1-B29)</f>
        <v>-9.9999999999999978E-2</v>
      </c>
      <c r="D30" t="s">
        <v>37</v>
      </c>
      <c r="E30" s="84" t="s">
        <v>40</v>
      </c>
      <c r="F30" s="58" t="s">
        <v>390</v>
      </c>
      <c r="G30" t="s">
        <v>59</v>
      </c>
      <c r="H30" t="s">
        <v>33</v>
      </c>
      <c r="I30">
        <v>0</v>
      </c>
      <c r="J30" t="s">
        <v>31</v>
      </c>
      <c r="K30" t="s">
        <v>31</v>
      </c>
      <c r="L30" t="s">
        <v>31</v>
      </c>
      <c r="M30" t="s">
        <v>31</v>
      </c>
      <c r="N30" t="s">
        <v>31</v>
      </c>
      <c r="O30" s="17"/>
      <c r="P30" s="58"/>
    </row>
    <row r="31" spans="1:16" s="73" customFormat="1" ht="15.6">
      <c r="A31" s="178" t="s">
        <v>5</v>
      </c>
      <c r="B31" s="178" t="s">
        <v>395</v>
      </c>
      <c r="C31" s="178"/>
      <c r="D31" s="74"/>
      <c r="E31" s="150"/>
      <c r="F31" s="150"/>
      <c r="G31" s="150"/>
      <c r="H31" s="150"/>
      <c r="I31" s="150"/>
      <c r="J31" s="150"/>
      <c r="K31" s="150"/>
      <c r="L31" s="150"/>
      <c r="M31" s="150"/>
      <c r="N31" s="150"/>
      <c r="O31" s="150"/>
      <c r="P31" s="150"/>
    </row>
    <row r="32" spans="1:16">
      <c r="A32" s="58" t="s">
        <v>7</v>
      </c>
      <c r="B32" s="58" t="s">
        <v>261</v>
      </c>
      <c r="C32" s="58"/>
      <c r="D32" s="58"/>
      <c r="E32" s="58"/>
      <c r="F32" s="58"/>
      <c r="G32" s="58"/>
      <c r="H32" s="58"/>
      <c r="I32" s="58"/>
      <c r="J32" s="58"/>
      <c r="K32" s="58"/>
      <c r="L32" s="58"/>
      <c r="M32" s="58"/>
      <c r="N32" s="58"/>
      <c r="O32" s="58"/>
      <c r="P32" s="58"/>
    </row>
    <row r="33" spans="1:16">
      <c r="A33" s="58" t="s">
        <v>9</v>
      </c>
      <c r="B33" s="212" t="s">
        <v>396</v>
      </c>
      <c r="C33" s="58"/>
      <c r="D33" s="58"/>
      <c r="E33" s="58"/>
      <c r="F33" s="58"/>
      <c r="G33" s="58"/>
      <c r="H33" s="58"/>
      <c r="I33" s="58"/>
      <c r="J33" s="58"/>
      <c r="K33" s="58"/>
      <c r="L33" s="58"/>
      <c r="M33" s="58"/>
      <c r="N33" s="58"/>
      <c r="O33" s="58"/>
      <c r="P33" s="58"/>
    </row>
    <row r="34" spans="1:16">
      <c r="A34" s="58" t="s">
        <v>11</v>
      </c>
      <c r="B34" s="58" t="s">
        <v>389</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6">
      <c r="A38" s="58" t="s">
        <v>18</v>
      </c>
      <c r="B38" s="180" t="s">
        <v>37</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tr">
        <f>B31</f>
        <v>treatment of steel,SOFC EoL, SOFC-bat, Long-Term</v>
      </c>
      <c r="B41" s="180">
        <v>1</v>
      </c>
      <c r="C41" s="180"/>
      <c r="D41" s="180" t="s">
        <v>37</v>
      </c>
      <c r="E41" s="58" t="s">
        <v>2</v>
      </c>
      <c r="F41" s="58" t="s">
        <v>390</v>
      </c>
      <c r="G41" s="180" t="s">
        <v>59</v>
      </c>
      <c r="H41" s="58" t="s">
        <v>30</v>
      </c>
      <c r="I41" s="58">
        <v>0</v>
      </c>
      <c r="J41" s="180" t="s">
        <v>31</v>
      </c>
      <c r="K41" s="180" t="s">
        <v>31</v>
      </c>
      <c r="L41" s="180" t="s">
        <v>31</v>
      </c>
      <c r="M41" s="180" t="s">
        <v>31</v>
      </c>
      <c r="N41" s="180" t="s">
        <v>31</v>
      </c>
      <c r="O41" s="180" t="s">
        <v>339</v>
      </c>
      <c r="P41" s="58"/>
    </row>
    <row r="42" spans="1:16" ht="15.6">
      <c r="A42" t="s">
        <v>135</v>
      </c>
      <c r="B42" s="23">
        <v>0.85</v>
      </c>
      <c r="C42" s="180"/>
      <c r="D42" s="180" t="s">
        <v>37</v>
      </c>
      <c r="E42" s="84" t="s">
        <v>40</v>
      </c>
      <c r="F42" s="58" t="s">
        <v>390</v>
      </c>
      <c r="G42" s="180" t="s">
        <v>82</v>
      </c>
      <c r="H42" s="58" t="s">
        <v>33</v>
      </c>
      <c r="I42" s="58">
        <v>0</v>
      </c>
      <c r="J42" s="180" t="s">
        <v>31</v>
      </c>
      <c r="K42" s="180" t="s">
        <v>31</v>
      </c>
      <c r="L42" s="180" t="s">
        <v>31</v>
      </c>
      <c r="M42" s="180" t="s">
        <v>31</v>
      </c>
      <c r="N42" s="180" t="s">
        <v>31</v>
      </c>
      <c r="O42" s="58"/>
      <c r="P42" s="58"/>
    </row>
    <row r="43" spans="1:16" ht="15.6">
      <c r="A43" t="s">
        <v>237</v>
      </c>
      <c r="B43" s="23">
        <f>0.9*B42</f>
        <v>0.76500000000000001</v>
      </c>
      <c r="C43" s="180"/>
      <c r="D43" s="180" t="s">
        <v>37</v>
      </c>
      <c r="E43" s="84" t="s">
        <v>40</v>
      </c>
      <c r="F43" s="58" t="s">
        <v>390</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390</v>
      </c>
      <c r="G44" t="s">
        <v>59</v>
      </c>
      <c r="H44" t="s">
        <v>33</v>
      </c>
      <c r="I44">
        <v>0</v>
      </c>
      <c r="J44" t="s">
        <v>31</v>
      </c>
      <c r="K44" t="s">
        <v>31</v>
      </c>
      <c r="L44" t="s">
        <v>31</v>
      </c>
      <c r="M44" t="s">
        <v>31</v>
      </c>
      <c r="N44" t="s">
        <v>31</v>
      </c>
      <c r="O44" s="17"/>
      <c r="P44" s="58" t="s">
        <v>319</v>
      </c>
    </row>
    <row r="45" spans="1:16" s="73" customFormat="1" ht="15.6">
      <c r="A45" s="178" t="s">
        <v>5</v>
      </c>
      <c r="B45" s="178" t="s">
        <v>397</v>
      </c>
      <c r="C45" s="178"/>
      <c r="D45" s="74"/>
      <c r="E45" s="150"/>
      <c r="F45" s="150"/>
      <c r="G45" s="150"/>
      <c r="H45" s="150"/>
      <c r="I45" s="150"/>
      <c r="J45" s="150"/>
      <c r="K45" s="150"/>
      <c r="L45" s="150"/>
      <c r="M45" s="150"/>
      <c r="N45" s="150"/>
      <c r="O45" s="150"/>
      <c r="P45" s="150"/>
    </row>
    <row r="46" spans="1:16">
      <c r="A46" s="58" t="s">
        <v>7</v>
      </c>
      <c r="B46" s="58" t="s">
        <v>261</v>
      </c>
      <c r="C46" s="58"/>
      <c r="D46" s="58"/>
      <c r="E46" s="58"/>
      <c r="F46" s="58"/>
      <c r="G46" s="58"/>
      <c r="H46" s="58"/>
      <c r="I46" s="58"/>
      <c r="J46" s="58"/>
      <c r="K46" s="58"/>
      <c r="L46" s="58"/>
      <c r="M46" s="58"/>
      <c r="N46" s="58"/>
      <c r="O46" s="58"/>
      <c r="P46" s="58"/>
    </row>
    <row r="47" spans="1:16">
      <c r="A47" s="58" t="s">
        <v>9</v>
      </c>
      <c r="B47" s="212" t="s">
        <v>398</v>
      </c>
      <c r="C47" s="58"/>
      <c r="D47" s="58"/>
      <c r="E47" s="58"/>
      <c r="F47" s="58"/>
      <c r="G47" s="58"/>
      <c r="H47" s="58"/>
      <c r="I47" s="58"/>
      <c r="J47" s="58"/>
      <c r="K47" s="58"/>
      <c r="L47" s="58"/>
      <c r="M47" s="58"/>
      <c r="N47" s="58"/>
      <c r="O47" s="58"/>
      <c r="P47" s="58"/>
    </row>
    <row r="48" spans="1:16">
      <c r="A48" s="58" t="s">
        <v>11</v>
      </c>
      <c r="B48" s="58" t="s">
        <v>399</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6">
      <c r="A52" s="58" t="s">
        <v>18</v>
      </c>
      <c r="B52" s="180" t="s">
        <v>37</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tr">
        <f>B45</f>
        <v>treatment of composites,SOFC EoL, SOFC-bat, Long-Term</v>
      </c>
      <c r="B55" s="180">
        <v>1</v>
      </c>
      <c r="C55" s="180"/>
      <c r="D55" s="180" t="s">
        <v>37</v>
      </c>
      <c r="E55" s="58" t="s">
        <v>2</v>
      </c>
      <c r="F55" s="58" t="s">
        <v>390</v>
      </c>
      <c r="G55" s="180" t="s">
        <v>59</v>
      </c>
      <c r="H55" s="58" t="s">
        <v>30</v>
      </c>
      <c r="I55" s="58">
        <v>0</v>
      </c>
      <c r="J55" s="180" t="s">
        <v>31</v>
      </c>
      <c r="K55" s="180" t="s">
        <v>31</v>
      </c>
      <c r="L55" s="180" t="s">
        <v>31</v>
      </c>
      <c r="M55" s="180" t="s">
        <v>31</v>
      </c>
      <c r="N55" s="180" t="s">
        <v>31</v>
      </c>
      <c r="O55" s="180" t="s">
        <v>336</v>
      </c>
      <c r="P55" s="58"/>
    </row>
    <row r="56" spans="1:16" ht="15.6">
      <c r="A56" s="84" t="s">
        <v>400</v>
      </c>
      <c r="B56">
        <v>-1</v>
      </c>
      <c r="D56" s="180" t="s">
        <v>37</v>
      </c>
      <c r="E56" s="84" t="s">
        <v>40</v>
      </c>
      <c r="F56" s="58" t="s">
        <v>390</v>
      </c>
      <c r="G56" t="s">
        <v>82</v>
      </c>
      <c r="H56" t="s">
        <v>33</v>
      </c>
      <c r="I56">
        <v>0</v>
      </c>
      <c r="J56" t="s">
        <v>31</v>
      </c>
      <c r="K56" t="s">
        <v>31</v>
      </c>
      <c r="L56" t="s">
        <v>31</v>
      </c>
      <c r="M56" t="s">
        <v>31</v>
      </c>
      <c r="N56" t="s">
        <v>31</v>
      </c>
    </row>
    <row r="57" spans="1:16" s="73" customFormat="1" ht="15.6">
      <c r="A57" s="178" t="s">
        <v>5</v>
      </c>
      <c r="B57" s="178" t="s">
        <v>401</v>
      </c>
      <c r="C57" s="178"/>
      <c r="D57" s="74"/>
      <c r="E57" s="150"/>
      <c r="F57" s="150"/>
      <c r="G57" s="150"/>
      <c r="H57" s="150"/>
      <c r="I57" s="150"/>
      <c r="J57" s="150"/>
      <c r="K57" s="150"/>
      <c r="L57" s="150"/>
      <c r="M57" s="150"/>
      <c r="N57" s="150"/>
      <c r="O57" s="150"/>
      <c r="P57" s="150"/>
    </row>
    <row r="58" spans="1:16">
      <c r="A58" s="58" t="s">
        <v>7</v>
      </c>
      <c r="B58" s="58" t="s">
        <v>261</v>
      </c>
      <c r="C58" s="58"/>
      <c r="D58" s="58"/>
      <c r="E58" s="58"/>
      <c r="F58" s="58"/>
      <c r="G58" s="58"/>
      <c r="H58" s="58"/>
      <c r="I58" s="58"/>
      <c r="J58" s="58"/>
      <c r="K58" s="58"/>
      <c r="L58" s="58"/>
      <c r="M58" s="58"/>
      <c r="N58" s="58"/>
      <c r="O58" s="58"/>
      <c r="P58" s="58"/>
    </row>
    <row r="59" spans="1:16">
      <c r="A59" s="58" t="s">
        <v>9</v>
      </c>
      <c r="B59" s="212" t="s">
        <v>402</v>
      </c>
      <c r="C59" s="58"/>
      <c r="D59" s="58"/>
      <c r="E59" s="58"/>
      <c r="F59" s="58"/>
      <c r="G59" s="58"/>
      <c r="H59" s="58"/>
      <c r="I59" s="58"/>
      <c r="J59" s="58"/>
      <c r="K59" s="58"/>
      <c r="L59" s="58"/>
      <c r="M59" s="58"/>
      <c r="N59" s="58"/>
      <c r="O59" s="58"/>
      <c r="P59" s="58"/>
    </row>
    <row r="60" spans="1:16">
      <c r="A60" s="58" t="s">
        <v>11</v>
      </c>
      <c r="B60" s="58" t="s">
        <v>399</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6">
      <c r="A64" s="58" t="s">
        <v>18</v>
      </c>
      <c r="B64" s="180" t="s">
        <v>37</v>
      </c>
      <c r="C64" s="58"/>
      <c r="D64" s="58"/>
      <c r="E64" s="58" t="s">
        <v>185</v>
      </c>
      <c r="F64" s="58"/>
      <c r="G64" s="58"/>
      <c r="H64" s="58"/>
      <c r="I64" s="58"/>
      <c r="J64" s="58"/>
      <c r="K64" s="58"/>
      <c r="L64" s="58"/>
      <c r="M64" s="58"/>
      <c r="N64" s="58"/>
      <c r="O64" s="58"/>
      <c r="P64" s="58"/>
    </row>
    <row r="65" spans="1:17" ht="15.6">
      <c r="A65" s="181" t="s">
        <v>19</v>
      </c>
      <c r="B65" s="58"/>
      <c r="C65" s="58"/>
      <c r="D65" s="58"/>
      <c r="E65" s="58"/>
      <c r="F65" s="58"/>
      <c r="G65" s="58"/>
      <c r="H65" s="58"/>
      <c r="I65" s="58"/>
      <c r="J65" s="58"/>
      <c r="K65" s="58"/>
      <c r="L65" s="58"/>
      <c r="M65" s="58"/>
      <c r="N65" s="58"/>
      <c r="O65" s="58"/>
      <c r="P65" s="58"/>
    </row>
    <row r="66" spans="1:17"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7" ht="15.6">
      <c r="A67" s="180" t="str">
        <f>B57</f>
        <v>treatment of zirconium oxide,SOFC EoL, SOFC-bat, Long-Term</v>
      </c>
      <c r="B67" s="180">
        <v>1</v>
      </c>
      <c r="C67" s="180"/>
      <c r="D67" s="180" t="s">
        <v>37</v>
      </c>
      <c r="E67" s="58" t="s">
        <v>2</v>
      </c>
      <c r="F67" s="58" t="s">
        <v>390</v>
      </c>
      <c r="G67" s="180" t="s">
        <v>59</v>
      </c>
      <c r="H67" s="58" t="s">
        <v>30</v>
      </c>
      <c r="I67" s="58">
        <v>0</v>
      </c>
      <c r="J67" s="180" t="s">
        <v>31</v>
      </c>
      <c r="K67" s="180" t="s">
        <v>31</v>
      </c>
      <c r="L67" s="180" t="s">
        <v>31</v>
      </c>
      <c r="M67" s="180" t="s">
        <v>31</v>
      </c>
      <c r="N67" s="180" t="s">
        <v>31</v>
      </c>
      <c r="O67" s="180" t="s">
        <v>403</v>
      </c>
      <c r="P67" s="58"/>
    </row>
    <row r="68" spans="1:17" ht="15.6">
      <c r="A68" s="84" t="s">
        <v>385</v>
      </c>
      <c r="B68">
        <v>-1</v>
      </c>
      <c r="D68" s="180" t="s">
        <v>37</v>
      </c>
      <c r="E68" s="84" t="s">
        <v>40</v>
      </c>
      <c r="F68" s="58" t="s">
        <v>390</v>
      </c>
      <c r="G68" s="180" t="s">
        <v>82</v>
      </c>
      <c r="H68" s="58" t="s">
        <v>33</v>
      </c>
      <c r="I68" s="58">
        <v>0</v>
      </c>
      <c r="J68" s="180" t="s">
        <v>31</v>
      </c>
      <c r="K68" s="180" t="s">
        <v>31</v>
      </c>
      <c r="L68" s="180" t="s">
        <v>31</v>
      </c>
      <c r="M68" s="180" t="s">
        <v>31</v>
      </c>
      <c r="N68" s="180" t="s">
        <v>31</v>
      </c>
    </row>
    <row r="69" spans="1:17" s="73" customFormat="1" ht="15.6">
      <c r="A69" s="178" t="s">
        <v>5</v>
      </c>
      <c r="B69" s="178" t="s">
        <v>404</v>
      </c>
      <c r="C69" s="178"/>
      <c r="D69" s="74"/>
      <c r="E69" s="150"/>
      <c r="F69" s="150"/>
      <c r="G69" s="150"/>
      <c r="H69" s="150"/>
      <c r="I69" s="150"/>
      <c r="J69" s="150"/>
      <c r="K69" s="150"/>
      <c r="L69" s="150"/>
      <c r="M69" s="150"/>
      <c r="N69" s="150"/>
      <c r="O69" s="150"/>
      <c r="P69" s="150"/>
    </row>
    <row r="70" spans="1:17">
      <c r="A70" s="58" t="s">
        <v>7</v>
      </c>
      <c r="B70" s="58" t="s">
        <v>261</v>
      </c>
      <c r="C70" s="58"/>
      <c r="D70" s="58"/>
      <c r="E70" s="58"/>
      <c r="F70" s="58"/>
      <c r="G70" s="58"/>
      <c r="H70" s="58"/>
      <c r="I70" s="58"/>
      <c r="J70" s="58"/>
      <c r="K70" s="58"/>
      <c r="L70" s="58"/>
      <c r="M70" s="58"/>
      <c r="N70" s="58"/>
      <c r="O70" s="58"/>
      <c r="P70" s="58"/>
    </row>
    <row r="71" spans="1:17">
      <c r="A71" s="58" t="s">
        <v>9</v>
      </c>
      <c r="B71" s="212" t="s">
        <v>405</v>
      </c>
      <c r="C71" s="58"/>
      <c r="D71" s="58"/>
      <c r="E71" s="58"/>
      <c r="F71" s="58"/>
      <c r="G71" s="58"/>
      <c r="H71" s="58"/>
      <c r="I71" s="58"/>
      <c r="J71" s="58"/>
      <c r="K71" s="58"/>
      <c r="L71" s="58"/>
      <c r="M71" s="58"/>
      <c r="N71" s="58"/>
      <c r="O71" s="58"/>
      <c r="P71" s="58"/>
    </row>
    <row r="72" spans="1:17">
      <c r="A72" s="58" t="s">
        <v>11</v>
      </c>
      <c r="B72" s="58" t="s">
        <v>263</v>
      </c>
      <c r="C72" s="58"/>
      <c r="D72" s="58"/>
      <c r="E72" s="58"/>
      <c r="F72" s="58"/>
      <c r="G72" s="58"/>
      <c r="H72" s="58"/>
      <c r="I72" s="58"/>
      <c r="J72" s="58"/>
      <c r="K72" s="58"/>
      <c r="L72" s="58"/>
      <c r="M72" s="58"/>
      <c r="N72" s="58"/>
      <c r="O72" s="58"/>
      <c r="P72" s="58"/>
    </row>
    <row r="73" spans="1:17">
      <c r="A73" s="58" t="s">
        <v>13</v>
      </c>
      <c r="B73" s="58" t="s">
        <v>59</v>
      </c>
      <c r="C73" s="58"/>
      <c r="D73" s="58"/>
      <c r="E73" s="58"/>
      <c r="F73" s="58"/>
      <c r="G73" s="58"/>
      <c r="H73" s="58"/>
      <c r="I73" s="58"/>
      <c r="J73" s="58"/>
      <c r="K73" s="58"/>
      <c r="L73" s="58"/>
      <c r="M73" s="58"/>
      <c r="N73" s="58"/>
      <c r="O73" s="58"/>
      <c r="P73" s="58"/>
    </row>
    <row r="74" spans="1:17">
      <c r="A74" s="58" t="s">
        <v>15</v>
      </c>
      <c r="B74" s="58">
        <v>1</v>
      </c>
      <c r="C74" s="58"/>
      <c r="D74" s="58"/>
      <c r="E74" s="58"/>
      <c r="F74" s="58"/>
      <c r="G74" s="58"/>
      <c r="H74" s="58"/>
      <c r="I74" s="58"/>
      <c r="J74" s="58"/>
      <c r="K74" s="58"/>
      <c r="L74" s="58"/>
      <c r="M74" s="58"/>
      <c r="N74" s="58"/>
      <c r="O74" s="58"/>
      <c r="P74" s="58"/>
    </row>
    <row r="75" spans="1:17">
      <c r="A75" s="58" t="s">
        <v>16</v>
      </c>
      <c r="B75" s="58" t="s">
        <v>17</v>
      </c>
      <c r="C75" s="58"/>
      <c r="D75" s="58"/>
      <c r="E75" s="58"/>
      <c r="F75" s="58"/>
      <c r="G75" s="58"/>
      <c r="H75" s="58"/>
      <c r="I75" s="58"/>
      <c r="J75" s="58"/>
      <c r="K75" s="58"/>
      <c r="L75" s="58"/>
      <c r="M75" s="58"/>
      <c r="N75" s="58"/>
      <c r="O75" s="58"/>
      <c r="P75" s="58"/>
    </row>
    <row r="76" spans="1:17" ht="15.6">
      <c r="A76" s="58" t="s">
        <v>18</v>
      </c>
      <c r="B76" s="180" t="s">
        <v>37</v>
      </c>
      <c r="C76" s="58"/>
      <c r="D76" s="58"/>
      <c r="E76" s="58" t="s">
        <v>185</v>
      </c>
      <c r="F76" s="58"/>
      <c r="G76" s="58"/>
      <c r="H76" s="58"/>
      <c r="I76" s="58"/>
      <c r="J76" s="58"/>
      <c r="K76" s="58"/>
      <c r="L76" s="58"/>
      <c r="M76" s="58"/>
      <c r="N76" s="58"/>
      <c r="O76" s="58"/>
      <c r="P76" s="58"/>
    </row>
    <row r="77" spans="1:17" ht="15.6">
      <c r="A77" s="181" t="s">
        <v>19</v>
      </c>
      <c r="B77" s="58"/>
      <c r="C77" s="58"/>
      <c r="D77" s="58"/>
      <c r="E77" s="58"/>
      <c r="F77" s="58"/>
      <c r="G77" s="58"/>
      <c r="H77" s="58"/>
      <c r="I77" s="58"/>
      <c r="J77" s="58"/>
      <c r="K77" s="58"/>
      <c r="L77" s="58"/>
      <c r="M77" s="58"/>
      <c r="N77" s="58"/>
      <c r="O77" s="58"/>
      <c r="P77" s="58"/>
    </row>
    <row r="78" spans="1:17" ht="15.6">
      <c r="A78" s="181" t="s">
        <v>20</v>
      </c>
      <c r="B78" s="181" t="s">
        <v>21</v>
      </c>
      <c r="C78" s="181" t="s">
        <v>186</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187</v>
      </c>
    </row>
    <row r="79" spans="1:17" ht="15.6">
      <c r="A79" s="180" t="str">
        <f>B69</f>
        <v>treatment of nickel,SOFC EoL, SOFC-bat, Long-Term</v>
      </c>
      <c r="B79" s="180">
        <v>1</v>
      </c>
      <c r="C79" s="180"/>
      <c r="D79" s="180" t="s">
        <v>37</v>
      </c>
      <c r="E79" s="58" t="s">
        <v>2</v>
      </c>
      <c r="F79" s="58" t="s">
        <v>261</v>
      </c>
      <c r="G79" s="180" t="s">
        <v>59</v>
      </c>
      <c r="H79" s="58" t="s">
        <v>30</v>
      </c>
      <c r="I79" s="58">
        <v>0</v>
      </c>
      <c r="J79" s="180" t="s">
        <v>31</v>
      </c>
      <c r="K79" s="180" t="s">
        <v>31</v>
      </c>
      <c r="L79" s="180" t="s">
        <v>31</v>
      </c>
      <c r="M79" s="180" t="s">
        <v>31</v>
      </c>
      <c r="N79" s="180" t="s">
        <v>31</v>
      </c>
      <c r="O79" s="58" t="s">
        <v>286</v>
      </c>
    </row>
    <row r="80" spans="1:17" ht="15.6">
      <c r="A80" t="s">
        <v>207</v>
      </c>
      <c r="B80">
        <v>0.85</v>
      </c>
      <c r="C80" t="s">
        <v>208</v>
      </c>
      <c r="D80" t="s">
        <v>37</v>
      </c>
      <c r="E80" t="s">
        <v>40</v>
      </c>
      <c r="F80" s="58" t="s">
        <v>261</v>
      </c>
      <c r="G80" t="s">
        <v>82</v>
      </c>
      <c r="H80" t="s">
        <v>33</v>
      </c>
      <c r="I80" s="58">
        <v>0</v>
      </c>
      <c r="J80" s="180" t="s">
        <v>31</v>
      </c>
      <c r="K80" s="180" t="s">
        <v>31</v>
      </c>
      <c r="L80" s="180" t="s">
        <v>31</v>
      </c>
      <c r="M80" s="180" t="s">
        <v>31</v>
      </c>
      <c r="N80" s="180" t="s">
        <v>31</v>
      </c>
      <c r="O80" s="58" t="s">
        <v>286</v>
      </c>
      <c r="Q80" t="s">
        <v>268</v>
      </c>
    </row>
    <row r="81" spans="1:17" ht="15.6">
      <c r="A81" t="s">
        <v>292</v>
      </c>
      <c r="B81">
        <v>0.85</v>
      </c>
      <c r="D81" t="s">
        <v>37</v>
      </c>
      <c r="E81" t="s">
        <v>40</v>
      </c>
      <c r="F81" s="58" t="s">
        <v>261</v>
      </c>
      <c r="G81" t="s">
        <v>59</v>
      </c>
      <c r="H81" t="s">
        <v>136</v>
      </c>
      <c r="I81" s="58">
        <v>0</v>
      </c>
      <c r="J81" s="180" t="s">
        <v>31</v>
      </c>
      <c r="K81" s="180" t="s">
        <v>31</v>
      </c>
      <c r="L81" s="180" t="s">
        <v>31</v>
      </c>
      <c r="M81" s="180" t="s">
        <v>31</v>
      </c>
      <c r="N81" s="180" t="s">
        <v>31</v>
      </c>
      <c r="O81" s="58" t="s">
        <v>286</v>
      </c>
      <c r="Q81" t="s">
        <v>268</v>
      </c>
    </row>
    <row r="82" spans="1:17">
      <c r="A82" t="s">
        <v>210</v>
      </c>
      <c r="B82" s="23">
        <f>-0.25</f>
        <v>-0.25</v>
      </c>
      <c r="D82" t="s">
        <v>37</v>
      </c>
      <c r="E82" s="84" t="s">
        <v>40</v>
      </c>
      <c r="F82" s="58" t="s">
        <v>261</v>
      </c>
      <c r="G82" t="s">
        <v>59</v>
      </c>
      <c r="H82" t="s">
        <v>33</v>
      </c>
      <c r="I82">
        <v>0</v>
      </c>
      <c r="J82" t="s">
        <v>31</v>
      </c>
      <c r="K82" t="s">
        <v>31</v>
      </c>
      <c r="L82" t="s">
        <v>31</v>
      </c>
      <c r="M82" t="s">
        <v>31</v>
      </c>
      <c r="N82" t="s">
        <v>31</v>
      </c>
      <c r="O82" s="58" t="s">
        <v>286</v>
      </c>
    </row>
    <row r="83" spans="1:17" s="73" customFormat="1" ht="15.6">
      <c r="A83" s="178" t="s">
        <v>5</v>
      </c>
      <c r="B83" s="178" t="s">
        <v>406</v>
      </c>
      <c r="C83" s="178"/>
      <c r="D83" s="74"/>
      <c r="E83" s="150"/>
      <c r="F83" s="150"/>
      <c r="G83" s="150"/>
      <c r="H83" s="150"/>
      <c r="I83" s="150"/>
      <c r="J83" s="150"/>
      <c r="K83" s="150"/>
      <c r="L83" s="150"/>
      <c r="M83" s="150"/>
      <c r="N83" s="150"/>
      <c r="O83" s="150"/>
      <c r="P83" s="150"/>
    </row>
    <row r="84" spans="1:17">
      <c r="A84" s="58" t="s">
        <v>7</v>
      </c>
      <c r="B84" s="58" t="s">
        <v>261</v>
      </c>
      <c r="C84" s="58"/>
      <c r="D84" s="58"/>
      <c r="E84" s="58"/>
      <c r="F84" s="58"/>
      <c r="G84" s="58"/>
      <c r="H84" s="58"/>
      <c r="I84" s="58"/>
      <c r="J84" s="58"/>
      <c r="K84" s="58"/>
      <c r="L84" s="58"/>
      <c r="M84" s="58"/>
      <c r="N84" s="58"/>
      <c r="O84" s="58"/>
      <c r="P84" s="58"/>
    </row>
    <row r="85" spans="1:17">
      <c r="A85" s="58" t="s">
        <v>9</v>
      </c>
      <c r="B85" s="212" t="s">
        <v>407</v>
      </c>
      <c r="C85" s="58"/>
      <c r="D85" s="58"/>
      <c r="E85" s="58"/>
      <c r="F85" s="58"/>
      <c r="G85" s="58"/>
      <c r="H85" s="58"/>
      <c r="I85" s="58"/>
      <c r="J85" s="58"/>
      <c r="K85" s="58"/>
      <c r="L85" s="58"/>
      <c r="M85" s="58"/>
      <c r="N85" s="58"/>
      <c r="O85" s="58"/>
      <c r="P85" s="58"/>
    </row>
    <row r="86" spans="1:17">
      <c r="A86" s="58" t="s">
        <v>11</v>
      </c>
      <c r="B86" s="58" t="s">
        <v>399</v>
      </c>
      <c r="C86" s="58"/>
      <c r="D86" s="58"/>
      <c r="E86" s="58"/>
      <c r="F86" s="58"/>
      <c r="G86" s="58"/>
      <c r="H86" s="58"/>
      <c r="I86" s="58"/>
      <c r="J86" s="58"/>
      <c r="K86" s="58"/>
      <c r="L86" s="58"/>
      <c r="M86" s="58"/>
      <c r="N86" s="58"/>
      <c r="O86" s="58"/>
      <c r="P86" s="58"/>
    </row>
    <row r="87" spans="1:17">
      <c r="A87" s="58" t="s">
        <v>13</v>
      </c>
      <c r="B87" s="58" t="s">
        <v>59</v>
      </c>
      <c r="C87" s="58"/>
      <c r="D87" s="58"/>
      <c r="E87" s="58"/>
      <c r="F87" s="58"/>
      <c r="G87" s="58"/>
      <c r="H87" s="58"/>
      <c r="I87" s="58"/>
      <c r="J87" s="58"/>
      <c r="K87" s="58"/>
      <c r="L87" s="58"/>
      <c r="M87" s="58"/>
      <c r="N87" s="58"/>
      <c r="O87" s="58"/>
      <c r="P87" s="58"/>
    </row>
    <row r="88" spans="1:17">
      <c r="A88" s="58" t="s">
        <v>15</v>
      </c>
      <c r="B88" s="58">
        <v>1</v>
      </c>
      <c r="C88" s="58"/>
      <c r="D88" s="58"/>
      <c r="E88" s="58"/>
      <c r="F88" s="58"/>
      <c r="G88" s="58"/>
      <c r="H88" s="58"/>
      <c r="I88" s="58"/>
      <c r="J88" s="58"/>
      <c r="K88" s="58"/>
      <c r="L88" s="58"/>
      <c r="M88" s="58"/>
      <c r="N88" s="58"/>
      <c r="O88" s="58"/>
      <c r="P88" s="58"/>
    </row>
    <row r="89" spans="1:17">
      <c r="A89" s="58" t="s">
        <v>16</v>
      </c>
      <c r="B89" s="58" t="s">
        <v>17</v>
      </c>
      <c r="C89" s="58"/>
      <c r="D89" s="58"/>
      <c r="E89" s="58"/>
      <c r="F89" s="58"/>
      <c r="G89" s="58"/>
      <c r="H89" s="58"/>
      <c r="I89" s="58"/>
      <c r="J89" s="58"/>
      <c r="K89" s="58"/>
      <c r="L89" s="58"/>
      <c r="M89" s="58"/>
      <c r="N89" s="58"/>
      <c r="O89" s="58"/>
      <c r="P89" s="58"/>
    </row>
    <row r="90" spans="1:17" ht="15.6">
      <c r="A90" s="58" t="s">
        <v>18</v>
      </c>
      <c r="B90" s="180" t="s">
        <v>18</v>
      </c>
      <c r="C90" s="58"/>
      <c r="D90" s="58"/>
      <c r="E90" s="58" t="s">
        <v>185</v>
      </c>
      <c r="F90" s="58"/>
      <c r="G90" s="58"/>
      <c r="H90" s="58"/>
      <c r="I90" s="58"/>
      <c r="J90" s="58"/>
      <c r="K90" s="58"/>
      <c r="L90" s="58"/>
      <c r="M90" s="58"/>
      <c r="N90" s="58"/>
      <c r="O90" s="58"/>
      <c r="P90" s="58"/>
    </row>
    <row r="91" spans="1:17" ht="15.6">
      <c r="A91" s="181" t="s">
        <v>19</v>
      </c>
      <c r="B91" s="58"/>
      <c r="C91" s="58"/>
      <c r="D91" s="58"/>
      <c r="E91" s="58"/>
      <c r="F91" s="58"/>
      <c r="G91" s="58"/>
      <c r="H91" s="58"/>
      <c r="I91" s="58"/>
      <c r="J91" s="58"/>
      <c r="K91" s="58"/>
      <c r="L91" s="58"/>
      <c r="M91" s="58"/>
      <c r="N91" s="58"/>
      <c r="O91" s="58"/>
      <c r="P91" s="58"/>
    </row>
    <row r="92" spans="1:17" ht="15.6">
      <c r="A92" s="181" t="s">
        <v>20</v>
      </c>
      <c r="B92" s="181" t="s">
        <v>21</v>
      </c>
      <c r="C92" s="181" t="s">
        <v>186</v>
      </c>
      <c r="D92" s="181" t="s">
        <v>18</v>
      </c>
      <c r="E92" s="181" t="s">
        <v>22</v>
      </c>
      <c r="F92" s="181" t="s">
        <v>7</v>
      </c>
      <c r="G92" s="181" t="s">
        <v>13</v>
      </c>
      <c r="H92" s="181" t="s">
        <v>16</v>
      </c>
      <c r="I92" s="181" t="s">
        <v>23</v>
      </c>
      <c r="J92" s="181" t="s">
        <v>24</v>
      </c>
      <c r="K92" s="181" t="s">
        <v>25</v>
      </c>
      <c r="L92" s="181" t="s">
        <v>26</v>
      </c>
      <c r="M92" s="181" t="s">
        <v>27</v>
      </c>
      <c r="N92" s="181" t="s">
        <v>28</v>
      </c>
      <c r="O92" s="181" t="s">
        <v>11</v>
      </c>
      <c r="P92" s="181" t="s">
        <v>187</v>
      </c>
    </row>
    <row r="93" spans="1:17" ht="15.6">
      <c r="A93" s="180" t="str">
        <f>B83</f>
        <v>treatment of SOFC cell ,SOFC EoL, SOFC-bat, Long-Term</v>
      </c>
      <c r="B93" s="180">
        <v>1</v>
      </c>
      <c r="C93" s="180"/>
      <c r="D93" s="180" t="s">
        <v>18</v>
      </c>
      <c r="E93" s="58" t="s">
        <v>2</v>
      </c>
      <c r="F93" s="58" t="s">
        <v>390</v>
      </c>
      <c r="G93" s="180" t="s">
        <v>59</v>
      </c>
      <c r="H93" s="58" t="s">
        <v>30</v>
      </c>
      <c r="I93" s="58">
        <v>0</v>
      </c>
      <c r="J93" s="180" t="s">
        <v>31</v>
      </c>
      <c r="K93" s="180" t="s">
        <v>31</v>
      </c>
      <c r="L93" s="180" t="s">
        <v>31</v>
      </c>
      <c r="M93" s="180" t="s">
        <v>31</v>
      </c>
      <c r="N93" s="180" t="s">
        <v>31</v>
      </c>
      <c r="O93" s="180"/>
      <c r="P93" s="58"/>
    </row>
    <row r="94" spans="1:17" ht="15.6">
      <c r="A94" s="217" t="str">
        <f>A12</f>
        <v>treatment of aluminium,SOFC EoL, SOFC-bat, Long-Term</v>
      </c>
      <c r="B94" s="218">
        <v>20.121870399999999</v>
      </c>
      <c r="D94" s="180" t="s">
        <v>37</v>
      </c>
      <c r="E94" s="58" t="s">
        <v>2</v>
      </c>
      <c r="F94" s="58" t="s">
        <v>390</v>
      </c>
      <c r="G94" s="180" t="s">
        <v>59</v>
      </c>
      <c r="H94" t="s">
        <v>33</v>
      </c>
      <c r="I94" s="58">
        <v>0</v>
      </c>
      <c r="J94" s="180" t="s">
        <v>31</v>
      </c>
      <c r="K94" s="180" t="s">
        <v>31</v>
      </c>
      <c r="L94" s="180" t="s">
        <v>31</v>
      </c>
      <c r="M94" s="180" t="s">
        <v>31</v>
      </c>
      <c r="N94" s="180" t="s">
        <v>31</v>
      </c>
    </row>
    <row r="95" spans="1:17" ht="15.6">
      <c r="A95" s="217" t="str">
        <f>A27</f>
        <v>treatment of copper,SOFC EoL, SOFC-bat, Long-Term</v>
      </c>
      <c r="B95" s="218">
        <v>20.121870399999999</v>
      </c>
      <c r="D95" s="180" t="s">
        <v>37</v>
      </c>
      <c r="E95" s="58" t="s">
        <v>2</v>
      </c>
      <c r="F95" s="58" t="s">
        <v>390</v>
      </c>
      <c r="G95" s="180" t="s">
        <v>59</v>
      </c>
      <c r="H95" t="s">
        <v>33</v>
      </c>
      <c r="I95" s="58">
        <v>0</v>
      </c>
      <c r="J95" s="180" t="s">
        <v>31</v>
      </c>
      <c r="K95" s="180" t="s">
        <v>31</v>
      </c>
      <c r="L95" s="180" t="s">
        <v>31</v>
      </c>
      <c r="M95" s="180" t="s">
        <v>31</v>
      </c>
      <c r="N95" s="180" t="s">
        <v>31</v>
      </c>
    </row>
    <row r="96" spans="1:17" ht="15.6">
      <c r="A96" s="217" t="str">
        <f>A55</f>
        <v>treatment of composites,SOFC EoL, SOFC-bat, Long-Term</v>
      </c>
      <c r="B96" s="218">
        <v>33.647999999999996</v>
      </c>
      <c r="D96" s="180" t="s">
        <v>37</v>
      </c>
      <c r="E96" s="58" t="s">
        <v>2</v>
      </c>
      <c r="F96" s="58" t="s">
        <v>390</v>
      </c>
      <c r="G96" s="180" t="s">
        <v>59</v>
      </c>
      <c r="H96" t="s">
        <v>33</v>
      </c>
      <c r="I96" s="58">
        <v>0</v>
      </c>
      <c r="J96" s="180" t="s">
        <v>31</v>
      </c>
      <c r="K96" s="180" t="s">
        <v>31</v>
      </c>
      <c r="L96" s="180" t="s">
        <v>31</v>
      </c>
      <c r="M96" s="180" t="s">
        <v>31</v>
      </c>
      <c r="N96" s="180" t="s">
        <v>31</v>
      </c>
    </row>
    <row r="97" spans="1:14" ht="15.6">
      <c r="A97" s="217" t="str">
        <f>A79</f>
        <v>treatment of nickel,SOFC EoL, SOFC-bat, Long-Term</v>
      </c>
      <c r="B97" s="218">
        <v>13.71</v>
      </c>
      <c r="D97" s="180" t="s">
        <v>37</v>
      </c>
      <c r="E97" s="58" t="s">
        <v>2</v>
      </c>
      <c r="F97" s="58" t="s">
        <v>390</v>
      </c>
      <c r="G97" s="180" t="s">
        <v>59</v>
      </c>
      <c r="H97" t="s">
        <v>33</v>
      </c>
      <c r="I97" s="58">
        <v>0</v>
      </c>
      <c r="J97" s="180" t="s">
        <v>31</v>
      </c>
      <c r="K97" s="180" t="s">
        <v>31</v>
      </c>
      <c r="L97" s="180" t="s">
        <v>31</v>
      </c>
      <c r="M97" s="180" t="s">
        <v>31</v>
      </c>
      <c r="N97" s="180" t="s">
        <v>31</v>
      </c>
    </row>
    <row r="98" spans="1:14" ht="15.6">
      <c r="A98" s="217" t="str">
        <f>A67</f>
        <v>treatment of zirconium oxide,SOFC EoL, SOFC-bat, Long-Term</v>
      </c>
      <c r="B98" s="218">
        <v>91.456000000000003</v>
      </c>
      <c r="D98" s="180" t="s">
        <v>37</v>
      </c>
      <c r="E98" s="58" t="s">
        <v>2</v>
      </c>
      <c r="F98" s="58" t="s">
        <v>390</v>
      </c>
      <c r="G98" s="180" t="s">
        <v>59</v>
      </c>
      <c r="H98" t="s">
        <v>33</v>
      </c>
      <c r="I98" s="58">
        <v>0</v>
      </c>
      <c r="J98" s="180" t="s">
        <v>31</v>
      </c>
      <c r="K98" s="180" t="s">
        <v>31</v>
      </c>
      <c r="L98" s="180" t="s">
        <v>31</v>
      </c>
      <c r="M98" s="180" t="s">
        <v>31</v>
      </c>
      <c r="N98" s="180" t="s">
        <v>31</v>
      </c>
    </row>
    <row r="99" spans="1:14" ht="15.6">
      <c r="A99" s="217" t="str">
        <f>A41</f>
        <v>treatment of steel,SOFC EoL, SOFC-bat, Long-Term</v>
      </c>
      <c r="B99" s="219">
        <v>187.1006112</v>
      </c>
      <c r="D99" s="180" t="s">
        <v>37</v>
      </c>
      <c r="E99" s="58" t="s">
        <v>2</v>
      </c>
      <c r="F99" s="58" t="s">
        <v>390</v>
      </c>
      <c r="G99" s="180" t="s">
        <v>59</v>
      </c>
      <c r="H99" t="s">
        <v>33</v>
      </c>
      <c r="I99" s="58">
        <v>0</v>
      </c>
      <c r="J99" s="180" t="s">
        <v>31</v>
      </c>
      <c r="K99" s="180" t="s">
        <v>31</v>
      </c>
      <c r="L99" s="180" t="s">
        <v>31</v>
      </c>
      <c r="M99" s="180" t="s">
        <v>31</v>
      </c>
      <c r="N99" s="180" t="s">
        <v>31</v>
      </c>
    </row>
    <row r="100" spans="1:14" ht="15.6">
      <c r="B100" s="23"/>
      <c r="D100" s="180"/>
      <c r="E100" s="58"/>
      <c r="F100" s="58"/>
      <c r="G100" s="180"/>
      <c r="I100" s="58"/>
      <c r="J100" s="180"/>
      <c r="K100" s="180"/>
      <c r="L100" s="180"/>
      <c r="M100" s="180"/>
      <c r="N100" s="180"/>
    </row>
    <row r="101" spans="1:14" ht="15.6">
      <c r="B101" s="23"/>
      <c r="D101" s="180"/>
      <c r="E101" s="58"/>
      <c r="F101" s="58"/>
      <c r="G101" s="180"/>
      <c r="I101" s="58"/>
      <c r="J101" s="180"/>
      <c r="K101" s="180"/>
      <c r="L101" s="180"/>
      <c r="M101" s="180"/>
      <c r="N101" s="180"/>
    </row>
  </sheetData>
  <conditionalFormatting sqref="O94">
    <cfRule type="containsText" dxfId="0" priority="1" operator="containsText" text="name">
      <formula>NOT(ISERROR(SEARCH("name",O94)))</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17B4-B9BE-47D5-8A33-3BC4E2899992}">
  <dimension ref="A1:R17"/>
  <sheetViews>
    <sheetView zoomScale="83" zoomScaleNormal="85" workbookViewId="0">
      <pane xSplit="1" topLeftCell="B1" activePane="topRight" state="frozen"/>
      <selection pane="topRight" activeCell="A12" sqref="A12"/>
      <selection activeCell="A12" sqref="A12"/>
    </sheetView>
  </sheetViews>
  <sheetFormatPr defaultRowHeight="14.4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 thickBot="1">
      <c r="A1" t="s">
        <v>0</v>
      </c>
      <c r="B1" s="23">
        <v>14</v>
      </c>
      <c r="C1" s="72" t="s">
        <v>408</v>
      </c>
      <c r="D1" s="72"/>
    </row>
    <row r="2" spans="1:18">
      <c r="A2" s="220" t="s">
        <v>5</v>
      </c>
      <c r="B2" s="221" t="s">
        <v>409</v>
      </c>
      <c r="C2" s="222"/>
      <c r="D2" s="222"/>
      <c r="E2" s="222"/>
      <c r="F2" s="222"/>
      <c r="G2" s="222"/>
      <c r="H2" s="222"/>
      <c r="I2" s="222"/>
      <c r="J2" s="222"/>
      <c r="K2" s="222"/>
      <c r="L2" s="222"/>
      <c r="M2" s="222"/>
      <c r="N2" s="223"/>
      <c r="R2" s="57"/>
    </row>
    <row r="3" spans="1:18">
      <c r="A3" s="210" t="s">
        <v>7</v>
      </c>
      <c r="B3" t="s">
        <v>410</v>
      </c>
      <c r="N3" s="211"/>
      <c r="R3" s="57"/>
    </row>
    <row r="4" spans="1:18">
      <c r="A4" s="210" t="s">
        <v>9</v>
      </c>
      <c r="B4" t="s">
        <v>411</v>
      </c>
      <c r="N4" s="211"/>
    </row>
    <row r="5" spans="1:18">
      <c r="A5" s="210" t="s">
        <v>11</v>
      </c>
      <c r="B5" t="s">
        <v>412</v>
      </c>
      <c r="N5" s="211"/>
      <c r="R5" s="57"/>
    </row>
    <row r="6" spans="1:18">
      <c r="A6" s="210" t="s">
        <v>13</v>
      </c>
      <c r="B6" t="s">
        <v>59</v>
      </c>
      <c r="N6" s="211"/>
      <c r="R6" s="57"/>
    </row>
    <row r="7" spans="1:18">
      <c r="A7" s="210" t="s">
        <v>15</v>
      </c>
      <c r="B7">
        <v>1</v>
      </c>
      <c r="N7" s="211"/>
      <c r="R7" s="57"/>
    </row>
    <row r="8" spans="1:18">
      <c r="A8" s="210" t="s">
        <v>16</v>
      </c>
      <c r="B8" t="s">
        <v>17</v>
      </c>
      <c r="N8" s="211"/>
    </row>
    <row r="9" spans="1:18">
      <c r="A9" s="210" t="s">
        <v>18</v>
      </c>
      <c r="B9" t="s">
        <v>37</v>
      </c>
      <c r="N9" s="211"/>
    </row>
    <row r="10" spans="1:18">
      <c r="A10" s="224" t="s">
        <v>19</v>
      </c>
      <c r="N10" s="211"/>
    </row>
    <row r="11" spans="1:18">
      <c r="A11" s="224" t="s">
        <v>20</v>
      </c>
      <c r="B11" s="143" t="s">
        <v>21</v>
      </c>
      <c r="C11" s="143" t="s">
        <v>18</v>
      </c>
      <c r="D11" s="143" t="s">
        <v>186</v>
      </c>
      <c r="E11" s="143" t="s">
        <v>22</v>
      </c>
      <c r="F11" s="143" t="s">
        <v>7</v>
      </c>
      <c r="G11" s="143" t="s">
        <v>13</v>
      </c>
      <c r="H11" s="143" t="s">
        <v>16</v>
      </c>
      <c r="I11" s="143" t="s">
        <v>23</v>
      </c>
      <c r="J11" s="143" t="s">
        <v>24</v>
      </c>
      <c r="K11" s="143" t="s">
        <v>25</v>
      </c>
      <c r="L11" s="143" t="s">
        <v>26</v>
      </c>
      <c r="M11" s="143" t="s">
        <v>27</v>
      </c>
      <c r="N11" s="225" t="s">
        <v>28</v>
      </c>
    </row>
    <row r="12" spans="1:18">
      <c r="A12" s="210" t="str">
        <f>B2</f>
        <v>SAF production, long-term, proxy</v>
      </c>
      <c r="B12">
        <v>1</v>
      </c>
      <c r="C12" t="s">
        <v>37</v>
      </c>
      <c r="E12" t="s">
        <v>2</v>
      </c>
      <c r="F12" t="s">
        <v>29</v>
      </c>
      <c r="G12" t="s">
        <v>59</v>
      </c>
      <c r="H12" t="s">
        <v>30</v>
      </c>
      <c r="I12">
        <v>1</v>
      </c>
      <c r="J12" t="s">
        <v>31</v>
      </c>
      <c r="K12" t="s">
        <v>31</v>
      </c>
      <c r="L12" t="s">
        <v>31</v>
      </c>
      <c r="M12" t="s">
        <v>31</v>
      </c>
      <c r="N12" t="s">
        <v>31</v>
      </c>
    </row>
    <row r="13" spans="1:18">
      <c r="A13" s="210" t="s">
        <v>77</v>
      </c>
      <c r="B13">
        <v>-3.1</v>
      </c>
      <c r="C13" t="s">
        <v>37</v>
      </c>
      <c r="E13" t="s">
        <v>43</v>
      </c>
      <c r="F13" t="s">
        <v>44</v>
      </c>
      <c r="G13" t="s">
        <v>29</v>
      </c>
      <c r="H13" t="s">
        <v>45</v>
      </c>
      <c r="I13">
        <v>0</v>
      </c>
      <c r="J13" t="s">
        <v>31</v>
      </c>
      <c r="K13" t="s">
        <v>31</v>
      </c>
      <c r="L13" t="s">
        <v>31</v>
      </c>
      <c r="M13" t="s">
        <v>31</v>
      </c>
      <c r="N13" t="s">
        <v>31</v>
      </c>
      <c r="O13" t="s">
        <v>413</v>
      </c>
    </row>
    <row r="14" spans="1:18">
      <c r="A14" s="57" t="s">
        <v>414</v>
      </c>
      <c r="B14">
        <v>0.72</v>
      </c>
      <c r="C14" t="s">
        <v>37</v>
      </c>
      <c r="D14" s="57" t="s">
        <v>415</v>
      </c>
      <c r="E14" s="58" t="s">
        <v>416</v>
      </c>
      <c r="F14" t="s">
        <v>29</v>
      </c>
      <c r="G14" t="s">
        <v>417</v>
      </c>
      <c r="H14" t="s">
        <v>33</v>
      </c>
      <c r="I14">
        <v>0</v>
      </c>
      <c r="J14" t="s">
        <v>31</v>
      </c>
      <c r="K14" t="s">
        <v>31</v>
      </c>
      <c r="L14" t="s">
        <v>31</v>
      </c>
      <c r="M14" t="s">
        <v>31</v>
      </c>
      <c r="N14" t="s">
        <v>31</v>
      </c>
      <c r="O14" t="s">
        <v>418</v>
      </c>
    </row>
    <row r="15" spans="1:18">
      <c r="A15" s="210" t="s">
        <v>419</v>
      </c>
      <c r="B15">
        <f>($B$12-$B$14)*1/3</f>
        <v>9.3333333333333338E-2</v>
      </c>
      <c r="C15" t="s">
        <v>37</v>
      </c>
      <c r="E15" s="58" t="s">
        <v>416</v>
      </c>
      <c r="F15" t="s">
        <v>29</v>
      </c>
      <c r="G15" t="s">
        <v>35</v>
      </c>
      <c r="H15" t="s">
        <v>33</v>
      </c>
      <c r="I15">
        <v>0</v>
      </c>
      <c r="J15" t="s">
        <v>31</v>
      </c>
      <c r="K15" t="s">
        <v>31</v>
      </c>
      <c r="L15" t="s">
        <v>31</v>
      </c>
      <c r="M15" t="s">
        <v>31</v>
      </c>
      <c r="N15" t="s">
        <v>31</v>
      </c>
      <c r="O15" t="s">
        <v>420</v>
      </c>
    </row>
    <row r="16" spans="1:18">
      <c r="A16" s="210" t="s">
        <v>421</v>
      </c>
      <c r="B16">
        <f>($B$12-$B$14)*1/3</f>
        <v>9.3333333333333338E-2</v>
      </c>
      <c r="C16" t="s">
        <v>37</v>
      </c>
      <c r="E16" s="58" t="s">
        <v>416</v>
      </c>
      <c r="F16" t="s">
        <v>29</v>
      </c>
      <c r="G16" t="s">
        <v>35</v>
      </c>
      <c r="H16" t="s">
        <v>33</v>
      </c>
      <c r="I16">
        <v>0</v>
      </c>
      <c r="J16" t="s">
        <v>31</v>
      </c>
      <c r="K16" t="s">
        <v>31</v>
      </c>
      <c r="L16" t="s">
        <v>31</v>
      </c>
      <c r="M16" t="s">
        <v>31</v>
      </c>
      <c r="N16" t="s">
        <v>31</v>
      </c>
      <c r="O16" t="s">
        <v>422</v>
      </c>
    </row>
    <row r="17" spans="1:15">
      <c r="A17" t="s">
        <v>423</v>
      </c>
      <c r="B17">
        <f>($B$12-$B$14)*1/3</f>
        <v>9.3333333333333338E-2</v>
      </c>
      <c r="C17" t="s">
        <v>37</v>
      </c>
      <c r="D17" s="57"/>
      <c r="E17" s="58" t="s">
        <v>416</v>
      </c>
      <c r="F17" t="s">
        <v>29</v>
      </c>
      <c r="G17" t="s">
        <v>35</v>
      </c>
      <c r="H17" t="s">
        <v>33</v>
      </c>
      <c r="I17">
        <v>0</v>
      </c>
      <c r="J17" t="s">
        <v>31</v>
      </c>
      <c r="K17" t="s">
        <v>31</v>
      </c>
      <c r="L17" t="s">
        <v>31</v>
      </c>
      <c r="M17" t="s">
        <v>31</v>
      </c>
      <c r="N17" t="s">
        <v>31</v>
      </c>
      <c r="O17" t="s">
        <v>424</v>
      </c>
    </row>
  </sheetData>
  <pageMargins left="0.7" right="0.7" top="0.75" bottom="0.75" header="0.3" footer="0.3"/>
  <pageSetup orientation="portrait" horizontalDpi="1200" verticalDpi="12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235A-D1D2-4B38-BB53-50895A4B4BE0}">
  <dimension ref="A1:X129"/>
  <sheetViews>
    <sheetView zoomScale="85" zoomScaleNormal="85" workbookViewId="0">
      <selection activeCell="A2" sqref="A2:XFD3"/>
    </sheetView>
  </sheetViews>
  <sheetFormatPr defaultColWidth="8.7109375" defaultRowHeight="14.4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24" width="8.7109375" style="22"/>
  </cols>
  <sheetData>
    <row r="1" spans="1:24">
      <c r="A1" t="s">
        <v>0</v>
      </c>
      <c r="B1">
        <v>14</v>
      </c>
      <c r="D1" s="22"/>
      <c r="P1" s="22" t="s">
        <v>425</v>
      </c>
      <c r="Q1" s="175"/>
    </row>
    <row r="2" spans="1:24" s="73" customFormat="1">
      <c r="A2" s="229" t="s">
        <v>5</v>
      </c>
      <c r="B2" s="229" t="s">
        <v>52</v>
      </c>
      <c r="C2" s="229"/>
      <c r="D2" s="74"/>
      <c r="Q2" s="73" t="s">
        <v>268</v>
      </c>
      <c r="S2" s="230"/>
      <c r="T2" s="230"/>
      <c r="U2" s="230"/>
      <c r="V2" s="230"/>
      <c r="W2" s="230"/>
      <c r="X2" s="230"/>
    </row>
    <row r="3" spans="1:24">
      <c r="A3" t="s">
        <v>7</v>
      </c>
      <c r="B3" t="s">
        <v>263</v>
      </c>
      <c r="Q3" t="s">
        <v>268</v>
      </c>
    </row>
    <row r="4" spans="1:24">
      <c r="A4" t="s">
        <v>9</v>
      </c>
      <c r="B4" s="231" t="s">
        <v>426</v>
      </c>
      <c r="C4" s="22"/>
      <c r="Q4" t="s">
        <v>268</v>
      </c>
    </row>
    <row r="5" spans="1:24">
      <c r="A5" t="s">
        <v>11</v>
      </c>
      <c r="B5" t="s">
        <v>427</v>
      </c>
      <c r="Q5" t="s">
        <v>268</v>
      </c>
    </row>
    <row r="6" spans="1:24">
      <c r="A6" t="s">
        <v>13</v>
      </c>
      <c r="B6" t="s">
        <v>14</v>
      </c>
      <c r="Q6" t="s">
        <v>268</v>
      </c>
    </row>
    <row r="7" spans="1:24">
      <c r="A7" t="s">
        <v>15</v>
      </c>
      <c r="B7">
        <v>1</v>
      </c>
      <c r="Q7" t="s">
        <v>268</v>
      </c>
    </row>
    <row r="8" spans="1:24">
      <c r="A8" t="s">
        <v>16</v>
      </c>
      <c r="B8" t="s">
        <v>17</v>
      </c>
      <c r="Q8" t="s">
        <v>268</v>
      </c>
    </row>
    <row r="9" spans="1:24">
      <c r="A9" t="s">
        <v>18</v>
      </c>
      <c r="B9" t="s">
        <v>18</v>
      </c>
      <c r="E9" t="s">
        <v>185</v>
      </c>
      <c r="Q9" t="s">
        <v>268</v>
      </c>
    </row>
    <row r="10" spans="1:24">
      <c r="A10" s="143" t="s">
        <v>19</v>
      </c>
      <c r="Q10" t="s">
        <v>268</v>
      </c>
    </row>
    <row r="11" spans="1:24">
      <c r="A11" s="143" t="s">
        <v>20</v>
      </c>
      <c r="B11" s="143" t="s">
        <v>21</v>
      </c>
      <c r="C11" s="143" t="s">
        <v>186</v>
      </c>
      <c r="D11" s="143" t="s">
        <v>18</v>
      </c>
      <c r="E11" s="143" t="s">
        <v>22</v>
      </c>
      <c r="F11" s="143" t="s">
        <v>7</v>
      </c>
      <c r="G11" s="143" t="s">
        <v>13</v>
      </c>
      <c r="H11" s="143" t="s">
        <v>16</v>
      </c>
      <c r="I11" s="143" t="s">
        <v>23</v>
      </c>
      <c r="J11" s="143" t="s">
        <v>24</v>
      </c>
      <c r="K11" s="143" t="s">
        <v>25</v>
      </c>
      <c r="L11" s="143" t="s">
        <v>26</v>
      </c>
      <c r="M11" s="143" t="s">
        <v>27</v>
      </c>
      <c r="N11" s="143" t="s">
        <v>28</v>
      </c>
      <c r="O11" s="143" t="s">
        <v>11</v>
      </c>
      <c r="P11" s="177" t="s">
        <v>428</v>
      </c>
      <c r="Q11" t="s">
        <v>268</v>
      </c>
    </row>
    <row r="12" spans="1:24">
      <c r="A12" t="str">
        <f>B2</f>
        <v>Production of powerplant, SOFC-bat, long term</v>
      </c>
      <c r="B12">
        <v>1</v>
      </c>
      <c r="D12" t="s">
        <v>18</v>
      </c>
      <c r="E12" t="s">
        <v>2</v>
      </c>
      <c r="F12" t="s">
        <v>29</v>
      </c>
      <c r="G12" t="s">
        <v>14</v>
      </c>
      <c r="H12" t="s">
        <v>30</v>
      </c>
      <c r="I12">
        <v>1</v>
      </c>
      <c r="J12">
        <v>1</v>
      </c>
      <c r="K12" t="s">
        <v>31</v>
      </c>
      <c r="L12" t="s">
        <v>31</v>
      </c>
      <c r="M12" t="s">
        <v>31</v>
      </c>
      <c r="N12" t="s">
        <v>31</v>
      </c>
      <c r="Q12" t="s">
        <v>268</v>
      </c>
    </row>
    <row r="13" spans="1:24">
      <c r="A13" s="68" t="s">
        <v>429</v>
      </c>
      <c r="B13" s="232">
        <v>10</v>
      </c>
      <c r="C13" s="232"/>
      <c r="D13" t="s">
        <v>18</v>
      </c>
      <c r="E13" t="s">
        <v>2</v>
      </c>
      <c r="F13" t="s">
        <v>29</v>
      </c>
      <c r="G13" t="s">
        <v>59</v>
      </c>
      <c r="H13" t="s">
        <v>33</v>
      </c>
      <c r="I13">
        <v>2</v>
      </c>
      <c r="J13">
        <f t="shared" ref="J13:J35" si="0">LN(ABS(B13))</f>
        <v>2.3025850929940459</v>
      </c>
      <c r="K13" s="233">
        <v>0.4147288270665544</v>
      </c>
      <c r="L13" t="s">
        <v>31</v>
      </c>
      <c r="M13" t="s">
        <v>31</v>
      </c>
      <c r="N13" t="s">
        <v>31</v>
      </c>
      <c r="O13" t="s">
        <v>430</v>
      </c>
      <c r="Q13" t="s">
        <v>268</v>
      </c>
    </row>
    <row r="14" spans="1:24">
      <c r="A14" s="24" t="s">
        <v>431</v>
      </c>
      <c r="B14" s="232">
        <v>10</v>
      </c>
      <c r="C14" s="232"/>
      <c r="D14" t="s">
        <v>18</v>
      </c>
      <c r="E14" t="s">
        <v>2</v>
      </c>
      <c r="F14" t="s">
        <v>29</v>
      </c>
      <c r="G14" t="s">
        <v>59</v>
      </c>
      <c r="H14" t="s">
        <v>33</v>
      </c>
      <c r="I14">
        <v>2</v>
      </c>
      <c r="J14">
        <f t="shared" si="0"/>
        <v>2.3025850929940459</v>
      </c>
      <c r="K14" s="233">
        <v>0.4147288270665544</v>
      </c>
      <c r="L14" t="s">
        <v>31</v>
      </c>
      <c r="M14" t="s">
        <v>31</v>
      </c>
      <c r="N14" t="s">
        <v>31</v>
      </c>
      <c r="O14" t="s">
        <v>430</v>
      </c>
      <c r="Q14" t="s">
        <v>268</v>
      </c>
    </row>
    <row r="15" spans="1:24">
      <c r="A15" s="22" t="s">
        <v>432</v>
      </c>
      <c r="B15" s="232">
        <v>10</v>
      </c>
      <c r="C15" s="232"/>
      <c r="D15" s="22" t="s">
        <v>18</v>
      </c>
      <c r="E15" s="22" t="s">
        <v>2</v>
      </c>
      <c r="F15" t="s">
        <v>29</v>
      </c>
      <c r="G15" t="s">
        <v>59</v>
      </c>
      <c r="H15" t="s">
        <v>33</v>
      </c>
      <c r="I15">
        <v>2</v>
      </c>
      <c r="J15">
        <f t="shared" si="0"/>
        <v>2.3025850929940459</v>
      </c>
      <c r="K15" s="233">
        <v>0.4147288270665544</v>
      </c>
      <c r="L15" t="s">
        <v>31</v>
      </c>
      <c r="M15" t="s">
        <v>31</v>
      </c>
      <c r="N15" t="s">
        <v>31</v>
      </c>
      <c r="O15" t="s">
        <v>430</v>
      </c>
      <c r="Q15" t="s">
        <v>268</v>
      </c>
    </row>
    <row r="16" spans="1:24" s="90" customFormat="1">
      <c r="A16" s="206" t="str">
        <f>'1. MOTORS AND DRIVES'!A12</f>
        <v>production of motors and drives, SOFC-bat, Long-Term</v>
      </c>
      <c r="B16" s="232">
        <v>1</v>
      </c>
      <c r="C16" s="232"/>
      <c r="D16" s="22" t="s">
        <v>18</v>
      </c>
      <c r="E16" s="22" t="s">
        <v>2</v>
      </c>
      <c r="F16" t="s">
        <v>29</v>
      </c>
      <c r="G16" t="s">
        <v>14</v>
      </c>
      <c r="H16" t="s">
        <v>33</v>
      </c>
      <c r="I16">
        <v>2</v>
      </c>
      <c r="J16">
        <f>LN(ABS(B16))</f>
        <v>0</v>
      </c>
      <c r="K16" s="233">
        <v>0.4147288270665544</v>
      </c>
      <c r="L16" t="s">
        <v>31</v>
      </c>
      <c r="M16" t="s">
        <v>31</v>
      </c>
      <c r="N16" t="s">
        <v>31</v>
      </c>
      <c r="O16" t="s">
        <v>430</v>
      </c>
      <c r="Q16" s="234">
        <v>679.8</v>
      </c>
      <c r="R16" s="234"/>
      <c r="S16" s="90" t="s">
        <v>275</v>
      </c>
    </row>
    <row r="17" spans="1:24" s="90" customFormat="1">
      <c r="A17" s="206" t="str">
        <f>'2.POWER ELECTRONICS'!A12</f>
        <v>production of power electronics, SOFC-bat, Long-Term</v>
      </c>
      <c r="B17" s="232">
        <v>1</v>
      </c>
      <c r="C17" s="232"/>
      <c r="D17" s="22" t="s">
        <v>18</v>
      </c>
      <c r="E17" s="22" t="s">
        <v>2</v>
      </c>
      <c r="F17" t="s">
        <v>29</v>
      </c>
      <c r="G17" t="s">
        <v>14</v>
      </c>
      <c r="H17" t="s">
        <v>33</v>
      </c>
      <c r="I17">
        <v>2</v>
      </c>
      <c r="J17">
        <f t="shared" si="0"/>
        <v>0</v>
      </c>
      <c r="K17" s="233">
        <v>0.4147288270665544</v>
      </c>
      <c r="L17" t="s">
        <v>31</v>
      </c>
      <c r="M17" t="s">
        <v>31</v>
      </c>
      <c r="N17" t="s">
        <v>31</v>
      </c>
      <c r="O17" t="s">
        <v>430</v>
      </c>
      <c r="Q17" s="234">
        <v>262.13486926869763</v>
      </c>
      <c r="R17" s="234"/>
      <c r="S17" s="90" t="s">
        <v>275</v>
      </c>
    </row>
    <row r="18" spans="1:24" s="90" customFormat="1" ht="15.6">
      <c r="A18" s="206" t="str">
        <f>'production of battery Li-S'!A261</f>
        <v>battery pack production, Li-O, SOFC-bat</v>
      </c>
      <c r="B18" s="235">
        <f>1.01333333333333*20/3</f>
        <v>6.7555555555555342</v>
      </c>
      <c r="C18" s="234"/>
      <c r="D18" s="22" t="s">
        <v>18</v>
      </c>
      <c r="E18" t="s">
        <v>2</v>
      </c>
      <c r="F18" t="s">
        <v>29</v>
      </c>
      <c r="G18" t="s">
        <v>59</v>
      </c>
      <c r="H18" t="s">
        <v>33</v>
      </c>
      <c r="I18">
        <v>2</v>
      </c>
      <c r="J18">
        <f t="shared" si="0"/>
        <v>1.9103652116358987</v>
      </c>
      <c r="K18" s="233">
        <v>0.4147288270665544</v>
      </c>
      <c r="L18" t="s">
        <v>31</v>
      </c>
      <c r="M18" t="s">
        <v>31</v>
      </c>
      <c r="N18" t="s">
        <v>31</v>
      </c>
      <c r="O18" t="s">
        <v>433</v>
      </c>
      <c r="Q18" s="234">
        <v>2386.0435240405654</v>
      </c>
      <c r="R18" s="234"/>
      <c r="S18" s="90" t="s">
        <v>275</v>
      </c>
    </row>
    <row r="19" spans="1:24" s="90" customFormat="1" ht="15.6">
      <c r="A19" s="206" t="str">
        <f>'battery EoL Li-ion'!A121</f>
        <v>treatment of battery LiO, SOFC-bat</v>
      </c>
      <c r="B19" s="235">
        <f>B18</f>
        <v>6.7555555555555342</v>
      </c>
      <c r="C19" s="234"/>
      <c r="D19" s="22" t="s">
        <v>18</v>
      </c>
      <c r="E19" t="s">
        <v>2</v>
      </c>
      <c r="F19" t="s">
        <v>29</v>
      </c>
      <c r="G19" t="s">
        <v>59</v>
      </c>
      <c r="H19" t="s">
        <v>33</v>
      </c>
      <c r="I19">
        <v>2</v>
      </c>
      <c r="J19">
        <f t="shared" si="0"/>
        <v>1.9103652116358987</v>
      </c>
      <c r="K19" s="233">
        <v>0.4147288270665544</v>
      </c>
      <c r="L19" t="s">
        <v>31</v>
      </c>
      <c r="M19" t="s">
        <v>31</v>
      </c>
      <c r="N19" t="s">
        <v>31</v>
      </c>
      <c r="O19" t="s">
        <v>433</v>
      </c>
      <c r="Q19" s="234"/>
      <c r="R19" s="234"/>
    </row>
    <row r="20" spans="1:24" s="58" customFormat="1">
      <c r="A20" s="236" t="s">
        <v>434</v>
      </c>
      <c r="B20" s="237">
        <v>75.694038792157201</v>
      </c>
      <c r="C20" s="237"/>
      <c r="D20" s="58" t="s">
        <v>37</v>
      </c>
      <c r="E20" s="58" t="s">
        <v>2</v>
      </c>
      <c r="F20" s="58" t="s">
        <v>29</v>
      </c>
      <c r="G20" s="58" t="s">
        <v>59</v>
      </c>
      <c r="H20" s="58" t="s">
        <v>33</v>
      </c>
      <c r="I20" s="58">
        <v>2</v>
      </c>
      <c r="J20" s="58">
        <f t="shared" si="0"/>
        <v>4.3266994095507858</v>
      </c>
      <c r="K20" s="58">
        <v>0.4147288270665544</v>
      </c>
      <c r="L20" s="58" t="s">
        <v>31</v>
      </c>
      <c r="M20" s="58" t="s">
        <v>31</v>
      </c>
      <c r="N20" s="58" t="s">
        <v>31</v>
      </c>
      <c r="O20" s="58" t="s">
        <v>430</v>
      </c>
      <c r="Q20" s="237">
        <v>75.694038792157201</v>
      </c>
      <c r="R20" s="237"/>
      <c r="S20" s="58" t="s">
        <v>37</v>
      </c>
    </row>
    <row r="21" spans="1:24" s="90" customFormat="1">
      <c r="A21" s="206" t="str">
        <f>H2_storage!A12</f>
        <v>production of cryogenic insulated LH2 storage system</v>
      </c>
      <c r="B21" s="232">
        <v>4</v>
      </c>
      <c r="C21" s="232"/>
      <c r="D21" s="22" t="s">
        <v>18</v>
      </c>
      <c r="E21" t="s">
        <v>2</v>
      </c>
      <c r="F21" t="s">
        <v>29</v>
      </c>
      <c r="G21" s="58" t="s">
        <v>14</v>
      </c>
      <c r="H21" t="s">
        <v>33</v>
      </c>
      <c r="I21">
        <v>2</v>
      </c>
      <c r="J21">
        <f t="shared" si="0"/>
        <v>1.3862943611198906</v>
      </c>
      <c r="K21" s="233">
        <v>0.4147288270665544</v>
      </c>
      <c r="L21" t="s">
        <v>31</v>
      </c>
      <c r="M21" t="s">
        <v>31</v>
      </c>
      <c r="N21" t="s">
        <v>31</v>
      </c>
      <c r="O21" t="s">
        <v>430</v>
      </c>
      <c r="Q21" s="234">
        <v>410.19670008647148</v>
      </c>
      <c r="R21" s="234"/>
      <c r="S21" s="90" t="s">
        <v>275</v>
      </c>
    </row>
    <row r="22" spans="1:24" s="90" customFormat="1">
      <c r="A22" s="206" t="s">
        <v>435</v>
      </c>
      <c r="B22" s="232">
        <v>2</v>
      </c>
      <c r="C22" s="232"/>
      <c r="D22" s="22" t="s">
        <v>18</v>
      </c>
      <c r="E22" t="s">
        <v>2</v>
      </c>
      <c r="F22" t="s">
        <v>29</v>
      </c>
      <c r="G22" s="58" t="s">
        <v>59</v>
      </c>
      <c r="H22" t="s">
        <v>33</v>
      </c>
      <c r="I22">
        <v>2</v>
      </c>
      <c r="J22">
        <f t="shared" si="0"/>
        <v>0.69314718055994529</v>
      </c>
      <c r="K22" s="233">
        <v>0.4147288270665544</v>
      </c>
      <c r="L22" t="s">
        <v>31</v>
      </c>
      <c r="M22" t="s">
        <v>31</v>
      </c>
      <c r="N22" t="s">
        <v>31</v>
      </c>
      <c r="O22" t="s">
        <v>430</v>
      </c>
      <c r="P22" s="90" t="s">
        <v>436</v>
      </c>
      <c r="Q22" s="234">
        <v>1317.9798260416669</v>
      </c>
      <c r="R22" s="234"/>
      <c r="S22" s="90" t="s">
        <v>275</v>
      </c>
    </row>
    <row r="23" spans="1:24">
      <c r="A23" s="58" t="s">
        <v>437</v>
      </c>
      <c r="B23" s="238">
        <f>S23</f>
        <v>277306.21044899756</v>
      </c>
      <c r="C23" s="239"/>
      <c r="D23" t="s">
        <v>39</v>
      </c>
      <c r="E23" t="s">
        <v>40</v>
      </c>
      <c r="F23" t="s">
        <v>29</v>
      </c>
      <c r="G23" t="s">
        <v>59</v>
      </c>
      <c r="H23" t="s">
        <v>33</v>
      </c>
      <c r="I23">
        <v>2</v>
      </c>
      <c r="J23">
        <f t="shared" si="0"/>
        <v>12.532877627490828</v>
      </c>
      <c r="K23">
        <v>0.28635642126552707</v>
      </c>
      <c r="L23" t="s">
        <v>31</v>
      </c>
      <c r="M23" t="s">
        <v>31</v>
      </c>
      <c r="N23" t="s">
        <v>31</v>
      </c>
      <c r="Q23" t="s">
        <v>268</v>
      </c>
      <c r="S23" s="22">
        <v>277306.21044899756</v>
      </c>
      <c r="T23" s="22" t="s">
        <v>271</v>
      </c>
    </row>
    <row r="24" spans="1:24">
      <c r="A24" s="22" t="s">
        <v>69</v>
      </c>
      <c r="B24" s="240">
        <f>W24</f>
        <v>26210.237178218285</v>
      </c>
      <c r="C24" s="232"/>
      <c r="D24" s="22" t="s">
        <v>42</v>
      </c>
      <c r="E24" s="22" t="s">
        <v>40</v>
      </c>
      <c r="F24" s="22" t="s">
        <v>29</v>
      </c>
      <c r="G24" s="22" t="s">
        <v>272</v>
      </c>
      <c r="H24" s="22" t="s">
        <v>33</v>
      </c>
      <c r="I24">
        <v>2</v>
      </c>
      <c r="J24">
        <f t="shared" si="0"/>
        <v>10.173905345426386</v>
      </c>
      <c r="K24">
        <v>0.28635642126552707</v>
      </c>
      <c r="L24" t="s">
        <v>31</v>
      </c>
      <c r="M24" t="s">
        <v>31</v>
      </c>
      <c r="N24" t="s">
        <v>31</v>
      </c>
      <c r="Q24" t="s">
        <v>268</v>
      </c>
      <c r="R24" s="22"/>
      <c r="S24" s="232">
        <v>278848.02416872984</v>
      </c>
      <c r="T24" s="22" t="s">
        <v>271</v>
      </c>
      <c r="U24" s="22">
        <f>S24/0.277778</f>
        <v>1003852.0839257602</v>
      </c>
      <c r="V24" s="22" t="s">
        <v>270</v>
      </c>
      <c r="W24" s="22">
        <f>U24/38.3</f>
        <v>26210.237178218285</v>
      </c>
      <c r="X24" s="22" t="s">
        <v>274</v>
      </c>
    </row>
    <row r="25" spans="1:24">
      <c r="A25" s="58" t="s">
        <v>70</v>
      </c>
      <c r="B25" s="241">
        <f>U25</f>
        <v>125283.27745676946</v>
      </c>
      <c r="C25" s="232"/>
      <c r="D25" s="22" t="s">
        <v>71</v>
      </c>
      <c r="E25" s="22" t="s">
        <v>40</v>
      </c>
      <c r="F25" s="22" t="s">
        <v>29</v>
      </c>
      <c r="G25" s="22" t="s">
        <v>59</v>
      </c>
      <c r="H25" s="22" t="s">
        <v>33</v>
      </c>
      <c r="I25">
        <v>2</v>
      </c>
      <c r="J25">
        <f t="shared" si="0"/>
        <v>11.738332671935831</v>
      </c>
      <c r="K25">
        <v>0.28635642126552707</v>
      </c>
      <c r="L25" t="s">
        <v>31</v>
      </c>
      <c r="M25" t="s">
        <v>31</v>
      </c>
      <c r="N25" t="s">
        <v>31</v>
      </c>
      <c r="Q25" t="s">
        <v>268</v>
      </c>
      <c r="R25" s="58"/>
      <c r="S25" s="232">
        <v>34800.938245386511</v>
      </c>
      <c r="T25" s="22" t="s">
        <v>271</v>
      </c>
      <c r="U25" s="22">
        <f>S25/0.277778</f>
        <v>125283.27745676946</v>
      </c>
      <c r="V25" s="22" t="s">
        <v>270</v>
      </c>
    </row>
    <row r="26" spans="1:24">
      <c r="A26" s="58" t="s">
        <v>438</v>
      </c>
      <c r="B26" s="240">
        <f>W26</f>
        <v>5929.2916404862353</v>
      </c>
      <c r="C26" s="232"/>
      <c r="D26" s="22" t="s">
        <v>37</v>
      </c>
      <c r="E26" s="22" t="s">
        <v>40</v>
      </c>
      <c r="F26" s="22" t="s">
        <v>29</v>
      </c>
      <c r="G26" s="22" t="s">
        <v>59</v>
      </c>
      <c r="H26" s="22" t="s">
        <v>33</v>
      </c>
      <c r="I26">
        <v>2</v>
      </c>
      <c r="J26">
        <f t="shared" si="0"/>
        <v>8.6876600313129924</v>
      </c>
      <c r="K26">
        <v>0.28635642126552707</v>
      </c>
      <c r="L26" t="s">
        <v>31</v>
      </c>
      <c r="M26" t="s">
        <v>31</v>
      </c>
      <c r="N26" t="s">
        <v>31</v>
      </c>
      <c r="Q26" t="s">
        <v>268</v>
      </c>
      <c r="R26" s="58"/>
      <c r="S26" s="232">
        <v>73786.799444332151</v>
      </c>
      <c r="T26" s="22" t="s">
        <v>271</v>
      </c>
      <c r="U26" s="22">
        <f>S26/0.277778</f>
        <v>265632.26549378334</v>
      </c>
      <c r="V26" s="22" t="s">
        <v>270</v>
      </c>
      <c r="W26" s="22">
        <f>U26/44.8</f>
        <v>5929.2916404862353</v>
      </c>
      <c r="X26" s="22" t="s">
        <v>275</v>
      </c>
    </row>
    <row r="27" spans="1:24">
      <c r="A27" s="58" t="s">
        <v>73</v>
      </c>
      <c r="B27" s="240">
        <f t="shared" ref="B27" si="1">W27</f>
        <v>11705.18867136785</v>
      </c>
      <c r="C27" s="232"/>
      <c r="D27" s="22" t="s">
        <v>37</v>
      </c>
      <c r="E27" s="22" t="s">
        <v>40</v>
      </c>
      <c r="F27" s="22" t="s">
        <v>29</v>
      </c>
      <c r="G27" s="22" t="s">
        <v>82</v>
      </c>
      <c r="H27" s="22" t="s">
        <v>33</v>
      </c>
      <c r="I27">
        <v>2</v>
      </c>
      <c r="J27">
        <f t="shared" si="0"/>
        <v>9.367787498664633</v>
      </c>
      <c r="K27">
        <v>0.28635642126552707</v>
      </c>
      <c r="L27" t="s">
        <v>31</v>
      </c>
      <c r="M27" t="s">
        <v>31</v>
      </c>
      <c r="N27" t="s">
        <v>31</v>
      </c>
      <c r="Q27" t="s">
        <v>268</v>
      </c>
      <c r="R27" s="58"/>
      <c r="S27" s="232">
        <v>150216.70812249111</v>
      </c>
      <c r="T27" s="22" t="s">
        <v>271</v>
      </c>
      <c r="U27" s="22">
        <f>S27/0.277778</f>
        <v>540779.7166171947</v>
      </c>
      <c r="V27" s="22" t="s">
        <v>270</v>
      </c>
      <c r="W27" s="22">
        <f>U27/46.2</f>
        <v>11705.18867136785</v>
      </c>
      <c r="X27" s="22" t="s">
        <v>275</v>
      </c>
    </row>
    <row r="28" spans="1:24" s="90" customFormat="1">
      <c r="A28" s="22" t="s">
        <v>409</v>
      </c>
      <c r="B28" s="240">
        <f>W28</f>
        <v>72.084739618394394</v>
      </c>
      <c r="C28" s="232"/>
      <c r="D28" s="22" t="s">
        <v>37</v>
      </c>
      <c r="E28" s="22" t="s">
        <v>2</v>
      </c>
      <c r="F28" s="22" t="s">
        <v>410</v>
      </c>
      <c r="G28" s="22" t="s">
        <v>59</v>
      </c>
      <c r="H28" s="22" t="s">
        <v>33</v>
      </c>
      <c r="I28" s="22">
        <v>2</v>
      </c>
      <c r="J28" s="22">
        <f t="shared" si="0"/>
        <v>4.2778423661104945</v>
      </c>
      <c r="K28">
        <v>0.28635642126552707</v>
      </c>
      <c r="L28" s="22" t="s">
        <v>31</v>
      </c>
      <c r="M28" s="22" t="s">
        <v>31</v>
      </c>
      <c r="N28" s="22" t="s">
        <v>31</v>
      </c>
      <c r="O28" s="206"/>
      <c r="P28" s="22"/>
      <c r="Q28" t="s">
        <v>268</v>
      </c>
      <c r="R28" s="242"/>
      <c r="S28" s="232">
        <v>881.03641127560786</v>
      </c>
      <c r="T28" s="22" t="s">
        <v>271</v>
      </c>
      <c r="U28" s="22">
        <f>S28/0.277778</f>
        <v>3171.7285432093536</v>
      </c>
      <c r="V28" s="22" t="s">
        <v>270</v>
      </c>
      <c r="W28" s="22">
        <f>U28/44</f>
        <v>72.084739618394394</v>
      </c>
      <c r="X28" s="22" t="s">
        <v>275</v>
      </c>
    </row>
    <row r="29" spans="1:24">
      <c r="A29" t="s">
        <v>75</v>
      </c>
      <c r="B29" s="243">
        <f>678.087471347243*997.42788</f>
        <v>676343.34900044126</v>
      </c>
      <c r="C29" s="206"/>
      <c r="D29" t="s">
        <v>37</v>
      </c>
      <c r="E29" t="s">
        <v>40</v>
      </c>
      <c r="F29" t="s">
        <v>29</v>
      </c>
      <c r="G29" t="s">
        <v>59</v>
      </c>
      <c r="H29" t="s">
        <v>33</v>
      </c>
      <c r="I29">
        <v>2</v>
      </c>
      <c r="J29">
        <f t="shared" si="0"/>
        <v>13.42445613880364</v>
      </c>
      <c r="K29">
        <v>0.28635642126552707</v>
      </c>
      <c r="L29" t="s">
        <v>31</v>
      </c>
      <c r="M29" t="s">
        <v>31</v>
      </c>
      <c r="N29" t="s">
        <v>31</v>
      </c>
      <c r="O29" t="s">
        <v>439</v>
      </c>
      <c r="Q29" t="s">
        <v>268</v>
      </c>
    </row>
    <row r="30" spans="1:24">
      <c r="A30" s="205" t="s">
        <v>76</v>
      </c>
      <c r="B30" s="240">
        <v>632.30837889915722</v>
      </c>
      <c r="C30" s="232"/>
      <c r="D30" s="22" t="s">
        <v>42</v>
      </c>
      <c r="E30" s="22" t="s">
        <v>40</v>
      </c>
      <c r="F30" s="22" t="s">
        <v>29</v>
      </c>
      <c r="G30" s="205" t="s">
        <v>82</v>
      </c>
      <c r="H30" s="22" t="s">
        <v>33</v>
      </c>
      <c r="I30">
        <v>2</v>
      </c>
      <c r="J30">
        <f t="shared" si="0"/>
        <v>6.4493772164383483</v>
      </c>
      <c r="K30">
        <v>0.28635642126552707</v>
      </c>
      <c r="L30" t="s">
        <v>31</v>
      </c>
      <c r="M30" t="s">
        <v>31</v>
      </c>
      <c r="N30" t="s">
        <v>31</v>
      </c>
      <c r="Q30" t="s">
        <v>268</v>
      </c>
    </row>
    <row r="31" spans="1:24">
      <c r="A31" s="22" t="s">
        <v>81</v>
      </c>
      <c r="B31" s="240">
        <v>15343.249102364711</v>
      </c>
      <c r="C31" s="232"/>
      <c r="D31" s="22" t="s">
        <v>37</v>
      </c>
      <c r="E31" s="22" t="s">
        <v>40</v>
      </c>
      <c r="F31" s="22" t="s">
        <v>29</v>
      </c>
      <c r="G31" s="22" t="s">
        <v>82</v>
      </c>
      <c r="H31" s="22" t="s">
        <v>33</v>
      </c>
      <c r="I31">
        <v>2</v>
      </c>
      <c r="J31">
        <f t="shared" si="0"/>
        <v>9.6384308583843357</v>
      </c>
      <c r="K31">
        <v>0.28635642126552707</v>
      </c>
      <c r="L31" t="s">
        <v>31</v>
      </c>
      <c r="M31" t="s">
        <v>31</v>
      </c>
      <c r="N31" t="s">
        <v>31</v>
      </c>
      <c r="O31" s="244" t="s">
        <v>440</v>
      </c>
      <c r="Q31" t="s">
        <v>268</v>
      </c>
    </row>
    <row r="32" spans="1:24" ht="15.75" customHeight="1">
      <c r="A32" t="s">
        <v>77</v>
      </c>
      <c r="B32" s="238">
        <v>288259.47537307872</v>
      </c>
      <c r="C32" s="239"/>
      <c r="D32" t="s">
        <v>37</v>
      </c>
      <c r="E32" t="s">
        <v>43</v>
      </c>
      <c r="F32" t="s">
        <v>44</v>
      </c>
      <c r="G32" t="s">
        <v>29</v>
      </c>
      <c r="H32" t="s">
        <v>45</v>
      </c>
      <c r="I32">
        <v>2</v>
      </c>
      <c r="J32">
        <f t="shared" si="0"/>
        <v>12.57161630965722</v>
      </c>
      <c r="K32">
        <v>0.28635642126552707</v>
      </c>
      <c r="L32" t="s">
        <v>31</v>
      </c>
      <c r="M32" t="s">
        <v>31</v>
      </c>
      <c r="N32" t="s">
        <v>31</v>
      </c>
      <c r="Q32" t="s">
        <v>268</v>
      </c>
    </row>
    <row r="33" spans="1:24">
      <c r="A33" t="s">
        <v>79</v>
      </c>
      <c r="B33" s="238">
        <v>3.0836274394646277</v>
      </c>
      <c r="C33" s="239"/>
      <c r="D33" t="s">
        <v>37</v>
      </c>
      <c r="E33" t="s">
        <v>43</v>
      </c>
      <c r="F33" t="s">
        <v>44</v>
      </c>
      <c r="G33" t="s">
        <v>29</v>
      </c>
      <c r="H33" t="s">
        <v>45</v>
      </c>
      <c r="I33">
        <v>2</v>
      </c>
      <c r="J33">
        <f t="shared" si="0"/>
        <v>1.1261066440796024</v>
      </c>
      <c r="K33">
        <v>0.28635642126552707</v>
      </c>
      <c r="L33" t="s">
        <v>31</v>
      </c>
      <c r="M33" t="s">
        <v>31</v>
      </c>
      <c r="N33" t="s">
        <v>31</v>
      </c>
      <c r="Q33" t="s">
        <v>268</v>
      </c>
    </row>
    <row r="34" spans="1:24">
      <c r="A34" t="s">
        <v>80</v>
      </c>
      <c r="B34" s="245">
        <v>48.897520825796228</v>
      </c>
      <c r="D34" t="s">
        <v>37</v>
      </c>
      <c r="E34" t="s">
        <v>43</v>
      </c>
      <c r="F34" t="s">
        <v>44</v>
      </c>
      <c r="G34" t="s">
        <v>29</v>
      </c>
      <c r="H34" t="s">
        <v>45</v>
      </c>
      <c r="I34">
        <v>2</v>
      </c>
      <c r="J34">
        <f t="shared" si="0"/>
        <v>3.889726696336623</v>
      </c>
      <c r="K34">
        <v>0.28635642126552707</v>
      </c>
      <c r="L34" t="s">
        <v>31</v>
      </c>
      <c r="M34" t="s">
        <v>31</v>
      </c>
      <c r="N34" t="s">
        <v>31</v>
      </c>
      <c r="Q34" t="s">
        <v>268</v>
      </c>
    </row>
    <row r="35" spans="1:24">
      <c r="A35" t="s">
        <v>78</v>
      </c>
      <c r="B35" s="245">
        <v>231.49231706266593</v>
      </c>
      <c r="D35" t="s">
        <v>37</v>
      </c>
      <c r="E35" t="s">
        <v>43</v>
      </c>
      <c r="F35" t="s">
        <v>44</v>
      </c>
      <c r="G35" t="s">
        <v>29</v>
      </c>
      <c r="H35" t="s">
        <v>45</v>
      </c>
      <c r="I35">
        <v>2</v>
      </c>
      <c r="J35">
        <f t="shared" si="0"/>
        <v>5.4445466853412947</v>
      </c>
      <c r="K35">
        <v>0.28635642126552707</v>
      </c>
      <c r="L35" t="s">
        <v>31</v>
      </c>
      <c r="M35" t="s">
        <v>31</v>
      </c>
      <c r="N35" t="s">
        <v>31</v>
      </c>
      <c r="Q35" t="s">
        <v>268</v>
      </c>
    </row>
    <row r="36" spans="1:24" s="73" customFormat="1">
      <c r="A36" s="229" t="s">
        <v>5</v>
      </c>
      <c r="B36" s="229" t="s">
        <v>429</v>
      </c>
      <c r="C36" s="229"/>
      <c r="D36" s="74"/>
      <c r="Q36" s="73" t="s">
        <v>268</v>
      </c>
      <c r="S36" s="230"/>
      <c r="T36" s="230"/>
      <c r="U36" s="230"/>
      <c r="V36" s="230"/>
      <c r="W36" s="230"/>
      <c r="X36" s="230"/>
    </row>
    <row r="37" spans="1:24">
      <c r="A37" t="s">
        <v>7</v>
      </c>
      <c r="B37" t="s">
        <v>263</v>
      </c>
      <c r="Q37" t="s">
        <v>268</v>
      </c>
    </row>
    <row r="38" spans="1:24">
      <c r="A38" t="s">
        <v>9</v>
      </c>
      <c r="B38" s="231" t="s">
        <v>441</v>
      </c>
      <c r="C38" s="22"/>
      <c r="Q38" t="s">
        <v>268</v>
      </c>
    </row>
    <row r="39" spans="1:24">
      <c r="A39" t="s">
        <v>11</v>
      </c>
      <c r="B39" t="s">
        <v>442</v>
      </c>
      <c r="Q39" t="s">
        <v>268</v>
      </c>
    </row>
    <row r="40" spans="1:24">
      <c r="A40" t="s">
        <v>13</v>
      </c>
      <c r="B40" t="s">
        <v>59</v>
      </c>
      <c r="Q40" t="s">
        <v>268</v>
      </c>
    </row>
    <row r="41" spans="1:24">
      <c r="A41" t="s">
        <v>15</v>
      </c>
      <c r="B41">
        <v>1</v>
      </c>
      <c r="Q41" t="s">
        <v>268</v>
      </c>
    </row>
    <row r="42" spans="1:24">
      <c r="A42" t="s">
        <v>16</v>
      </c>
      <c r="B42" t="s">
        <v>17</v>
      </c>
      <c r="Q42" t="s">
        <v>268</v>
      </c>
    </row>
    <row r="43" spans="1:24">
      <c r="A43" t="s">
        <v>18</v>
      </c>
      <c r="B43" t="s">
        <v>18</v>
      </c>
      <c r="E43" t="s">
        <v>185</v>
      </c>
      <c r="Q43" t="s">
        <v>268</v>
      </c>
    </row>
    <row r="44" spans="1:24">
      <c r="A44" s="143" t="s">
        <v>19</v>
      </c>
      <c r="Q44" t="s">
        <v>268</v>
      </c>
    </row>
    <row r="45" spans="1:24">
      <c r="A45" s="143" t="s">
        <v>20</v>
      </c>
      <c r="B45" s="143" t="s">
        <v>21</v>
      </c>
      <c r="C45" s="143" t="s">
        <v>186</v>
      </c>
      <c r="D45" s="143" t="s">
        <v>18</v>
      </c>
      <c r="E45" s="143" t="s">
        <v>22</v>
      </c>
      <c r="F45" s="143" t="s">
        <v>7</v>
      </c>
      <c r="G45" s="143" t="s">
        <v>13</v>
      </c>
      <c r="H45" s="143" t="s">
        <v>16</v>
      </c>
      <c r="I45" s="143" t="s">
        <v>23</v>
      </c>
      <c r="J45" s="143" t="s">
        <v>24</v>
      </c>
      <c r="K45" s="143" t="s">
        <v>25</v>
      </c>
      <c r="L45" s="143" t="s">
        <v>26</v>
      </c>
      <c r="M45" s="143" t="s">
        <v>27</v>
      </c>
      <c r="N45" s="143" t="s">
        <v>28</v>
      </c>
      <c r="O45" s="143" t="s">
        <v>11</v>
      </c>
      <c r="P45" s="177" t="s">
        <v>428</v>
      </c>
      <c r="Q45" t="s">
        <v>268</v>
      </c>
    </row>
    <row r="46" spans="1:24">
      <c r="A46" t="str">
        <f>B36</f>
        <v>Production of Gearbox, EM</v>
      </c>
      <c r="B46">
        <v>1</v>
      </c>
      <c r="D46" t="s">
        <v>18</v>
      </c>
      <c r="E46" t="s">
        <v>2</v>
      </c>
      <c r="F46" t="s">
        <v>29</v>
      </c>
      <c r="G46" s="228" t="s">
        <v>59</v>
      </c>
      <c r="H46" t="s">
        <v>30</v>
      </c>
      <c r="I46">
        <v>1</v>
      </c>
      <c r="J46">
        <v>1</v>
      </c>
      <c r="K46" t="s">
        <v>31</v>
      </c>
      <c r="L46" t="s">
        <v>31</v>
      </c>
      <c r="M46" t="s">
        <v>31</v>
      </c>
      <c r="N46" t="s">
        <v>31</v>
      </c>
      <c r="P46" s="22"/>
      <c r="Q46" t="s">
        <v>268</v>
      </c>
    </row>
    <row r="47" spans="1:24">
      <c r="A47" s="246" t="s">
        <v>134</v>
      </c>
      <c r="B47" s="228">
        <f>23.33865*8</f>
        <v>186.70920000000001</v>
      </c>
      <c r="C47" s="228"/>
      <c r="D47" s="228" t="s">
        <v>37</v>
      </c>
      <c r="E47" s="228" t="s">
        <v>40</v>
      </c>
      <c r="F47" s="228" t="s">
        <v>29</v>
      </c>
      <c r="G47" s="228" t="s">
        <v>59</v>
      </c>
      <c r="H47" s="228" t="s">
        <v>33</v>
      </c>
      <c r="I47" s="228">
        <v>2</v>
      </c>
      <c r="J47" s="228">
        <f t="shared" ref="J47:J66" si="2">LN(B47)</f>
        <v>5.229552326248446</v>
      </c>
      <c r="K47" s="228">
        <v>0.30331501776206199</v>
      </c>
      <c r="L47" s="228" t="s">
        <v>31</v>
      </c>
      <c r="M47" s="228" t="s">
        <v>31</v>
      </c>
      <c r="N47" s="228" t="s">
        <v>31</v>
      </c>
      <c r="O47" s="228" t="s">
        <v>443</v>
      </c>
      <c r="P47" s="22" t="s">
        <v>444</v>
      </c>
      <c r="Q47" t="s">
        <v>268</v>
      </c>
    </row>
    <row r="48" spans="1:24">
      <c r="A48" s="246" t="s">
        <v>85</v>
      </c>
      <c r="B48" s="228">
        <f>7.77955*1.2</f>
        <v>9.3354599999999994</v>
      </c>
      <c r="C48" s="228"/>
      <c r="D48" s="228" t="s">
        <v>37</v>
      </c>
      <c r="E48" s="228" t="s">
        <v>40</v>
      </c>
      <c r="F48" s="228" t="s">
        <v>29</v>
      </c>
      <c r="G48" s="228" t="s">
        <v>59</v>
      </c>
      <c r="H48" s="228" t="s">
        <v>33</v>
      </c>
      <c r="I48" s="228">
        <v>2</v>
      </c>
      <c r="J48" s="228">
        <f t="shared" si="2"/>
        <v>2.2338200526944552</v>
      </c>
      <c r="K48" s="228">
        <v>0.30331501776206199</v>
      </c>
      <c r="L48" s="228" t="s">
        <v>31</v>
      </c>
      <c r="M48" s="228" t="s">
        <v>31</v>
      </c>
      <c r="N48" s="228" t="s">
        <v>31</v>
      </c>
      <c r="O48" s="228" t="s">
        <v>443</v>
      </c>
      <c r="P48" s="22" t="s">
        <v>445</v>
      </c>
      <c r="Q48" t="s">
        <v>268</v>
      </c>
    </row>
    <row r="49" spans="1:24">
      <c r="A49" s="247" t="s">
        <v>135</v>
      </c>
      <c r="B49" s="248">
        <f>B47*(1-1/8)</f>
        <v>163.37055000000001</v>
      </c>
      <c r="C49" s="248"/>
      <c r="D49" s="248" t="s">
        <v>37</v>
      </c>
      <c r="E49" s="248" t="s">
        <v>40</v>
      </c>
      <c r="F49" s="248" t="s">
        <v>29</v>
      </c>
      <c r="G49" s="248" t="s">
        <v>82</v>
      </c>
      <c r="H49" s="248" t="s">
        <v>33</v>
      </c>
      <c r="I49" s="248">
        <v>2</v>
      </c>
      <c r="J49" s="248">
        <f t="shared" si="2"/>
        <v>5.0960209336239233</v>
      </c>
      <c r="K49" s="248">
        <v>0.30331501776206199</v>
      </c>
      <c r="L49" s="248" t="s">
        <v>31</v>
      </c>
      <c r="M49" s="248" t="s">
        <v>31</v>
      </c>
      <c r="N49" s="248" t="s">
        <v>31</v>
      </c>
      <c r="O49" s="248" t="s">
        <v>266</v>
      </c>
      <c r="P49" s="249" t="s">
        <v>446</v>
      </c>
      <c r="Q49" t="s">
        <v>268</v>
      </c>
    </row>
    <row r="50" spans="1:24">
      <c r="A50" s="250" t="s">
        <v>134</v>
      </c>
      <c r="B50" s="251">
        <f>B47*(1-1/8)</f>
        <v>163.37055000000001</v>
      </c>
      <c r="C50" s="251"/>
      <c r="D50" s="251" t="s">
        <v>37</v>
      </c>
      <c r="E50" s="251" t="s">
        <v>40</v>
      </c>
      <c r="F50" s="251" t="s">
        <v>29</v>
      </c>
      <c r="G50" s="251" t="s">
        <v>59</v>
      </c>
      <c r="H50" s="251" t="s">
        <v>136</v>
      </c>
      <c r="I50" s="251">
        <v>2</v>
      </c>
      <c r="J50" s="251">
        <f t="shared" si="2"/>
        <v>5.0960209336239233</v>
      </c>
      <c r="K50" s="251">
        <v>0.30331501776206199</v>
      </c>
      <c r="L50" s="251" t="s">
        <v>31</v>
      </c>
      <c r="M50" s="251" t="s">
        <v>31</v>
      </c>
      <c r="N50" s="251" t="s">
        <v>31</v>
      </c>
      <c r="O50" s="251" t="s">
        <v>266</v>
      </c>
      <c r="P50" s="252" t="s">
        <v>447</v>
      </c>
      <c r="Q50" t="s">
        <v>268</v>
      </c>
    </row>
    <row r="51" spans="1:24">
      <c r="A51" s="247" t="s">
        <v>201</v>
      </c>
      <c r="B51" s="248">
        <f>B48*(1-1/1.2)</f>
        <v>1.5559099999999995</v>
      </c>
      <c r="C51" s="248"/>
      <c r="D51" s="248" t="s">
        <v>37</v>
      </c>
      <c r="E51" s="248" t="s">
        <v>40</v>
      </c>
      <c r="F51" s="248" t="s">
        <v>29</v>
      </c>
      <c r="G51" s="248" t="s">
        <v>82</v>
      </c>
      <c r="H51" s="248" t="s">
        <v>33</v>
      </c>
      <c r="I51" s="248">
        <v>2</v>
      </c>
      <c r="J51" s="248">
        <f t="shared" si="2"/>
        <v>0.44206058346639993</v>
      </c>
      <c r="K51" s="248">
        <v>0.30331501776206199</v>
      </c>
      <c r="L51" s="248" t="s">
        <v>31</v>
      </c>
      <c r="M51" s="248" t="s">
        <v>31</v>
      </c>
      <c r="N51" s="248" t="s">
        <v>31</v>
      </c>
      <c r="O51" s="248" t="s">
        <v>266</v>
      </c>
      <c r="P51" s="249" t="s">
        <v>448</v>
      </c>
      <c r="Q51" t="s">
        <v>268</v>
      </c>
    </row>
    <row r="52" spans="1:24">
      <c r="A52" s="253" t="s">
        <v>202</v>
      </c>
      <c r="B52" s="227">
        <f>B48*(1-1/1.2)</f>
        <v>1.5559099999999995</v>
      </c>
      <c r="C52" s="58" t="s">
        <v>203</v>
      </c>
      <c r="D52" s="227" t="s">
        <v>37</v>
      </c>
      <c r="E52" s="227" t="s">
        <v>40</v>
      </c>
      <c r="F52" s="227" t="s">
        <v>29</v>
      </c>
      <c r="G52" s="227" t="s">
        <v>82</v>
      </c>
      <c r="H52" s="227" t="s">
        <v>33</v>
      </c>
      <c r="I52" s="227">
        <v>2</v>
      </c>
      <c r="J52" s="227">
        <f t="shared" si="2"/>
        <v>0.44206058346639993</v>
      </c>
      <c r="K52" s="227">
        <v>0.30331501776206199</v>
      </c>
      <c r="L52" s="227" t="s">
        <v>31</v>
      </c>
      <c r="M52" s="227" t="s">
        <v>31</v>
      </c>
      <c r="N52" s="227" t="s">
        <v>31</v>
      </c>
      <c r="O52" s="227" t="s">
        <v>266</v>
      </c>
      <c r="P52" s="254" t="s">
        <v>448</v>
      </c>
      <c r="Q52" t="s">
        <v>268</v>
      </c>
    </row>
    <row r="53" spans="1:24">
      <c r="A53" s="250" t="s">
        <v>85</v>
      </c>
      <c r="B53" s="251">
        <f>B48*(1-1/1.2)</f>
        <v>1.5559099999999995</v>
      </c>
      <c r="C53" s="251"/>
      <c r="D53" s="251" t="s">
        <v>37</v>
      </c>
      <c r="E53" s="251" t="s">
        <v>40</v>
      </c>
      <c r="F53" s="251" t="s">
        <v>29</v>
      </c>
      <c r="G53" s="251" t="s">
        <v>59</v>
      </c>
      <c r="H53" s="251" t="s">
        <v>136</v>
      </c>
      <c r="I53" s="251">
        <v>2</v>
      </c>
      <c r="J53" s="251">
        <f t="shared" si="2"/>
        <v>0.44206058346639993</v>
      </c>
      <c r="K53" s="251">
        <v>0.30331501776206199</v>
      </c>
      <c r="L53" s="251" t="s">
        <v>31</v>
      </c>
      <c r="M53" s="251" t="s">
        <v>31</v>
      </c>
      <c r="N53" s="251" t="s">
        <v>31</v>
      </c>
      <c r="O53" s="251" t="s">
        <v>266</v>
      </c>
      <c r="P53" s="252" t="s">
        <v>449</v>
      </c>
      <c r="Q53" t="s">
        <v>268</v>
      </c>
      <c r="S53" s="177" t="s">
        <v>450</v>
      </c>
    </row>
    <row r="54" spans="1:24">
      <c r="A54" t="s">
        <v>265</v>
      </c>
      <c r="B54" s="238">
        <f>S54</f>
        <v>1245.408823442667</v>
      </c>
      <c r="C54" s="239"/>
      <c r="D54" t="s">
        <v>39</v>
      </c>
      <c r="E54" t="s">
        <v>40</v>
      </c>
      <c r="F54" t="s">
        <v>29</v>
      </c>
      <c r="G54" t="s">
        <v>59</v>
      </c>
      <c r="H54" t="s">
        <v>33</v>
      </c>
      <c r="I54">
        <v>2</v>
      </c>
      <c r="J54">
        <f t="shared" si="2"/>
        <v>7.1272191272395489</v>
      </c>
      <c r="K54">
        <v>0.28635642126552707</v>
      </c>
      <c r="L54" t="s">
        <v>31</v>
      </c>
      <c r="M54" t="s">
        <v>31</v>
      </c>
      <c r="N54" t="s">
        <v>31</v>
      </c>
      <c r="P54" s="22"/>
      <c r="Q54" t="s">
        <v>268</v>
      </c>
      <c r="S54" s="22">
        <v>1245.408823442667</v>
      </c>
    </row>
    <row r="55" spans="1:24">
      <c r="A55" s="22" t="s">
        <v>69</v>
      </c>
      <c r="B55" s="240">
        <f>W55</f>
        <v>117.71269238227795</v>
      </c>
      <c r="C55" s="239"/>
      <c r="D55" s="22" t="s">
        <v>42</v>
      </c>
      <c r="E55" s="22" t="s">
        <v>40</v>
      </c>
      <c r="F55" s="22" t="s">
        <v>29</v>
      </c>
      <c r="G55" s="22" t="s">
        <v>272</v>
      </c>
      <c r="H55" s="22" t="s">
        <v>33</v>
      </c>
      <c r="I55">
        <v>2</v>
      </c>
      <c r="J55">
        <f t="shared" si="2"/>
        <v>4.7682468451751072</v>
      </c>
      <c r="K55">
        <v>0.28635642126552707</v>
      </c>
      <c r="L55" t="s">
        <v>31</v>
      </c>
      <c r="M55" t="s">
        <v>31</v>
      </c>
      <c r="N55" t="s">
        <v>31</v>
      </c>
      <c r="P55" s="22"/>
      <c r="Q55" t="s">
        <v>268</v>
      </c>
      <c r="R55" s="22"/>
      <c r="S55" s="232">
        <v>1252.3332569328165</v>
      </c>
      <c r="T55" s="22" t="s">
        <v>271</v>
      </c>
      <c r="U55" s="22">
        <f>S55/0.277778</f>
        <v>4508.3961182412449</v>
      </c>
      <c r="V55" s="22" t="s">
        <v>270</v>
      </c>
      <c r="W55" s="22">
        <f>U55/38.3</f>
        <v>117.71269238227795</v>
      </c>
      <c r="X55" s="22" t="s">
        <v>274</v>
      </c>
    </row>
    <row r="56" spans="1:24">
      <c r="A56" s="58" t="s">
        <v>70</v>
      </c>
      <c r="B56" s="241">
        <f>U56</f>
        <v>562.65923118650608</v>
      </c>
      <c r="C56" s="22"/>
      <c r="D56" s="22" t="s">
        <v>71</v>
      </c>
      <c r="E56" s="22" t="s">
        <v>40</v>
      </c>
      <c r="F56" s="22" t="s">
        <v>29</v>
      </c>
      <c r="G56" s="22" t="s">
        <v>59</v>
      </c>
      <c r="H56" s="22" t="s">
        <v>33</v>
      </c>
      <c r="I56">
        <v>2</v>
      </c>
      <c r="J56">
        <f t="shared" si="2"/>
        <v>6.3326741716845527</v>
      </c>
      <c r="K56">
        <v>0.28635642126552707</v>
      </c>
      <c r="L56" t="s">
        <v>31</v>
      </c>
      <c r="M56" t="s">
        <v>31</v>
      </c>
      <c r="N56" t="s">
        <v>31</v>
      </c>
      <c r="P56" s="22"/>
      <c r="Q56" t="s">
        <v>268</v>
      </c>
      <c r="R56" s="58"/>
      <c r="S56" s="232">
        <v>156.29435592052531</v>
      </c>
      <c r="T56" s="22" t="s">
        <v>271</v>
      </c>
      <c r="U56" s="22">
        <f>S56/0.277778</f>
        <v>562.65923118650608</v>
      </c>
      <c r="V56" s="22" t="s">
        <v>270</v>
      </c>
    </row>
    <row r="57" spans="1:24">
      <c r="A57" s="58" t="s">
        <v>438</v>
      </c>
      <c r="B57" s="240">
        <f>W57</f>
        <v>26.629018202910196</v>
      </c>
      <c r="C57" s="239"/>
      <c r="D57" s="22" t="s">
        <v>37</v>
      </c>
      <c r="E57" s="22" t="s">
        <v>40</v>
      </c>
      <c r="F57" s="22" t="s">
        <v>29</v>
      </c>
      <c r="G57" s="22" t="s">
        <v>59</v>
      </c>
      <c r="H57" s="22" t="s">
        <v>33</v>
      </c>
      <c r="I57">
        <v>2</v>
      </c>
      <c r="J57">
        <f t="shared" si="2"/>
        <v>3.2820015310617126</v>
      </c>
      <c r="K57">
        <v>0.28635642126552707</v>
      </c>
      <c r="L57" t="s">
        <v>31</v>
      </c>
      <c r="M57" t="s">
        <v>31</v>
      </c>
      <c r="N57" t="s">
        <v>31</v>
      </c>
      <c r="P57" s="22"/>
      <c r="Q57" t="s">
        <v>268</v>
      </c>
      <c r="R57" s="58"/>
      <c r="S57" s="232">
        <v>331.3836027428859</v>
      </c>
      <c r="T57" s="22" t="s">
        <v>271</v>
      </c>
      <c r="U57" s="22">
        <f>S57/0.277778</f>
        <v>1192.9800154903767</v>
      </c>
      <c r="V57" s="22" t="s">
        <v>270</v>
      </c>
      <c r="W57" s="22">
        <f>U57/44.8</f>
        <v>26.629018202910196</v>
      </c>
      <c r="X57" s="22" t="s">
        <v>275</v>
      </c>
    </row>
    <row r="58" spans="1:24">
      <c r="A58" s="58" t="s">
        <v>73</v>
      </c>
      <c r="B58" s="240">
        <f t="shared" ref="B58" si="3">W58</f>
        <v>52.569126482163014</v>
      </c>
      <c r="C58" s="239"/>
      <c r="D58" s="22" t="s">
        <v>37</v>
      </c>
      <c r="E58" s="22" t="s">
        <v>40</v>
      </c>
      <c r="F58" s="22" t="s">
        <v>29</v>
      </c>
      <c r="G58" s="22" t="s">
        <v>82</v>
      </c>
      <c r="H58" s="22" t="s">
        <v>33</v>
      </c>
      <c r="I58">
        <v>2</v>
      </c>
      <c r="J58">
        <f t="shared" si="2"/>
        <v>3.9621289984133545</v>
      </c>
      <c r="K58">
        <v>0.28635642126552707</v>
      </c>
      <c r="L58" t="s">
        <v>31</v>
      </c>
      <c r="M58" t="s">
        <v>31</v>
      </c>
      <c r="N58" t="s">
        <v>31</v>
      </c>
      <c r="P58" s="22"/>
      <c r="Q58" t="s">
        <v>268</v>
      </c>
      <c r="R58" s="58"/>
      <c r="S58" s="232">
        <v>674.63766289745729</v>
      </c>
      <c r="T58" s="22" t="s">
        <v>271</v>
      </c>
      <c r="U58" s="22">
        <f>S58/0.277778</f>
        <v>2428.6936434759314</v>
      </c>
      <c r="V58" s="22" t="s">
        <v>270</v>
      </c>
      <c r="W58" s="22">
        <f>U58/46.2</f>
        <v>52.569126482163014</v>
      </c>
      <c r="X58" s="22" t="s">
        <v>275</v>
      </c>
    </row>
    <row r="59" spans="1:24" s="90" customFormat="1">
      <c r="A59" s="22" t="s">
        <v>409</v>
      </c>
      <c r="B59" s="240">
        <f>W59</f>
        <v>0.32373948859983093</v>
      </c>
      <c r="C59" s="232"/>
      <c r="D59" s="22" t="s">
        <v>37</v>
      </c>
      <c r="E59" s="22" t="s">
        <v>2</v>
      </c>
      <c r="F59" s="22" t="s">
        <v>410</v>
      </c>
      <c r="G59" s="22" t="s">
        <v>59</v>
      </c>
      <c r="H59" s="22" t="s">
        <v>33</v>
      </c>
      <c r="I59" s="22">
        <v>2</v>
      </c>
      <c r="J59" s="22">
        <f t="shared" si="2"/>
        <v>-1.1278161341407849</v>
      </c>
      <c r="K59" s="22">
        <v>0.28635642126552707</v>
      </c>
      <c r="L59" s="22" t="s">
        <v>31</v>
      </c>
      <c r="M59" s="22" t="s">
        <v>31</v>
      </c>
      <c r="N59" s="22" t="s">
        <v>31</v>
      </c>
      <c r="O59" s="22"/>
      <c r="P59" s="22"/>
      <c r="Q59" t="s">
        <v>268</v>
      </c>
      <c r="R59" s="242"/>
      <c r="S59" s="232">
        <v>3.9568191372284889</v>
      </c>
      <c r="T59" s="22" t="s">
        <v>271</v>
      </c>
      <c r="U59" s="22">
        <f>S59/0.277778</f>
        <v>14.24453749839256</v>
      </c>
      <c r="V59" s="22" t="s">
        <v>270</v>
      </c>
      <c r="W59" s="22">
        <f>U59/44</f>
        <v>0.32373948859983093</v>
      </c>
      <c r="X59" s="22" t="s">
        <v>275</v>
      </c>
    </row>
    <row r="60" spans="1:24">
      <c r="A60" t="s">
        <v>75</v>
      </c>
      <c r="B60" s="239">
        <f>3.04535595692006*997.42788</f>
        <v>3037.5229359561467</v>
      </c>
      <c r="C60" s="239"/>
      <c r="D60" t="s">
        <v>37</v>
      </c>
      <c r="E60" t="s">
        <v>40</v>
      </c>
      <c r="F60" t="s">
        <v>29</v>
      </c>
      <c r="G60" t="s">
        <v>59</v>
      </c>
      <c r="H60" t="s">
        <v>33</v>
      </c>
      <c r="I60">
        <v>2</v>
      </c>
      <c r="J60">
        <f t="shared" si="2"/>
        <v>8.0187976385523605</v>
      </c>
      <c r="K60">
        <v>0.28635642126552707</v>
      </c>
      <c r="L60" t="s">
        <v>31</v>
      </c>
      <c r="M60" t="s">
        <v>31</v>
      </c>
      <c r="N60" t="s">
        <v>31</v>
      </c>
      <c r="O60" t="s">
        <v>439</v>
      </c>
      <c r="P60" s="22"/>
      <c r="Q60" t="s">
        <v>268</v>
      </c>
    </row>
    <row r="61" spans="1:24">
      <c r="A61" s="68" t="s">
        <v>76</v>
      </c>
      <c r="B61" s="239">
        <v>2.8397576561401023</v>
      </c>
      <c r="C61" s="239"/>
      <c r="D61" s="22" t="s">
        <v>42</v>
      </c>
      <c r="E61" s="22" t="s">
        <v>40</v>
      </c>
      <c r="F61" s="22" t="s">
        <v>29</v>
      </c>
      <c r="G61" s="205" t="s">
        <v>82</v>
      </c>
      <c r="H61" s="22" t="s">
        <v>33</v>
      </c>
      <c r="I61">
        <v>2</v>
      </c>
      <c r="J61">
        <f t="shared" si="2"/>
        <v>1.0437187161870687</v>
      </c>
      <c r="K61">
        <v>0.28635642126552707</v>
      </c>
      <c r="L61" t="s">
        <v>31</v>
      </c>
      <c r="M61" t="s">
        <v>31</v>
      </c>
      <c r="N61" t="s">
        <v>31</v>
      </c>
      <c r="P61" s="22"/>
      <c r="Q61" t="s">
        <v>268</v>
      </c>
    </row>
    <row r="62" spans="1:24">
      <c r="A62" t="s">
        <v>81</v>
      </c>
      <c r="B62" s="239">
        <v>68.908005274834125</v>
      </c>
      <c r="C62" s="239"/>
      <c r="D62" t="s">
        <v>37</v>
      </c>
      <c r="E62" t="s">
        <v>40</v>
      </c>
      <c r="F62" t="s">
        <v>29</v>
      </c>
      <c r="G62" t="s">
        <v>82</v>
      </c>
      <c r="H62" t="s">
        <v>33</v>
      </c>
      <c r="I62">
        <v>2</v>
      </c>
      <c r="J62">
        <f t="shared" si="2"/>
        <v>4.2327723581330563</v>
      </c>
      <c r="K62">
        <v>0.28635642126552707</v>
      </c>
      <c r="L62" t="s">
        <v>31</v>
      </c>
      <c r="M62" t="s">
        <v>31</v>
      </c>
      <c r="N62" t="s">
        <v>31</v>
      </c>
      <c r="P62" s="22"/>
      <c r="Q62" t="s">
        <v>268</v>
      </c>
    </row>
    <row r="63" spans="1:24">
      <c r="A63" t="s">
        <v>77</v>
      </c>
      <c r="B63" s="239">
        <v>1294.6009881614755</v>
      </c>
      <c r="C63" s="239"/>
      <c r="D63" t="s">
        <v>37</v>
      </c>
      <c r="E63" t="s">
        <v>43</v>
      </c>
      <c r="F63" t="s">
        <v>44</v>
      </c>
      <c r="G63" t="s">
        <v>29</v>
      </c>
      <c r="H63" t="s">
        <v>45</v>
      </c>
      <c r="I63">
        <v>2</v>
      </c>
      <c r="J63">
        <f t="shared" si="2"/>
        <v>7.1659578094059393</v>
      </c>
      <c r="K63">
        <v>0.28635642126552707</v>
      </c>
      <c r="L63" t="s">
        <v>31</v>
      </c>
      <c r="M63" t="s">
        <v>31</v>
      </c>
      <c r="N63" t="s">
        <v>31</v>
      </c>
      <c r="P63" s="22"/>
      <c r="Q63" t="s">
        <v>268</v>
      </c>
    </row>
    <row r="64" spans="1:24">
      <c r="A64" t="s">
        <v>79</v>
      </c>
      <c r="B64" s="239">
        <v>1.3848866980299711E-2</v>
      </c>
      <c r="C64" s="239"/>
      <c r="D64" t="s">
        <v>37</v>
      </c>
      <c r="E64" t="s">
        <v>43</v>
      </c>
      <c r="F64" t="s">
        <v>44</v>
      </c>
      <c r="G64" t="s">
        <v>29</v>
      </c>
      <c r="H64" t="s">
        <v>45</v>
      </c>
      <c r="I64">
        <v>2</v>
      </c>
      <c r="J64">
        <f t="shared" si="2"/>
        <v>-4.2795518561716772</v>
      </c>
      <c r="K64">
        <v>0.28635642126552707</v>
      </c>
      <c r="L64" t="s">
        <v>31</v>
      </c>
      <c r="M64" t="s">
        <v>31</v>
      </c>
      <c r="N64" t="s">
        <v>31</v>
      </c>
      <c r="P64" s="22"/>
      <c r="Q64" t="s">
        <v>268</v>
      </c>
    </row>
    <row r="65" spans="1:24">
      <c r="A65" t="s">
        <v>80</v>
      </c>
      <c r="B65">
        <v>0.21960346211618112</v>
      </c>
      <c r="D65" t="s">
        <v>37</v>
      </c>
      <c r="E65" t="s">
        <v>43</v>
      </c>
      <c r="F65" t="s">
        <v>44</v>
      </c>
      <c r="G65" t="s">
        <v>29</v>
      </c>
      <c r="H65" t="s">
        <v>45</v>
      </c>
      <c r="I65">
        <v>2</v>
      </c>
      <c r="J65">
        <f t="shared" si="2"/>
        <v>-1.5159318039146563</v>
      </c>
      <c r="K65">
        <v>0.28635642126552707</v>
      </c>
      <c r="L65" t="s">
        <v>31</v>
      </c>
      <c r="M65" t="s">
        <v>31</v>
      </c>
      <c r="N65" t="s">
        <v>31</v>
      </c>
      <c r="P65" s="22"/>
      <c r="Q65" t="s">
        <v>268</v>
      </c>
    </row>
    <row r="66" spans="1:24">
      <c r="A66" t="s">
        <v>78</v>
      </c>
      <c r="B66">
        <v>1.0396542283067853</v>
      </c>
      <c r="D66" t="s">
        <v>37</v>
      </c>
      <c r="E66" t="s">
        <v>43</v>
      </c>
      <c r="F66" t="s">
        <v>44</v>
      </c>
      <c r="G66" t="s">
        <v>29</v>
      </c>
      <c r="H66" t="s">
        <v>45</v>
      </c>
      <c r="I66">
        <v>2</v>
      </c>
      <c r="J66">
        <f t="shared" si="2"/>
        <v>3.888818509001539E-2</v>
      </c>
      <c r="K66">
        <v>0.28635642126552702</v>
      </c>
      <c r="L66" t="s">
        <v>31</v>
      </c>
      <c r="M66" t="s">
        <v>31</v>
      </c>
      <c r="N66" t="s">
        <v>31</v>
      </c>
      <c r="P66" s="22"/>
      <c r="Q66" t="s">
        <v>268</v>
      </c>
    </row>
    <row r="67" spans="1:24" s="73" customFormat="1">
      <c r="A67" s="229" t="s">
        <v>5</v>
      </c>
      <c r="B67" s="229" t="s">
        <v>431</v>
      </c>
      <c r="C67" s="229"/>
      <c r="D67" s="74"/>
      <c r="Q67" s="73" t="s">
        <v>268</v>
      </c>
      <c r="S67" s="230"/>
      <c r="T67" s="230"/>
      <c r="U67" s="230"/>
      <c r="V67" s="230"/>
      <c r="W67" s="230"/>
      <c r="X67" s="230"/>
    </row>
    <row r="68" spans="1:24">
      <c r="A68" t="s">
        <v>7</v>
      </c>
      <c r="B68" t="s">
        <v>263</v>
      </c>
      <c r="Q68" t="s">
        <v>268</v>
      </c>
    </row>
    <row r="69" spans="1:24">
      <c r="A69" t="s">
        <v>9</v>
      </c>
      <c r="B69" s="231" t="s">
        <v>451</v>
      </c>
      <c r="C69" s="22"/>
      <c r="Q69" t="s">
        <v>268</v>
      </c>
    </row>
    <row r="70" spans="1:24">
      <c r="A70" t="s">
        <v>11</v>
      </c>
      <c r="B70" t="s">
        <v>452</v>
      </c>
      <c r="Q70" t="s">
        <v>268</v>
      </c>
    </row>
    <row r="71" spans="1:24">
      <c r="A71" t="s">
        <v>13</v>
      </c>
      <c r="B71" t="s">
        <v>59</v>
      </c>
      <c r="Q71" t="s">
        <v>268</v>
      </c>
    </row>
    <row r="72" spans="1:24">
      <c r="A72" t="s">
        <v>15</v>
      </c>
      <c r="B72">
        <v>1</v>
      </c>
      <c r="Q72" t="s">
        <v>268</v>
      </c>
    </row>
    <row r="73" spans="1:24">
      <c r="A73" t="s">
        <v>16</v>
      </c>
      <c r="B73" t="s">
        <v>17</v>
      </c>
      <c r="Q73" t="s">
        <v>268</v>
      </c>
    </row>
    <row r="74" spans="1:24">
      <c r="A74" t="s">
        <v>18</v>
      </c>
      <c r="B74" t="s">
        <v>18</v>
      </c>
      <c r="E74" t="s">
        <v>185</v>
      </c>
      <c r="Q74" t="s">
        <v>268</v>
      </c>
    </row>
    <row r="75" spans="1:24">
      <c r="A75" s="143" t="s">
        <v>19</v>
      </c>
      <c r="Q75" t="s">
        <v>268</v>
      </c>
    </row>
    <row r="76" spans="1:24">
      <c r="A76" s="143" t="s">
        <v>20</v>
      </c>
      <c r="B76" s="143" t="s">
        <v>21</v>
      </c>
      <c r="C76" s="143" t="s">
        <v>186</v>
      </c>
      <c r="D76" s="143" t="s">
        <v>18</v>
      </c>
      <c r="E76" s="143" t="s">
        <v>22</v>
      </c>
      <c r="F76" s="143" t="s">
        <v>7</v>
      </c>
      <c r="G76" s="143" t="s">
        <v>13</v>
      </c>
      <c r="H76" s="143" t="s">
        <v>16</v>
      </c>
      <c r="I76" s="143" t="s">
        <v>23</v>
      </c>
      <c r="J76" s="143" t="s">
        <v>24</v>
      </c>
      <c r="K76" s="143" t="s">
        <v>25</v>
      </c>
      <c r="L76" s="143" t="s">
        <v>26</v>
      </c>
      <c r="M76" s="143" t="s">
        <v>27</v>
      </c>
      <c r="N76" s="143" t="s">
        <v>28</v>
      </c>
      <c r="O76" s="143" t="s">
        <v>11</v>
      </c>
      <c r="P76" s="177" t="s">
        <v>428</v>
      </c>
      <c r="Q76" t="s">
        <v>268</v>
      </c>
    </row>
    <row r="77" spans="1:24">
      <c r="A77" s="24" t="str">
        <f>B67</f>
        <v>Production of Propellers, EM</v>
      </c>
      <c r="B77" s="255">
        <v>1</v>
      </c>
      <c r="C77" s="255"/>
      <c r="D77" t="s">
        <v>18</v>
      </c>
      <c r="E77" t="s">
        <v>2</v>
      </c>
      <c r="F77" t="s">
        <v>29</v>
      </c>
      <c r="G77" s="228" t="s">
        <v>59</v>
      </c>
      <c r="H77" t="s">
        <v>30</v>
      </c>
      <c r="I77">
        <v>1</v>
      </c>
      <c r="J77">
        <v>1</v>
      </c>
      <c r="K77" t="s">
        <v>31</v>
      </c>
      <c r="L77" t="s">
        <v>31</v>
      </c>
      <c r="M77" t="s">
        <v>31</v>
      </c>
      <c r="N77" t="s">
        <v>31</v>
      </c>
      <c r="Q77" t="s">
        <v>268</v>
      </c>
    </row>
    <row r="78" spans="1:24">
      <c r="A78" s="246" t="s">
        <v>97</v>
      </c>
      <c r="B78" s="256">
        <f>51.7554281277623*1.5*0.2</f>
        <v>15.526628438328693</v>
      </c>
      <c r="C78" s="257"/>
      <c r="D78" s="228" t="s">
        <v>37</v>
      </c>
      <c r="E78" s="228" t="s">
        <v>40</v>
      </c>
      <c r="F78" s="228" t="s">
        <v>29</v>
      </c>
      <c r="G78" s="228" t="s">
        <v>59</v>
      </c>
      <c r="H78" s="228" t="s">
        <v>33</v>
      </c>
      <c r="I78" s="228">
        <v>2</v>
      </c>
      <c r="J78" s="228">
        <f t="shared" ref="J78:J99" si="4">LN(B78)</f>
        <v>2.7425565136765546</v>
      </c>
      <c r="K78" s="228">
        <v>0.30331501776206199</v>
      </c>
      <c r="L78" s="228" t="s">
        <v>31</v>
      </c>
      <c r="M78" s="228" t="s">
        <v>31</v>
      </c>
      <c r="N78" s="228" t="s">
        <v>31</v>
      </c>
      <c r="O78" s="228" t="s">
        <v>443</v>
      </c>
      <c r="P78" s="22" t="s">
        <v>453</v>
      </c>
      <c r="Q78" t="s">
        <v>268</v>
      </c>
    </row>
    <row r="79" spans="1:24">
      <c r="A79" s="246" t="s">
        <v>134</v>
      </c>
      <c r="B79" s="257">
        <f>51.7554281277623*1.5*0.8</f>
        <v>62.106513753314772</v>
      </c>
      <c r="C79" s="257"/>
      <c r="D79" s="228" t="s">
        <v>37</v>
      </c>
      <c r="E79" s="228" t="s">
        <v>40</v>
      </c>
      <c r="F79" s="228" t="s">
        <v>29</v>
      </c>
      <c r="G79" s="228" t="s">
        <v>59</v>
      </c>
      <c r="H79" s="228" t="s">
        <v>33</v>
      </c>
      <c r="I79" s="228">
        <v>2</v>
      </c>
      <c r="J79" s="228">
        <f t="shared" si="4"/>
        <v>4.128850874796445</v>
      </c>
      <c r="K79" s="228">
        <v>0.30331501776206199</v>
      </c>
      <c r="L79" s="228" t="s">
        <v>31</v>
      </c>
      <c r="M79" s="228" t="s">
        <v>31</v>
      </c>
      <c r="N79" s="228" t="s">
        <v>31</v>
      </c>
      <c r="O79" s="228" t="s">
        <v>443</v>
      </c>
      <c r="P79" s="22" t="s">
        <v>454</v>
      </c>
      <c r="Q79" t="s">
        <v>268</v>
      </c>
    </row>
    <row r="80" spans="1:24">
      <c r="A80" s="246" t="s">
        <v>85</v>
      </c>
      <c r="B80" s="257">
        <f>51.7554281277623*30</f>
        <v>1552.6628438328689</v>
      </c>
      <c r="C80" s="257"/>
      <c r="D80" s="228" t="s">
        <v>37</v>
      </c>
      <c r="E80" s="228" t="s">
        <v>40</v>
      </c>
      <c r="F80" s="228" t="s">
        <v>29</v>
      </c>
      <c r="G80" s="228" t="s">
        <v>59</v>
      </c>
      <c r="H80" s="228" t="s">
        <v>33</v>
      </c>
      <c r="I80" s="228">
        <v>2</v>
      </c>
      <c r="J80" s="228">
        <f t="shared" si="4"/>
        <v>7.347726699664646</v>
      </c>
      <c r="K80" s="228">
        <v>0.30331501776206199</v>
      </c>
      <c r="L80" s="228" t="s">
        <v>31</v>
      </c>
      <c r="M80" s="228" t="s">
        <v>31</v>
      </c>
      <c r="N80" s="228" t="s">
        <v>31</v>
      </c>
      <c r="O80" s="228" t="s">
        <v>443</v>
      </c>
      <c r="P80" s="22" t="s">
        <v>455</v>
      </c>
      <c r="Q80" t="s">
        <v>268</v>
      </c>
    </row>
    <row r="81" spans="1:24" s="90" customFormat="1">
      <c r="A81" s="258" t="s">
        <v>456</v>
      </c>
      <c r="B81" s="259">
        <f>B78*(1-1/1.5)</f>
        <v>5.1755428127762313</v>
      </c>
      <c r="C81" s="259"/>
      <c r="D81" s="260" t="s">
        <v>37</v>
      </c>
      <c r="E81" s="260" t="s">
        <v>40</v>
      </c>
      <c r="F81" s="260" t="s">
        <v>29</v>
      </c>
      <c r="G81" s="260" t="s">
        <v>82</v>
      </c>
      <c r="H81" s="260" t="s">
        <v>33</v>
      </c>
      <c r="I81" s="260">
        <v>2</v>
      </c>
      <c r="J81" s="260">
        <f t="shared" si="4"/>
        <v>1.6439442250084448</v>
      </c>
      <c r="K81" s="260">
        <v>0.30331501776206199</v>
      </c>
      <c r="L81" s="260" t="s">
        <v>31</v>
      </c>
      <c r="M81" s="260" t="s">
        <v>31</v>
      </c>
      <c r="N81" s="260" t="s">
        <v>31</v>
      </c>
      <c r="O81" s="260" t="s">
        <v>266</v>
      </c>
      <c r="P81" s="261" t="s">
        <v>457</v>
      </c>
      <c r="Q81" t="s">
        <v>268</v>
      </c>
      <c r="R81" s="22"/>
      <c r="S81" s="22"/>
      <c r="T81" s="22"/>
      <c r="U81" s="22"/>
      <c r="V81" s="22"/>
      <c r="W81" s="22"/>
      <c r="X81" s="22"/>
    </row>
    <row r="82" spans="1:24">
      <c r="A82" s="247" t="s">
        <v>135</v>
      </c>
      <c r="B82" s="262">
        <f>B79*(1-1/1.5)</f>
        <v>20.702171251104925</v>
      </c>
      <c r="C82" s="262"/>
      <c r="D82" s="263" t="s">
        <v>37</v>
      </c>
      <c r="E82" s="263" t="s">
        <v>40</v>
      </c>
      <c r="F82" s="263" t="s">
        <v>29</v>
      </c>
      <c r="G82" s="263" t="s">
        <v>82</v>
      </c>
      <c r="H82" s="263" t="s">
        <v>33</v>
      </c>
      <c r="I82" s="263">
        <v>2</v>
      </c>
      <c r="J82" s="263">
        <f t="shared" si="4"/>
        <v>3.0302385861283354</v>
      </c>
      <c r="K82" s="263">
        <v>0.30331501776206199</v>
      </c>
      <c r="L82" s="263" t="s">
        <v>31</v>
      </c>
      <c r="M82" s="263" t="s">
        <v>31</v>
      </c>
      <c r="N82" s="263" t="s">
        <v>31</v>
      </c>
      <c r="O82" s="263" t="s">
        <v>266</v>
      </c>
      <c r="P82" s="249" t="s">
        <v>458</v>
      </c>
      <c r="Q82" t="s">
        <v>268</v>
      </c>
      <c r="R82" s="22"/>
    </row>
    <row r="83" spans="1:24">
      <c r="A83" s="250" t="s">
        <v>134</v>
      </c>
      <c r="B83" s="264">
        <f>B79*(1-1/1.5)</f>
        <v>20.702171251104925</v>
      </c>
      <c r="C83" s="264"/>
      <c r="D83" s="265" t="s">
        <v>37</v>
      </c>
      <c r="E83" s="265" t="s">
        <v>40</v>
      </c>
      <c r="F83" s="265" t="s">
        <v>29</v>
      </c>
      <c r="G83" s="265" t="s">
        <v>59</v>
      </c>
      <c r="H83" s="265" t="s">
        <v>136</v>
      </c>
      <c r="I83" s="265">
        <v>2</v>
      </c>
      <c r="J83" s="265">
        <f t="shared" si="4"/>
        <v>3.0302385861283354</v>
      </c>
      <c r="K83" s="265">
        <v>0.30331501776206199</v>
      </c>
      <c r="L83" s="265" t="s">
        <v>31</v>
      </c>
      <c r="M83" s="265" t="s">
        <v>31</v>
      </c>
      <c r="N83" s="265" t="s">
        <v>31</v>
      </c>
      <c r="O83" s="265" t="s">
        <v>266</v>
      </c>
      <c r="P83" s="252" t="s">
        <v>459</v>
      </c>
      <c r="Q83" t="s">
        <v>268</v>
      </c>
      <c r="R83" s="22"/>
    </row>
    <row r="84" spans="1:24">
      <c r="A84" s="247" t="s">
        <v>201</v>
      </c>
      <c r="B84" s="262">
        <f>B80*(1-1/30)</f>
        <v>1500.9074157051066</v>
      </c>
      <c r="C84" s="262"/>
      <c r="D84" s="263" t="s">
        <v>37</v>
      </c>
      <c r="E84" s="263" t="s">
        <v>40</v>
      </c>
      <c r="F84" s="263" t="s">
        <v>29</v>
      </c>
      <c r="G84" s="263" t="s">
        <v>82</v>
      </c>
      <c r="H84" s="263" t="s">
        <v>33</v>
      </c>
      <c r="I84" s="263">
        <v>2</v>
      </c>
      <c r="J84" s="263">
        <f t="shared" si="4"/>
        <v>7.3138251479889638</v>
      </c>
      <c r="K84" s="263">
        <v>0.30331501776206199</v>
      </c>
      <c r="L84" s="263" t="s">
        <v>31</v>
      </c>
      <c r="M84" s="263" t="s">
        <v>31</v>
      </c>
      <c r="N84" s="263" t="s">
        <v>31</v>
      </c>
      <c r="O84" s="263" t="s">
        <v>266</v>
      </c>
      <c r="P84" s="249" t="s">
        <v>460</v>
      </c>
      <c r="Q84" t="s">
        <v>268</v>
      </c>
      <c r="R84" s="22"/>
    </row>
    <row r="85" spans="1:24">
      <c r="A85" s="253" t="s">
        <v>202</v>
      </c>
      <c r="B85" s="266">
        <f>B80*(1-1/30)</f>
        <v>1500.9074157051066</v>
      </c>
      <c r="C85" s="58" t="s">
        <v>203</v>
      </c>
      <c r="D85" s="226" t="s">
        <v>37</v>
      </c>
      <c r="E85" s="226" t="s">
        <v>40</v>
      </c>
      <c r="F85" s="226" t="s">
        <v>29</v>
      </c>
      <c r="G85" s="226" t="s">
        <v>82</v>
      </c>
      <c r="H85" s="226" t="s">
        <v>33</v>
      </c>
      <c r="I85" s="226">
        <v>2</v>
      </c>
      <c r="J85" s="226">
        <f t="shared" si="4"/>
        <v>7.3138251479889638</v>
      </c>
      <c r="K85" s="226">
        <v>0.30331501776206199</v>
      </c>
      <c r="L85" s="226" t="s">
        <v>31</v>
      </c>
      <c r="M85" s="226" t="s">
        <v>31</v>
      </c>
      <c r="N85" s="226" t="s">
        <v>31</v>
      </c>
      <c r="O85" s="226" t="s">
        <v>266</v>
      </c>
      <c r="P85" s="254" t="s">
        <v>460</v>
      </c>
      <c r="Q85" t="s">
        <v>268</v>
      </c>
      <c r="R85" s="22"/>
    </row>
    <row r="86" spans="1:24">
      <c r="A86" s="250" t="s">
        <v>85</v>
      </c>
      <c r="B86" s="267">
        <f>B80*(1-1/30)</f>
        <v>1500.9074157051066</v>
      </c>
      <c r="C86" s="267"/>
      <c r="D86" s="251" t="s">
        <v>37</v>
      </c>
      <c r="E86" s="251" t="s">
        <v>40</v>
      </c>
      <c r="F86" s="251" t="s">
        <v>29</v>
      </c>
      <c r="G86" s="251" t="s">
        <v>59</v>
      </c>
      <c r="H86" s="251" t="s">
        <v>136</v>
      </c>
      <c r="I86" s="251">
        <v>2</v>
      </c>
      <c r="J86" s="251">
        <f t="shared" si="4"/>
        <v>7.3138251479889638</v>
      </c>
      <c r="K86" s="251">
        <v>0.30331501776206199</v>
      </c>
      <c r="L86" s="251" t="s">
        <v>31</v>
      </c>
      <c r="M86" s="251" t="s">
        <v>31</v>
      </c>
      <c r="N86" s="251" t="s">
        <v>31</v>
      </c>
      <c r="O86" s="251" t="s">
        <v>266</v>
      </c>
      <c r="P86" s="252" t="s">
        <v>461</v>
      </c>
      <c r="Q86" t="s">
        <v>268</v>
      </c>
      <c r="S86" s="177" t="s">
        <v>450</v>
      </c>
    </row>
    <row r="87" spans="1:24">
      <c r="A87" t="s">
        <v>265</v>
      </c>
      <c r="B87" s="238">
        <f>S87</f>
        <v>4142.6989254756381</v>
      </c>
      <c r="C87" s="239"/>
      <c r="D87" t="s">
        <v>39</v>
      </c>
      <c r="E87" t="s">
        <v>40</v>
      </c>
      <c r="F87" t="s">
        <v>29</v>
      </c>
      <c r="G87" t="s">
        <v>59</v>
      </c>
      <c r="H87" t="s">
        <v>33</v>
      </c>
      <c r="I87">
        <v>2</v>
      </c>
      <c r="J87">
        <f t="shared" si="4"/>
        <v>8.3291027687815937</v>
      </c>
      <c r="K87">
        <v>0.28635642126552707</v>
      </c>
      <c r="L87" t="s">
        <v>31</v>
      </c>
      <c r="M87" t="s">
        <v>31</v>
      </c>
      <c r="N87" t="s">
        <v>31</v>
      </c>
      <c r="P87" s="22"/>
      <c r="Q87" t="s">
        <v>268</v>
      </c>
      <c r="S87" s="22">
        <v>4142.6989254756381</v>
      </c>
    </row>
    <row r="88" spans="1:24">
      <c r="A88" s="22" t="s">
        <v>69</v>
      </c>
      <c r="B88" s="240">
        <f>W88</f>
        <v>391.55676037279687</v>
      </c>
      <c r="C88" s="268"/>
      <c r="D88" s="22" t="s">
        <v>42</v>
      </c>
      <c r="E88" s="22" t="s">
        <v>40</v>
      </c>
      <c r="F88" s="22" t="s">
        <v>29</v>
      </c>
      <c r="G88" s="22" t="s">
        <v>272</v>
      </c>
      <c r="H88" s="22" t="s">
        <v>33</v>
      </c>
      <c r="I88">
        <v>2</v>
      </c>
      <c r="J88">
        <f t="shared" si="4"/>
        <v>5.9701304867171521</v>
      </c>
      <c r="K88">
        <v>0.28635642126552707</v>
      </c>
      <c r="L88" t="s">
        <v>31</v>
      </c>
      <c r="M88" t="s">
        <v>31</v>
      </c>
      <c r="N88" t="s">
        <v>31</v>
      </c>
      <c r="P88" s="22"/>
      <c r="Q88" t="s">
        <v>268</v>
      </c>
      <c r="R88" s="22"/>
      <c r="S88" s="232">
        <v>4165.7321998825719</v>
      </c>
      <c r="T88" s="22" t="s">
        <v>271</v>
      </c>
      <c r="U88" s="22">
        <f>S88/0.277778</f>
        <v>14996.623922278119</v>
      </c>
      <c r="V88" s="22" t="s">
        <v>270</v>
      </c>
      <c r="W88" s="22">
        <f>U88/38.3</f>
        <v>391.55676037279687</v>
      </c>
      <c r="X88" s="22" t="s">
        <v>274</v>
      </c>
    </row>
    <row r="89" spans="1:24">
      <c r="A89" s="58" t="s">
        <v>70</v>
      </c>
      <c r="B89" s="241">
        <f>U89</f>
        <v>1871.6165716587227</v>
      </c>
      <c r="C89" s="268"/>
      <c r="D89" s="22" t="s">
        <v>71</v>
      </c>
      <c r="E89" s="22" t="s">
        <v>40</v>
      </c>
      <c r="F89" s="22" t="s">
        <v>29</v>
      </c>
      <c r="G89" s="22" t="s">
        <v>59</v>
      </c>
      <c r="H89" s="22" t="s">
        <v>33</v>
      </c>
      <c r="I89">
        <v>2</v>
      </c>
      <c r="J89">
        <f t="shared" si="4"/>
        <v>7.5345578132265976</v>
      </c>
      <c r="K89">
        <v>0.28635642126552707</v>
      </c>
      <c r="L89" t="s">
        <v>31</v>
      </c>
      <c r="M89" t="s">
        <v>31</v>
      </c>
      <c r="N89" t="s">
        <v>31</v>
      </c>
      <c r="P89" s="22"/>
      <c r="Q89" t="s">
        <v>268</v>
      </c>
      <c r="R89" s="58"/>
      <c r="S89" s="232">
        <v>519.89390804221671</v>
      </c>
      <c r="T89" s="22" t="s">
        <v>271</v>
      </c>
      <c r="U89" s="22">
        <f>S89/0.277778</f>
        <v>1871.6165716587227</v>
      </c>
      <c r="V89" s="22" t="s">
        <v>270</v>
      </c>
    </row>
    <row r="90" spans="1:24">
      <c r="A90" s="58" t="s">
        <v>438</v>
      </c>
      <c r="B90" s="240">
        <f>W90</f>
        <v>88.578146403943265</v>
      </c>
      <c r="C90" s="255"/>
      <c r="D90" s="22" t="s">
        <v>37</v>
      </c>
      <c r="E90" s="22" t="s">
        <v>40</v>
      </c>
      <c r="F90" s="22" t="s">
        <v>29</v>
      </c>
      <c r="G90" s="22" t="s">
        <v>59</v>
      </c>
      <c r="H90" s="22" t="s">
        <v>33</v>
      </c>
      <c r="I90">
        <v>2</v>
      </c>
      <c r="J90">
        <f t="shared" si="4"/>
        <v>4.4838851726037579</v>
      </c>
      <c r="K90">
        <v>0.28635642126552707</v>
      </c>
      <c r="L90" t="s">
        <v>31</v>
      </c>
      <c r="M90" t="s">
        <v>31</v>
      </c>
      <c r="N90" t="s">
        <v>31</v>
      </c>
      <c r="P90" s="22"/>
      <c r="Q90" t="s">
        <v>268</v>
      </c>
      <c r="R90" s="58"/>
      <c r="S90" s="232">
        <v>1102.306703760396</v>
      </c>
      <c r="T90" s="22" t="s">
        <v>271</v>
      </c>
      <c r="U90" s="22">
        <f>S90/0.277778</f>
        <v>3968.3009588966579</v>
      </c>
      <c r="V90" s="22" t="s">
        <v>270</v>
      </c>
      <c r="W90" s="22">
        <f>U90/44.8</f>
        <v>88.578146403943265</v>
      </c>
      <c r="X90" s="22" t="s">
        <v>275</v>
      </c>
    </row>
    <row r="91" spans="1:24">
      <c r="A91" s="58" t="s">
        <v>73</v>
      </c>
      <c r="B91" s="240">
        <f t="shared" ref="B91" si="5">W91</f>
        <v>174.86471887106808</v>
      </c>
      <c r="C91" s="255"/>
      <c r="D91" s="22" t="s">
        <v>37</v>
      </c>
      <c r="E91" s="22" t="s">
        <v>40</v>
      </c>
      <c r="F91" s="22" t="s">
        <v>29</v>
      </c>
      <c r="G91" s="22" t="s">
        <v>82</v>
      </c>
      <c r="H91" s="22" t="s">
        <v>33</v>
      </c>
      <c r="I91">
        <v>2</v>
      </c>
      <c r="J91">
        <f t="shared" si="4"/>
        <v>5.1640126399553994</v>
      </c>
      <c r="K91">
        <v>0.28635642126552707</v>
      </c>
      <c r="L91" t="s">
        <v>31</v>
      </c>
      <c r="M91" t="s">
        <v>31</v>
      </c>
      <c r="N91" t="s">
        <v>31</v>
      </c>
      <c r="P91" s="22"/>
      <c r="Q91" t="s">
        <v>268</v>
      </c>
      <c r="R91" s="58"/>
      <c r="S91" s="232">
        <v>2244.0990207898212</v>
      </c>
      <c r="T91" s="22" t="s">
        <v>271</v>
      </c>
      <c r="U91" s="22">
        <f>S91/0.277778</f>
        <v>8078.7500118433463</v>
      </c>
      <c r="V91" s="22" t="s">
        <v>270</v>
      </c>
      <c r="W91" s="22">
        <f>U91/46.2</f>
        <v>174.86471887106808</v>
      </c>
      <c r="X91" s="22" t="s">
        <v>275</v>
      </c>
    </row>
    <row r="92" spans="1:24" s="90" customFormat="1">
      <c r="A92" s="22" t="s">
        <v>409</v>
      </c>
      <c r="B92" s="240">
        <f>W92</f>
        <v>1.0768795003790119</v>
      </c>
      <c r="C92" s="232"/>
      <c r="D92" s="22" t="s">
        <v>37</v>
      </c>
      <c r="E92" s="22" t="s">
        <v>2</v>
      </c>
      <c r="F92" s="22" t="s">
        <v>410</v>
      </c>
      <c r="G92" s="22" t="s">
        <v>59</v>
      </c>
      <c r="H92" s="22" t="s">
        <v>33</v>
      </c>
      <c r="I92" s="22">
        <v>2</v>
      </c>
      <c r="J92" s="22">
        <f t="shared" si="4"/>
        <v>7.4067507401260183E-2</v>
      </c>
      <c r="K92" s="22">
        <v>0.28635642126552707</v>
      </c>
      <c r="L92" s="22" t="s">
        <v>31</v>
      </c>
      <c r="M92" s="22" t="s">
        <v>31</v>
      </c>
      <c r="N92" s="22" t="s">
        <v>31</v>
      </c>
      <c r="P92" s="22"/>
      <c r="Q92" t="s">
        <v>268</v>
      </c>
      <c r="R92" s="242"/>
      <c r="S92" s="232">
        <v>13.161871089676373</v>
      </c>
      <c r="T92" s="22" t="s">
        <v>271</v>
      </c>
      <c r="U92" s="22">
        <f>S92/0.277778</f>
        <v>47.382698016676521</v>
      </c>
      <c r="V92" s="22" t="s">
        <v>270</v>
      </c>
      <c r="W92" s="22">
        <f>U92/44</f>
        <v>1.0768795003790119</v>
      </c>
      <c r="X92" s="22" t="s">
        <v>275</v>
      </c>
    </row>
    <row r="93" spans="1:24">
      <c r="A93" t="s">
        <v>75</v>
      </c>
      <c r="B93" s="239">
        <f>10.1300011794917*997.42788</f>
        <v>10103.945600857905</v>
      </c>
      <c r="C93" s="239"/>
      <c r="D93" t="s">
        <v>37</v>
      </c>
      <c r="E93" t="s">
        <v>40</v>
      </c>
      <c r="F93" t="s">
        <v>29</v>
      </c>
      <c r="G93" t="s">
        <v>59</v>
      </c>
      <c r="H93" t="s">
        <v>33</v>
      </c>
      <c r="I93">
        <v>2</v>
      </c>
      <c r="J93">
        <f t="shared" si="4"/>
        <v>9.2206812800944071</v>
      </c>
      <c r="K93">
        <v>0.28635642126552707</v>
      </c>
      <c r="L93" t="s">
        <v>31</v>
      </c>
      <c r="M93" t="s">
        <v>31</v>
      </c>
      <c r="N93" t="s">
        <v>31</v>
      </c>
      <c r="O93" t="s">
        <v>439</v>
      </c>
      <c r="P93" s="22"/>
      <c r="Q93" t="s">
        <v>268</v>
      </c>
    </row>
    <row r="94" spans="1:24">
      <c r="A94" s="68" t="s">
        <v>76</v>
      </c>
      <c r="B94" s="239">
        <v>9.4461037767365674</v>
      </c>
      <c r="C94" s="239"/>
      <c r="D94" s="22" t="s">
        <v>42</v>
      </c>
      <c r="E94" s="22" t="s">
        <v>40</v>
      </c>
      <c r="F94" s="22" t="s">
        <v>29</v>
      </c>
      <c r="G94" s="205" t="s">
        <v>82</v>
      </c>
      <c r="H94" s="22" t="s">
        <v>33</v>
      </c>
      <c r="I94">
        <v>2</v>
      </c>
      <c r="J94">
        <f t="shared" si="4"/>
        <v>2.2456023577291138</v>
      </c>
      <c r="K94">
        <v>0.28635642126552707</v>
      </c>
      <c r="L94" t="s">
        <v>31</v>
      </c>
      <c r="M94" t="s">
        <v>31</v>
      </c>
      <c r="N94" t="s">
        <v>31</v>
      </c>
      <c r="P94" s="22"/>
      <c r="Q94" t="s">
        <v>268</v>
      </c>
    </row>
    <row r="95" spans="1:24">
      <c r="A95" t="s">
        <v>81</v>
      </c>
      <c r="B95" s="239">
        <v>229.21398502671403</v>
      </c>
      <c r="C95" s="239"/>
      <c r="D95" t="s">
        <v>37</v>
      </c>
      <c r="E95" t="s">
        <v>40</v>
      </c>
      <c r="F95" t="s">
        <v>29</v>
      </c>
      <c r="G95" t="s">
        <v>82</v>
      </c>
      <c r="H95" t="s">
        <v>33</v>
      </c>
      <c r="I95">
        <v>2</v>
      </c>
      <c r="J95">
        <f t="shared" si="4"/>
        <v>5.434655999675102</v>
      </c>
      <c r="K95">
        <v>0.28635642126552702</v>
      </c>
      <c r="L95" t="s">
        <v>31</v>
      </c>
      <c r="M95" t="s">
        <v>31</v>
      </c>
      <c r="N95" t="s">
        <v>31</v>
      </c>
      <c r="P95" s="22"/>
      <c r="Q95" t="s">
        <v>268</v>
      </c>
    </row>
    <row r="96" spans="1:24">
      <c r="A96" t="s">
        <v>77</v>
      </c>
      <c r="B96" s="239">
        <v>4306.3305973302668</v>
      </c>
      <c r="C96" s="239"/>
      <c r="D96" t="s">
        <v>37</v>
      </c>
      <c r="E96" t="s">
        <v>43</v>
      </c>
      <c r="F96" t="s">
        <v>44</v>
      </c>
      <c r="G96" t="s">
        <v>29</v>
      </c>
      <c r="H96" t="s">
        <v>45</v>
      </c>
      <c r="I96">
        <v>2</v>
      </c>
      <c r="J96">
        <f t="shared" si="4"/>
        <v>8.367841450947985</v>
      </c>
      <c r="K96">
        <v>0.28635642126552702</v>
      </c>
      <c r="L96" t="s">
        <v>31</v>
      </c>
      <c r="M96" t="s">
        <v>31</v>
      </c>
      <c r="N96" t="s">
        <v>31</v>
      </c>
      <c r="P96" s="22"/>
      <c r="Q96" t="s">
        <v>268</v>
      </c>
    </row>
    <row r="97" spans="1:24">
      <c r="A97" t="s">
        <v>79</v>
      </c>
      <c r="B97" s="239">
        <v>4.6066548813867299E-2</v>
      </c>
      <c r="C97" s="239"/>
      <c r="D97" t="s">
        <v>37</v>
      </c>
      <c r="E97" t="s">
        <v>43</v>
      </c>
      <c r="F97" t="s">
        <v>44</v>
      </c>
      <c r="G97" t="s">
        <v>29</v>
      </c>
      <c r="H97" t="s">
        <v>45</v>
      </c>
      <c r="I97">
        <v>2</v>
      </c>
      <c r="J97">
        <f t="shared" si="4"/>
        <v>-3.0776682146296319</v>
      </c>
      <c r="K97">
        <v>0.28635642126552702</v>
      </c>
      <c r="L97" t="s">
        <v>31</v>
      </c>
      <c r="M97" t="s">
        <v>31</v>
      </c>
      <c r="N97" t="s">
        <v>31</v>
      </c>
      <c r="P97" s="22"/>
      <c r="Q97" t="s">
        <v>268</v>
      </c>
    </row>
    <row r="98" spans="1:24">
      <c r="A98" t="s">
        <v>80</v>
      </c>
      <c r="B98">
        <v>0.7304838454770386</v>
      </c>
      <c r="D98" t="s">
        <v>37</v>
      </c>
      <c r="E98" t="s">
        <v>43</v>
      </c>
      <c r="F98" t="s">
        <v>44</v>
      </c>
      <c r="G98" t="s">
        <v>29</v>
      </c>
      <c r="H98" t="s">
        <v>45</v>
      </c>
      <c r="I98">
        <v>2</v>
      </c>
      <c r="J98">
        <f t="shared" si="4"/>
        <v>-0.31404816237261124</v>
      </c>
      <c r="K98">
        <v>0.28635642126552702</v>
      </c>
      <c r="L98" t="s">
        <v>31</v>
      </c>
      <c r="M98" t="s">
        <v>31</v>
      </c>
      <c r="N98" t="s">
        <v>31</v>
      </c>
      <c r="P98" s="22"/>
      <c r="Q98" t="s">
        <v>268</v>
      </c>
    </row>
    <row r="99" spans="1:24">
      <c r="A99" t="s">
        <v>78</v>
      </c>
      <c r="B99">
        <v>3.4582816288124669</v>
      </c>
      <c r="D99" t="s">
        <v>37</v>
      </c>
      <c r="E99" t="s">
        <v>43</v>
      </c>
      <c r="F99" t="s">
        <v>44</v>
      </c>
      <c r="G99" t="s">
        <v>29</v>
      </c>
      <c r="H99" t="s">
        <v>45</v>
      </c>
      <c r="I99">
        <v>2</v>
      </c>
      <c r="J99">
        <f t="shared" si="4"/>
        <v>1.2407718266320606</v>
      </c>
      <c r="K99">
        <v>0.28635642126552702</v>
      </c>
      <c r="L99" t="s">
        <v>31</v>
      </c>
      <c r="M99" t="s">
        <v>31</v>
      </c>
      <c r="N99" t="s">
        <v>31</v>
      </c>
      <c r="P99" s="22"/>
      <c r="Q99" t="s">
        <v>268</v>
      </c>
    </row>
    <row r="100" spans="1:24" s="73" customFormat="1">
      <c r="A100" s="229" t="s">
        <v>5</v>
      </c>
      <c r="B100" s="229" t="s">
        <v>432</v>
      </c>
      <c r="C100" s="229"/>
      <c r="D100" s="74"/>
      <c r="Q100" s="73" t="s">
        <v>268</v>
      </c>
      <c r="S100" s="230"/>
      <c r="T100" s="230"/>
      <c r="U100" s="230"/>
      <c r="V100" s="230"/>
      <c r="W100" s="230"/>
      <c r="X100" s="230"/>
    </row>
    <row r="101" spans="1:24">
      <c r="A101" t="s">
        <v>7</v>
      </c>
      <c r="B101" t="s">
        <v>263</v>
      </c>
      <c r="Q101" t="s">
        <v>268</v>
      </c>
    </row>
    <row r="102" spans="1:24">
      <c r="A102" t="s">
        <v>9</v>
      </c>
      <c r="B102" s="231" t="s">
        <v>462</v>
      </c>
      <c r="C102" s="22"/>
      <c r="Q102" t="s">
        <v>268</v>
      </c>
    </row>
    <row r="103" spans="1:24">
      <c r="A103" t="s">
        <v>11</v>
      </c>
      <c r="B103" t="s">
        <v>463</v>
      </c>
      <c r="Q103" t="s">
        <v>268</v>
      </c>
    </row>
    <row r="104" spans="1:24">
      <c r="A104" t="s">
        <v>13</v>
      </c>
      <c r="B104" t="s">
        <v>59</v>
      </c>
      <c r="Q104" t="s">
        <v>268</v>
      </c>
    </row>
    <row r="105" spans="1:24">
      <c r="A105" t="s">
        <v>15</v>
      </c>
      <c r="B105">
        <v>1</v>
      </c>
      <c r="Q105" t="s">
        <v>268</v>
      </c>
    </row>
    <row r="106" spans="1:24">
      <c r="A106" t="s">
        <v>16</v>
      </c>
      <c r="B106" t="s">
        <v>17</v>
      </c>
      <c r="Q106" t="s">
        <v>268</v>
      </c>
    </row>
    <row r="107" spans="1:24">
      <c r="A107" t="s">
        <v>18</v>
      </c>
      <c r="B107" t="s">
        <v>18</v>
      </c>
      <c r="E107" t="s">
        <v>185</v>
      </c>
      <c r="Q107" t="s">
        <v>268</v>
      </c>
    </row>
    <row r="108" spans="1:24">
      <c r="A108" s="143" t="s">
        <v>19</v>
      </c>
      <c r="Q108" t="s">
        <v>268</v>
      </c>
    </row>
    <row r="109" spans="1:24">
      <c r="A109" s="143" t="s">
        <v>20</v>
      </c>
      <c r="B109" s="143" t="s">
        <v>21</v>
      </c>
      <c r="C109" s="143" t="s">
        <v>186</v>
      </c>
      <c r="D109" s="143" t="s">
        <v>18</v>
      </c>
      <c r="E109" s="143" t="s">
        <v>22</v>
      </c>
      <c r="F109" s="143" t="s">
        <v>7</v>
      </c>
      <c r="G109" s="143" t="s">
        <v>13</v>
      </c>
      <c r="H109" s="143" t="s">
        <v>16</v>
      </c>
      <c r="I109" s="143" t="s">
        <v>23</v>
      </c>
      <c r="J109" s="143" t="s">
        <v>24</v>
      </c>
      <c r="K109" s="143" t="s">
        <v>25</v>
      </c>
      <c r="L109" s="143" t="s">
        <v>26</v>
      </c>
      <c r="M109" s="143" t="s">
        <v>27</v>
      </c>
      <c r="N109" s="143" t="s">
        <v>28</v>
      </c>
      <c r="O109" s="143" t="s">
        <v>11</v>
      </c>
      <c r="P109" s="177" t="s">
        <v>428</v>
      </c>
      <c r="Q109" t="s">
        <v>268</v>
      </c>
    </row>
    <row r="110" spans="1:24">
      <c r="A110" t="str">
        <f>B100</f>
        <v>Production of Nacelle, EM</v>
      </c>
      <c r="B110" s="255">
        <v>1</v>
      </c>
      <c r="C110" s="255"/>
      <c r="D110" t="s">
        <v>18</v>
      </c>
      <c r="E110" t="s">
        <v>2</v>
      </c>
      <c r="F110" t="s">
        <v>29</v>
      </c>
      <c r="G110" s="228" t="s">
        <v>59</v>
      </c>
      <c r="H110" t="s">
        <v>30</v>
      </c>
      <c r="I110">
        <v>1</v>
      </c>
      <c r="J110">
        <v>1</v>
      </c>
      <c r="K110" t="s">
        <v>31</v>
      </c>
      <c r="L110" t="s">
        <v>31</v>
      </c>
      <c r="M110" t="s">
        <v>31</v>
      </c>
      <c r="N110" t="s">
        <v>31</v>
      </c>
      <c r="Q110" t="s">
        <v>268</v>
      </c>
    </row>
    <row r="111" spans="1:24">
      <c r="A111" s="246" t="s">
        <v>97</v>
      </c>
      <c r="B111" s="228">
        <f>27.0435533496986*1.5</f>
        <v>40.565330024547897</v>
      </c>
      <c r="C111" s="228"/>
      <c r="D111" s="228" t="s">
        <v>37</v>
      </c>
      <c r="E111" s="228" t="s">
        <v>40</v>
      </c>
      <c r="F111" s="228" t="s">
        <v>29</v>
      </c>
      <c r="G111" s="228" t="s">
        <v>59</v>
      </c>
      <c r="H111" s="228" t="s">
        <v>33</v>
      </c>
      <c r="I111" s="228">
        <v>2</v>
      </c>
      <c r="J111" s="228">
        <f t="shared" ref="J111:J129" si="6">LN(B111)</f>
        <v>3.7029137615109113</v>
      </c>
      <c r="K111" s="228">
        <v>0.30331501776206199</v>
      </c>
      <c r="L111" s="228" t="s">
        <v>31</v>
      </c>
      <c r="M111" s="228" t="s">
        <v>31</v>
      </c>
      <c r="N111" s="228" t="s">
        <v>31</v>
      </c>
      <c r="O111" s="228" t="s">
        <v>443</v>
      </c>
      <c r="P111" s="22" t="s">
        <v>268</v>
      </c>
      <c r="Q111" t="s">
        <v>268</v>
      </c>
    </row>
    <row r="112" spans="1:24">
      <c r="A112" s="246" t="s">
        <v>85</v>
      </c>
      <c r="B112" s="228">
        <f>18.0290355664657*7</f>
        <v>126.20324896525992</v>
      </c>
      <c r="C112" s="228"/>
      <c r="D112" s="228" t="s">
        <v>37</v>
      </c>
      <c r="E112" s="228" t="s">
        <v>40</v>
      </c>
      <c r="F112" s="228" t="s">
        <v>29</v>
      </c>
      <c r="G112" s="228" t="s">
        <v>59</v>
      </c>
      <c r="H112" s="228" t="s">
        <v>33</v>
      </c>
      <c r="I112" s="228">
        <v>2</v>
      </c>
      <c r="J112" s="228">
        <f t="shared" si="6"/>
        <v>4.8378936943498942</v>
      </c>
      <c r="K112" s="228">
        <v>0.30331501776206199</v>
      </c>
      <c r="L112" s="228" t="s">
        <v>31</v>
      </c>
      <c r="M112" s="228" t="s">
        <v>31</v>
      </c>
      <c r="N112" s="228" t="s">
        <v>31</v>
      </c>
      <c r="O112" s="228" t="s">
        <v>443</v>
      </c>
      <c r="P112" s="22" t="s">
        <v>464</v>
      </c>
      <c r="Q112" t="s">
        <v>268</v>
      </c>
    </row>
    <row r="113" spans="1:24">
      <c r="A113" s="258" t="s">
        <v>456</v>
      </c>
      <c r="B113" s="269">
        <f>B111*(1-1/1.5)</f>
        <v>13.521776674849301</v>
      </c>
      <c r="C113" s="269"/>
      <c r="D113" s="260" t="s">
        <v>37</v>
      </c>
      <c r="E113" s="260" t="s">
        <v>40</v>
      </c>
      <c r="F113" s="260" t="s">
        <v>29</v>
      </c>
      <c r="G113" s="260" t="s">
        <v>82</v>
      </c>
      <c r="H113" s="260" t="s">
        <v>33</v>
      </c>
      <c r="I113" s="260">
        <v>2</v>
      </c>
      <c r="J113" s="260">
        <f t="shared" si="6"/>
        <v>2.6043014728428018</v>
      </c>
      <c r="K113" s="260">
        <v>0.30331501776206199</v>
      </c>
      <c r="L113" s="260" t="s">
        <v>31</v>
      </c>
      <c r="M113" s="260" t="s">
        <v>31</v>
      </c>
      <c r="N113" s="260" t="s">
        <v>31</v>
      </c>
      <c r="O113" s="260" t="s">
        <v>266</v>
      </c>
      <c r="P113" s="261" t="s">
        <v>457</v>
      </c>
      <c r="Q113" t="s">
        <v>268</v>
      </c>
    </row>
    <row r="114" spans="1:24">
      <c r="A114" s="247" t="s">
        <v>201</v>
      </c>
      <c r="B114" s="270">
        <f>B112*(1-1/7)</f>
        <v>108.17421339879422</v>
      </c>
      <c r="C114" s="270"/>
      <c r="D114" s="248" t="s">
        <v>37</v>
      </c>
      <c r="E114" s="248" t="s">
        <v>40</v>
      </c>
      <c r="F114" s="248" t="s">
        <v>29</v>
      </c>
      <c r="G114" s="248" t="s">
        <v>82</v>
      </c>
      <c r="H114" s="248" t="s">
        <v>33</v>
      </c>
      <c r="I114" s="248">
        <v>2</v>
      </c>
      <c r="J114" s="248">
        <f t="shared" si="6"/>
        <v>4.6837430145226362</v>
      </c>
      <c r="K114" s="248">
        <v>0.30331501776206199</v>
      </c>
      <c r="L114" s="248" t="s">
        <v>31</v>
      </c>
      <c r="M114" s="248" t="s">
        <v>31</v>
      </c>
      <c r="N114" s="248" t="s">
        <v>31</v>
      </c>
      <c r="O114" s="248" t="s">
        <v>266</v>
      </c>
      <c r="P114" s="249" t="s">
        <v>465</v>
      </c>
      <c r="Q114" t="s">
        <v>268</v>
      </c>
    </row>
    <row r="115" spans="1:24">
      <c r="A115" s="253" t="s">
        <v>202</v>
      </c>
      <c r="B115" s="271">
        <f>B112*(1-1/7)</f>
        <v>108.17421339879422</v>
      </c>
      <c r="C115" s="58" t="s">
        <v>203</v>
      </c>
      <c r="D115" s="227" t="s">
        <v>37</v>
      </c>
      <c r="E115" s="227" t="s">
        <v>40</v>
      </c>
      <c r="F115" s="227" t="s">
        <v>29</v>
      </c>
      <c r="G115" s="227" t="s">
        <v>82</v>
      </c>
      <c r="H115" s="227" t="s">
        <v>33</v>
      </c>
      <c r="I115" s="227">
        <v>2</v>
      </c>
      <c r="J115" s="227">
        <f t="shared" si="6"/>
        <v>4.6837430145226362</v>
      </c>
      <c r="K115" s="227">
        <v>0.30331501776206199</v>
      </c>
      <c r="L115" s="227" t="s">
        <v>31</v>
      </c>
      <c r="M115" s="227" t="s">
        <v>31</v>
      </c>
      <c r="N115" s="227" t="s">
        <v>31</v>
      </c>
      <c r="O115" s="227" t="s">
        <v>266</v>
      </c>
      <c r="P115" s="254" t="s">
        <v>465</v>
      </c>
      <c r="Q115" t="s">
        <v>268</v>
      </c>
    </row>
    <row r="116" spans="1:24">
      <c r="A116" s="250" t="s">
        <v>85</v>
      </c>
      <c r="B116" s="272">
        <f>B112*(1-1/7)</f>
        <v>108.17421339879422</v>
      </c>
      <c r="C116" s="272"/>
      <c r="D116" s="251" t="s">
        <v>37</v>
      </c>
      <c r="E116" s="251" t="s">
        <v>40</v>
      </c>
      <c r="F116" s="251" t="s">
        <v>29</v>
      </c>
      <c r="G116" s="251" t="s">
        <v>59</v>
      </c>
      <c r="H116" s="251" t="s">
        <v>136</v>
      </c>
      <c r="I116" s="251">
        <v>2</v>
      </c>
      <c r="J116" s="251">
        <f t="shared" si="6"/>
        <v>4.6837430145226362</v>
      </c>
      <c r="K116" s="251">
        <v>0.30331501776206199</v>
      </c>
      <c r="L116" s="251" t="s">
        <v>31</v>
      </c>
      <c r="M116" s="251" t="s">
        <v>31</v>
      </c>
      <c r="N116" s="251" t="s">
        <v>31</v>
      </c>
      <c r="O116" s="251" t="s">
        <v>266</v>
      </c>
      <c r="P116" s="252" t="s">
        <v>466</v>
      </c>
      <c r="Q116" t="s">
        <v>268</v>
      </c>
      <c r="S116" s="177" t="s">
        <v>450</v>
      </c>
    </row>
    <row r="117" spans="1:24">
      <c r="A117" t="s">
        <v>265</v>
      </c>
      <c r="B117" s="238">
        <f>S117</f>
        <v>1803.8896829378039</v>
      </c>
      <c r="C117" s="239"/>
      <c r="D117" t="s">
        <v>39</v>
      </c>
      <c r="E117" s="22" t="s">
        <v>40</v>
      </c>
      <c r="F117" s="22" t="s">
        <v>29</v>
      </c>
      <c r="G117" s="22" t="s">
        <v>59</v>
      </c>
      <c r="H117" s="22" t="s">
        <v>33</v>
      </c>
      <c r="I117">
        <v>2</v>
      </c>
      <c r="J117">
        <f t="shared" si="6"/>
        <v>7.4977005473878942</v>
      </c>
      <c r="K117">
        <v>0.28635642126552707</v>
      </c>
      <c r="L117" t="s">
        <v>31</v>
      </c>
      <c r="M117" t="s">
        <v>31</v>
      </c>
      <c r="N117" t="s">
        <v>31</v>
      </c>
      <c r="P117" s="22"/>
      <c r="Q117" t="s">
        <v>268</v>
      </c>
      <c r="S117" s="22">
        <v>1803.8896829378039</v>
      </c>
    </row>
    <row r="118" spans="1:24">
      <c r="A118" s="22" t="s">
        <v>69</v>
      </c>
      <c r="B118" s="240">
        <f>W118</f>
        <v>170.4988011504945</v>
      </c>
      <c r="C118" s="239"/>
      <c r="D118" s="22" t="s">
        <v>42</v>
      </c>
      <c r="E118" s="22" t="s">
        <v>40</v>
      </c>
      <c r="F118" s="22" t="s">
        <v>29</v>
      </c>
      <c r="G118" s="22" t="s">
        <v>272</v>
      </c>
      <c r="H118" s="22" t="s">
        <v>33</v>
      </c>
      <c r="I118">
        <v>2</v>
      </c>
      <c r="J118">
        <f t="shared" si="6"/>
        <v>5.1387282653234525</v>
      </c>
      <c r="K118">
        <v>0.28635642126552707</v>
      </c>
      <c r="L118" t="s">
        <v>31</v>
      </c>
      <c r="M118" t="s">
        <v>31</v>
      </c>
      <c r="N118" t="s">
        <v>31</v>
      </c>
      <c r="P118" s="22"/>
      <c r="Q118" t="s">
        <v>268</v>
      </c>
      <c r="R118" s="22"/>
      <c r="S118" s="232">
        <v>1813.9192522631131</v>
      </c>
      <c r="T118" s="22" t="s">
        <v>271</v>
      </c>
      <c r="U118" s="22">
        <f>S118/0.277778</f>
        <v>6530.1040840639389</v>
      </c>
      <c r="V118" s="22" t="s">
        <v>270</v>
      </c>
      <c r="W118" s="22">
        <f>U118/38.3</f>
        <v>170.4988011504945</v>
      </c>
      <c r="X118" s="22" t="s">
        <v>274</v>
      </c>
    </row>
    <row r="119" spans="1:24">
      <c r="A119" s="58" t="s">
        <v>70</v>
      </c>
      <c r="B119" s="241">
        <f>U119</f>
        <v>814.97349548349325</v>
      </c>
      <c r="C119" s="239"/>
      <c r="D119" s="22" t="s">
        <v>71</v>
      </c>
      <c r="E119" s="22" t="s">
        <v>40</v>
      </c>
      <c r="F119" s="22" t="s">
        <v>29</v>
      </c>
      <c r="G119" s="22" t="s">
        <v>59</v>
      </c>
      <c r="H119" s="22" t="s">
        <v>33</v>
      </c>
      <c r="I119">
        <v>2</v>
      </c>
      <c r="J119">
        <f t="shared" si="6"/>
        <v>6.703155591832898</v>
      </c>
      <c r="K119">
        <v>0.28635642126552707</v>
      </c>
      <c r="L119" t="s">
        <v>31</v>
      </c>
      <c r="M119" t="s">
        <v>31</v>
      </c>
      <c r="N119" t="s">
        <v>31</v>
      </c>
      <c r="P119" s="22"/>
      <c r="Q119" t="s">
        <v>268</v>
      </c>
      <c r="R119" s="58"/>
      <c r="S119" s="232">
        <v>226.38170762841381</v>
      </c>
      <c r="T119" s="22" t="s">
        <v>271</v>
      </c>
      <c r="U119" s="22">
        <f>S119/0.277778</f>
        <v>814.97349548349325</v>
      </c>
      <c r="V119" s="22" t="s">
        <v>270</v>
      </c>
    </row>
    <row r="120" spans="1:24">
      <c r="A120" s="58" t="s">
        <v>438</v>
      </c>
      <c r="B120" s="240">
        <f>W120</f>
        <v>38.570315464931369</v>
      </c>
      <c r="C120" s="239"/>
      <c r="D120" s="22" t="s">
        <v>37</v>
      </c>
      <c r="E120" s="22" t="s">
        <v>40</v>
      </c>
      <c r="F120" s="22" t="s">
        <v>29</v>
      </c>
      <c r="G120" s="22" t="s">
        <v>59</v>
      </c>
      <c r="H120" s="22" t="s">
        <v>33</v>
      </c>
      <c r="I120">
        <v>2</v>
      </c>
      <c r="J120">
        <f t="shared" si="6"/>
        <v>3.6524829512100583</v>
      </c>
      <c r="K120">
        <v>0.28635642126552707</v>
      </c>
      <c r="L120" t="s">
        <v>31</v>
      </c>
      <c r="M120" t="s">
        <v>31</v>
      </c>
      <c r="N120" t="s">
        <v>31</v>
      </c>
      <c r="P120" s="22"/>
      <c r="Q120" t="s">
        <v>268</v>
      </c>
      <c r="R120" s="58"/>
      <c r="S120" s="232">
        <v>479.98653199695326</v>
      </c>
      <c r="T120" s="22" t="s">
        <v>271</v>
      </c>
      <c r="U120" s="22">
        <f>S120/0.277778</f>
        <v>1727.9501328289252</v>
      </c>
      <c r="V120" s="22" t="s">
        <v>270</v>
      </c>
      <c r="W120" s="22">
        <f>U120/44.8</f>
        <v>38.570315464931369</v>
      </c>
      <c r="X120" s="22" t="s">
        <v>275</v>
      </c>
    </row>
    <row r="121" spans="1:24">
      <c r="A121" s="58" t="s">
        <v>73</v>
      </c>
      <c r="B121" s="240">
        <f t="shared" ref="B121" si="7">W121</f>
        <v>76.142791922809792</v>
      </c>
      <c r="C121" s="239"/>
      <c r="D121" s="22" t="s">
        <v>37</v>
      </c>
      <c r="E121" s="22" t="s">
        <v>40</v>
      </c>
      <c r="F121" s="22" t="s">
        <v>29</v>
      </c>
      <c r="G121" s="22" t="s">
        <v>82</v>
      </c>
      <c r="H121" s="22" t="s">
        <v>33</v>
      </c>
      <c r="I121">
        <v>2</v>
      </c>
      <c r="J121">
        <f t="shared" si="6"/>
        <v>4.3326104185616998</v>
      </c>
      <c r="K121">
        <v>0.28635642126552707</v>
      </c>
      <c r="L121" t="s">
        <v>31</v>
      </c>
      <c r="M121" t="s">
        <v>31</v>
      </c>
      <c r="N121" t="s">
        <v>31</v>
      </c>
      <c r="P121" s="22"/>
      <c r="Q121" t="s">
        <v>268</v>
      </c>
      <c r="R121" s="58"/>
      <c r="S121" s="232">
        <v>977.16661140872282</v>
      </c>
      <c r="T121" s="22" t="s">
        <v>271</v>
      </c>
      <c r="U121" s="22">
        <f>S121/0.277778</f>
        <v>3517.7969868338123</v>
      </c>
      <c r="V121" s="22" t="s">
        <v>270</v>
      </c>
      <c r="W121" s="22">
        <f>U121/46.2</f>
        <v>76.142791922809792</v>
      </c>
      <c r="X121" s="22" t="s">
        <v>275</v>
      </c>
    </row>
    <row r="122" spans="1:24" s="90" customFormat="1">
      <c r="A122" s="22" t="s">
        <v>409</v>
      </c>
      <c r="B122" s="240">
        <f>W122</f>
        <v>0.46891455436334478</v>
      </c>
      <c r="C122" s="232"/>
      <c r="D122" s="22" t="s">
        <v>37</v>
      </c>
      <c r="E122" s="22" t="s">
        <v>2</v>
      </c>
      <c r="F122" s="22" t="s">
        <v>410</v>
      </c>
      <c r="G122" s="22" t="s">
        <v>59</v>
      </c>
      <c r="H122" s="22" t="s">
        <v>33</v>
      </c>
      <c r="I122" s="22">
        <v>2</v>
      </c>
      <c r="J122" s="22">
        <f t="shared" si="6"/>
        <v>-0.75733471399243935</v>
      </c>
      <c r="K122">
        <v>0.28635642126552707</v>
      </c>
      <c r="L122" s="22" t="s">
        <v>31</v>
      </c>
      <c r="M122" s="22" t="s">
        <v>31</v>
      </c>
      <c r="N122" s="22" t="s">
        <v>31</v>
      </c>
      <c r="P122" s="22"/>
      <c r="Q122" t="s">
        <v>268</v>
      </c>
      <c r="R122" s="242"/>
      <c r="S122" s="232">
        <v>5.7311824716054129</v>
      </c>
      <c r="T122" s="22" t="s">
        <v>271</v>
      </c>
      <c r="U122" s="22">
        <f>S122/0.277778</f>
        <v>20.632240391987171</v>
      </c>
      <c r="V122" s="22" t="s">
        <v>270</v>
      </c>
      <c r="W122" s="22">
        <f>U122/44</f>
        <v>0.46891455436334478</v>
      </c>
      <c r="X122" s="22" t="s">
        <v>275</v>
      </c>
    </row>
    <row r="123" spans="1:24">
      <c r="A123" t="s">
        <v>75</v>
      </c>
      <c r="B123" s="239">
        <f>4.41099026131493*997.42788</f>
        <v>4399.6446650439957</v>
      </c>
      <c r="C123" s="239"/>
      <c r="D123" t="s">
        <v>37</v>
      </c>
      <c r="E123" t="s">
        <v>40</v>
      </c>
      <c r="F123" t="s">
        <v>29</v>
      </c>
      <c r="G123" t="s">
        <v>59</v>
      </c>
      <c r="H123" t="s">
        <v>33</v>
      </c>
      <c r="I123">
        <v>2</v>
      </c>
      <c r="J123">
        <f t="shared" si="6"/>
        <v>8.3892790587007084</v>
      </c>
      <c r="K123">
        <v>0.28635642126552707</v>
      </c>
      <c r="L123" t="s">
        <v>31</v>
      </c>
      <c r="M123" t="s">
        <v>31</v>
      </c>
      <c r="N123" t="s">
        <v>31</v>
      </c>
      <c r="O123" t="s">
        <v>439</v>
      </c>
      <c r="P123" s="22"/>
      <c r="Q123" t="s">
        <v>268</v>
      </c>
    </row>
    <row r="124" spans="1:24">
      <c r="A124" s="68" t="s">
        <v>76</v>
      </c>
      <c r="B124" s="239">
        <v>4.1131951544990741</v>
      </c>
      <c r="C124" s="239"/>
      <c r="D124" s="22" t="s">
        <v>42</v>
      </c>
      <c r="E124" s="22" t="s">
        <v>40</v>
      </c>
      <c r="F124" s="22" t="s">
        <v>29</v>
      </c>
      <c r="G124" s="205" t="s">
        <v>82</v>
      </c>
      <c r="H124" s="22" t="s">
        <v>33</v>
      </c>
      <c r="I124">
        <v>2</v>
      </c>
      <c r="J124">
        <f t="shared" si="6"/>
        <v>1.4142001363354144</v>
      </c>
      <c r="K124">
        <v>0.28635642126552707</v>
      </c>
      <c r="L124" t="s">
        <v>31</v>
      </c>
      <c r="M124" t="s">
        <v>31</v>
      </c>
      <c r="N124" t="s">
        <v>31</v>
      </c>
      <c r="P124" s="22"/>
      <c r="Q124" t="s">
        <v>268</v>
      </c>
    </row>
    <row r="125" spans="1:24">
      <c r="A125" t="s">
        <v>81</v>
      </c>
      <c r="B125" s="239">
        <v>99.80854274300826</v>
      </c>
      <c r="C125" s="239"/>
      <c r="D125" t="s">
        <v>37</v>
      </c>
      <c r="E125" t="s">
        <v>40</v>
      </c>
      <c r="F125" t="s">
        <v>29</v>
      </c>
      <c r="G125" t="s">
        <v>82</v>
      </c>
      <c r="H125" t="s">
        <v>33</v>
      </c>
      <c r="I125">
        <v>2</v>
      </c>
      <c r="J125">
        <f t="shared" si="6"/>
        <v>4.6032537782814025</v>
      </c>
      <c r="K125">
        <v>0.28635642126552707</v>
      </c>
      <c r="L125" t="s">
        <v>31</v>
      </c>
      <c r="M125" t="s">
        <v>31</v>
      </c>
      <c r="N125" t="s">
        <v>31</v>
      </c>
      <c r="P125" s="22"/>
      <c r="Q125" t="s">
        <v>268</v>
      </c>
    </row>
    <row r="126" spans="1:24">
      <c r="A126" t="s">
        <v>77</v>
      </c>
      <c r="B126" s="239">
        <v>1875.1411762204202</v>
      </c>
      <c r="C126" s="239"/>
      <c r="D126" t="s">
        <v>37</v>
      </c>
      <c r="E126" t="s">
        <v>43</v>
      </c>
      <c r="F126" t="s">
        <v>44</v>
      </c>
      <c r="G126" t="s">
        <v>29</v>
      </c>
      <c r="H126" t="s">
        <v>45</v>
      </c>
      <c r="I126">
        <v>2</v>
      </c>
      <c r="J126">
        <f t="shared" si="6"/>
        <v>7.5364392295542855</v>
      </c>
      <c r="K126">
        <v>0.28635642126552707</v>
      </c>
      <c r="L126" t="s">
        <v>31</v>
      </c>
      <c r="M126" t="s">
        <v>31</v>
      </c>
      <c r="N126" t="s">
        <v>31</v>
      </c>
      <c r="P126" s="22"/>
      <c r="Q126" t="s">
        <v>268</v>
      </c>
    </row>
    <row r="127" spans="1:24">
      <c r="A127" t="s">
        <v>79</v>
      </c>
      <c r="B127" s="239">
        <v>2.0059138650618945E-2</v>
      </c>
      <c r="C127" s="239"/>
      <c r="D127" t="s">
        <v>37</v>
      </c>
      <c r="E127" t="s">
        <v>43</v>
      </c>
      <c r="F127" t="s">
        <v>44</v>
      </c>
      <c r="G127" t="s">
        <v>29</v>
      </c>
      <c r="H127" t="s">
        <v>45</v>
      </c>
      <c r="I127">
        <v>2</v>
      </c>
      <c r="J127">
        <f t="shared" si="6"/>
        <v>-3.9090704360233315</v>
      </c>
      <c r="K127">
        <v>0.28635642126552707</v>
      </c>
      <c r="L127" t="s">
        <v>31</v>
      </c>
      <c r="M127" t="s">
        <v>31</v>
      </c>
      <c r="N127" t="s">
        <v>31</v>
      </c>
      <c r="P127" s="22"/>
      <c r="Q127" t="s">
        <v>268</v>
      </c>
    </row>
    <row r="128" spans="1:24">
      <c r="A128" t="s">
        <v>80</v>
      </c>
      <c r="B128">
        <v>0.31808062717410041</v>
      </c>
      <c r="D128" t="s">
        <v>37</v>
      </c>
      <c r="E128" t="s">
        <v>43</v>
      </c>
      <c r="F128" t="s">
        <v>44</v>
      </c>
      <c r="G128" t="s">
        <v>29</v>
      </c>
      <c r="H128" t="s">
        <v>45</v>
      </c>
      <c r="I128">
        <v>2</v>
      </c>
      <c r="J128">
        <f t="shared" si="6"/>
        <v>-1.1454503837663106</v>
      </c>
      <c r="K128">
        <v>0.28635642126552707</v>
      </c>
      <c r="L128" t="s">
        <v>31</v>
      </c>
      <c r="M128" t="s">
        <v>31</v>
      </c>
      <c r="N128" t="s">
        <v>31</v>
      </c>
      <c r="P128" s="22"/>
      <c r="Q128" t="s">
        <v>268</v>
      </c>
    </row>
    <row r="129" spans="1:17">
      <c r="A129" t="s">
        <v>78</v>
      </c>
      <c r="B129">
        <v>1.5058681944143222</v>
      </c>
      <c r="D129" t="s">
        <v>37</v>
      </c>
      <c r="E129" t="s">
        <v>43</v>
      </c>
      <c r="F129" t="s">
        <v>44</v>
      </c>
      <c r="G129" t="s">
        <v>29</v>
      </c>
      <c r="H129" t="s">
        <v>45</v>
      </c>
      <c r="I129">
        <v>2</v>
      </c>
      <c r="J129">
        <f t="shared" si="6"/>
        <v>0.40936960523836108</v>
      </c>
      <c r="K129">
        <v>0.28635642126552707</v>
      </c>
      <c r="L129" t="s">
        <v>31</v>
      </c>
      <c r="M129" t="s">
        <v>31</v>
      </c>
      <c r="N129" t="s">
        <v>31</v>
      </c>
      <c r="P129" s="22"/>
      <c r="Q129" t="s">
        <v>268</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06185-83DE-4BD6-8773-13FBF546FE25}">
  <dimension ref="A1:X48"/>
  <sheetViews>
    <sheetView workbookViewId="0">
      <selection activeCell="A12" sqref="A12"/>
    </sheetView>
  </sheetViews>
  <sheetFormatPr defaultRowHeight="14.4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273" customFormat="1">
      <c r="A1" s="273" t="s">
        <v>0</v>
      </c>
      <c r="B1" s="273" t="s">
        <v>467</v>
      </c>
      <c r="C1" s="146"/>
    </row>
    <row r="2" spans="1:24">
      <c r="A2" s="229" t="s">
        <v>5</v>
      </c>
      <c r="B2" s="229" t="s">
        <v>456</v>
      </c>
      <c r="C2" s="229"/>
      <c r="D2" s="74"/>
      <c r="E2" s="73"/>
      <c r="F2" s="73"/>
      <c r="G2" s="73"/>
      <c r="H2" s="73"/>
      <c r="I2" s="73"/>
      <c r="J2" s="73"/>
      <c r="K2" s="73"/>
      <c r="L2" s="73"/>
      <c r="M2" s="73"/>
      <c r="N2" s="73"/>
      <c r="O2" s="73"/>
      <c r="P2" s="73"/>
      <c r="Q2" s="73" t="s">
        <v>268</v>
      </c>
      <c r="S2" s="22"/>
      <c r="T2" s="22"/>
      <c r="U2" s="22"/>
      <c r="V2" s="22"/>
      <c r="W2" s="22"/>
      <c r="X2" s="22"/>
    </row>
    <row r="3" spans="1:24">
      <c r="A3" t="s">
        <v>7</v>
      </c>
      <c r="B3" t="s">
        <v>263</v>
      </c>
      <c r="Q3" t="s">
        <v>268</v>
      </c>
      <c r="S3" s="22"/>
      <c r="T3" s="22"/>
      <c r="U3" s="22"/>
      <c r="V3" s="22"/>
      <c r="W3" s="22"/>
      <c r="X3" s="22"/>
    </row>
    <row r="4" spans="1:24">
      <c r="A4" t="s">
        <v>9</v>
      </c>
      <c r="B4" s="22" t="s">
        <v>468</v>
      </c>
      <c r="C4" s="22"/>
      <c r="Q4" t="s">
        <v>268</v>
      </c>
      <c r="S4" s="22"/>
      <c r="T4" s="22"/>
      <c r="U4" s="22"/>
      <c r="V4" s="22"/>
      <c r="W4" s="22"/>
      <c r="X4" s="22"/>
    </row>
    <row r="5" spans="1:24">
      <c r="A5" t="s">
        <v>11</v>
      </c>
      <c r="B5" t="s">
        <v>469</v>
      </c>
      <c r="Q5" t="s">
        <v>268</v>
      </c>
      <c r="S5" s="22"/>
      <c r="T5" s="22"/>
      <c r="U5" s="22"/>
      <c r="V5" s="22"/>
      <c r="W5" s="22"/>
      <c r="X5" s="22"/>
    </row>
    <row r="6" spans="1:24">
      <c r="A6" t="s">
        <v>13</v>
      </c>
      <c r="B6" t="s">
        <v>82</v>
      </c>
      <c r="Q6" t="s">
        <v>268</v>
      </c>
      <c r="S6" s="22"/>
      <c r="T6" s="22"/>
      <c r="U6" s="22"/>
      <c r="V6" s="22"/>
      <c r="W6" s="22"/>
      <c r="X6" s="22"/>
    </row>
    <row r="7" spans="1:24">
      <c r="A7" t="s">
        <v>15</v>
      </c>
      <c r="B7">
        <v>1</v>
      </c>
      <c r="Q7" t="s">
        <v>268</v>
      </c>
      <c r="S7" s="22"/>
      <c r="T7" s="22"/>
      <c r="U7" s="22"/>
      <c r="V7" s="22"/>
      <c r="W7" s="22"/>
      <c r="X7" s="22"/>
    </row>
    <row r="8" spans="1:24">
      <c r="A8" t="s">
        <v>16</v>
      </c>
      <c r="B8" t="s">
        <v>17</v>
      </c>
      <c r="Q8" t="s">
        <v>268</v>
      </c>
      <c r="S8" s="22"/>
      <c r="T8" s="22"/>
      <c r="U8" s="22"/>
      <c r="V8" s="22"/>
      <c r="W8" s="22"/>
      <c r="X8" s="22"/>
    </row>
    <row r="9" spans="1:24">
      <c r="A9" t="s">
        <v>18</v>
      </c>
      <c r="B9" t="s">
        <v>37</v>
      </c>
      <c r="E9" t="s">
        <v>185</v>
      </c>
      <c r="Q9" t="s">
        <v>268</v>
      </c>
      <c r="S9" s="22"/>
      <c r="T9" s="22"/>
      <c r="U9" s="22"/>
      <c r="V9" s="22"/>
      <c r="W9" s="22"/>
      <c r="X9" s="22"/>
    </row>
    <row r="10" spans="1:24">
      <c r="A10" s="143" t="s">
        <v>19</v>
      </c>
      <c r="Q10" t="s">
        <v>268</v>
      </c>
      <c r="S10" s="22"/>
      <c r="T10" s="22"/>
      <c r="U10" s="22"/>
      <c r="V10" s="22"/>
      <c r="W10" s="22"/>
      <c r="X10" s="22"/>
    </row>
    <row r="11" spans="1:24">
      <c r="A11" s="143" t="s">
        <v>20</v>
      </c>
      <c r="B11" s="143" t="s">
        <v>21</v>
      </c>
      <c r="C11" s="143" t="s">
        <v>186</v>
      </c>
      <c r="D11" s="143" t="s">
        <v>18</v>
      </c>
      <c r="E11" s="143" t="s">
        <v>22</v>
      </c>
      <c r="F11" s="143" t="s">
        <v>7</v>
      </c>
      <c r="G11" s="143" t="s">
        <v>13</v>
      </c>
      <c r="H11" s="143" t="s">
        <v>16</v>
      </c>
      <c r="I11" s="143" t="s">
        <v>23</v>
      </c>
      <c r="J11" s="143" t="s">
        <v>24</v>
      </c>
      <c r="K11" s="143" t="s">
        <v>25</v>
      </c>
      <c r="L11" s="143" t="s">
        <v>26</v>
      </c>
      <c r="M11" s="143" t="s">
        <v>27</v>
      </c>
      <c r="N11" s="143" t="s">
        <v>28</v>
      </c>
      <c r="O11" s="143" t="s">
        <v>11</v>
      </c>
      <c r="P11" s="177" t="s">
        <v>428</v>
      </c>
      <c r="Q11" t="s">
        <v>268</v>
      </c>
      <c r="S11" s="22"/>
      <c r="T11" s="22"/>
      <c r="U11" s="22"/>
      <c r="V11" s="22"/>
      <c r="W11" s="22"/>
      <c r="X11" s="22"/>
    </row>
    <row r="12" spans="1:24">
      <c r="A12" t="s">
        <v>456</v>
      </c>
      <c r="B12">
        <v>1</v>
      </c>
      <c r="D12" t="s">
        <v>37</v>
      </c>
      <c r="E12" t="s">
        <v>2</v>
      </c>
      <c r="F12" t="s">
        <v>29</v>
      </c>
      <c r="G12" t="s">
        <v>82</v>
      </c>
      <c r="H12" t="s">
        <v>30</v>
      </c>
      <c r="I12">
        <v>1</v>
      </c>
      <c r="J12">
        <v>1</v>
      </c>
      <c r="K12" t="s">
        <v>31</v>
      </c>
      <c r="L12" t="s">
        <v>31</v>
      </c>
      <c r="M12" t="s">
        <v>31</v>
      </c>
      <c r="N12" t="s">
        <v>31</v>
      </c>
      <c r="Q12" t="s">
        <v>268</v>
      </c>
      <c r="S12" s="22"/>
      <c r="T12" s="22"/>
      <c r="U12" s="22"/>
      <c r="V12" s="22"/>
      <c r="W12" s="22"/>
      <c r="X12" s="22"/>
    </row>
    <row r="13" spans="1:24">
      <c r="A13" s="58" t="s">
        <v>81</v>
      </c>
      <c r="B13">
        <v>-1</v>
      </c>
      <c r="D13" t="s">
        <v>37</v>
      </c>
      <c r="E13" s="228" t="s">
        <v>40</v>
      </c>
      <c r="F13" s="228" t="s">
        <v>29</v>
      </c>
      <c r="G13" s="228" t="s">
        <v>82</v>
      </c>
      <c r="H13" s="228" t="s">
        <v>33</v>
      </c>
      <c r="I13">
        <v>1</v>
      </c>
      <c r="J13">
        <v>1</v>
      </c>
      <c r="K13" t="s">
        <v>31</v>
      </c>
      <c r="L13" t="s">
        <v>31</v>
      </c>
      <c r="M13" t="s">
        <v>31</v>
      </c>
      <c r="N13" t="s">
        <v>31</v>
      </c>
      <c r="Q13" s="22" t="s">
        <v>268</v>
      </c>
      <c r="S13" s="22"/>
      <c r="T13" s="22"/>
      <c r="U13" s="22"/>
      <c r="V13" s="22"/>
      <c r="W13" s="22"/>
      <c r="X13" s="22"/>
    </row>
    <row r="14" spans="1:24">
      <c r="A14" s="229" t="s">
        <v>5</v>
      </c>
      <c r="B14" s="229" t="s">
        <v>470</v>
      </c>
      <c r="C14" s="229"/>
      <c r="D14" s="74"/>
      <c r="E14" s="73"/>
      <c r="F14" s="73"/>
      <c r="G14" s="73"/>
      <c r="H14" s="73"/>
      <c r="I14" s="73"/>
      <c r="J14" s="73"/>
      <c r="K14" s="73"/>
      <c r="L14" s="73"/>
      <c r="M14" s="73"/>
      <c r="N14" s="73"/>
      <c r="O14" s="73"/>
      <c r="P14" s="73"/>
      <c r="Q14" s="73" t="s">
        <v>268</v>
      </c>
      <c r="S14" s="22"/>
      <c r="T14" s="22"/>
      <c r="U14" s="22"/>
      <c r="V14" s="22"/>
      <c r="W14" s="22"/>
      <c r="X14" s="22"/>
    </row>
    <row r="15" spans="1:24">
      <c r="A15" t="s">
        <v>7</v>
      </c>
      <c r="B15" t="s">
        <v>263</v>
      </c>
      <c r="Q15" t="s">
        <v>268</v>
      </c>
      <c r="S15" s="22"/>
      <c r="T15" s="22"/>
      <c r="U15" s="22"/>
      <c r="V15" s="22"/>
      <c r="W15" s="22"/>
      <c r="X15" s="22"/>
    </row>
    <row r="16" spans="1:24">
      <c r="A16" t="s">
        <v>9</v>
      </c>
      <c r="B16" s="22" t="s">
        <v>471</v>
      </c>
      <c r="C16" s="22"/>
      <c r="Q16" t="s">
        <v>268</v>
      </c>
      <c r="S16" s="22"/>
      <c r="T16" s="22"/>
      <c r="U16" s="22"/>
      <c r="V16" s="22"/>
      <c r="W16" s="22"/>
      <c r="X16" s="22"/>
    </row>
    <row r="17" spans="1:24">
      <c r="A17" t="s">
        <v>11</v>
      </c>
      <c r="B17" t="s">
        <v>469</v>
      </c>
      <c r="Q17" t="s">
        <v>268</v>
      </c>
      <c r="S17" s="22"/>
      <c r="T17" s="22"/>
      <c r="U17" s="22"/>
      <c r="V17" s="22"/>
      <c r="W17" s="22"/>
      <c r="X17" s="22"/>
    </row>
    <row r="18" spans="1:24">
      <c r="A18" t="s">
        <v>13</v>
      </c>
      <c r="B18" t="s">
        <v>59</v>
      </c>
      <c r="Q18" t="s">
        <v>268</v>
      </c>
      <c r="S18" s="22"/>
      <c r="T18" s="22"/>
      <c r="U18" s="22"/>
      <c r="V18" s="22"/>
      <c r="W18" s="22"/>
      <c r="X18" s="22"/>
    </row>
    <row r="19" spans="1:24">
      <c r="A19" t="s">
        <v>15</v>
      </c>
      <c r="B19">
        <v>1</v>
      </c>
      <c r="Q19" t="s">
        <v>268</v>
      </c>
      <c r="S19" s="22"/>
      <c r="T19" s="22"/>
      <c r="U19" s="22"/>
      <c r="V19" s="22"/>
      <c r="W19" s="22"/>
      <c r="X19" s="22"/>
    </row>
    <row r="20" spans="1:24">
      <c r="A20" t="s">
        <v>16</v>
      </c>
      <c r="B20" t="s">
        <v>17</v>
      </c>
      <c r="Q20" t="s">
        <v>268</v>
      </c>
      <c r="S20" s="22"/>
      <c r="T20" s="22"/>
      <c r="U20" s="22"/>
      <c r="V20" s="22"/>
      <c r="W20" s="22"/>
      <c r="X20" s="22"/>
    </row>
    <row r="21" spans="1:24">
      <c r="A21" t="s">
        <v>18</v>
      </c>
      <c r="B21" t="s">
        <v>37</v>
      </c>
      <c r="E21" t="s">
        <v>185</v>
      </c>
      <c r="Q21" t="s">
        <v>268</v>
      </c>
      <c r="S21" s="22"/>
      <c r="T21" s="22"/>
      <c r="U21" s="22"/>
      <c r="V21" s="22"/>
      <c r="W21" s="22"/>
      <c r="X21" s="22"/>
    </row>
    <row r="22" spans="1:24">
      <c r="A22" s="143" t="s">
        <v>19</v>
      </c>
      <c r="Q22" t="s">
        <v>268</v>
      </c>
      <c r="S22" s="22"/>
      <c r="T22" s="22"/>
      <c r="U22" s="22"/>
      <c r="V22" s="22"/>
      <c r="W22" s="22"/>
      <c r="X22" s="22"/>
    </row>
    <row r="23" spans="1:24">
      <c r="A23" s="143" t="s">
        <v>20</v>
      </c>
      <c r="B23" s="143" t="s">
        <v>21</v>
      </c>
      <c r="C23" s="143" t="s">
        <v>186</v>
      </c>
      <c r="D23" s="143" t="s">
        <v>18</v>
      </c>
      <c r="E23" s="143" t="s">
        <v>22</v>
      </c>
      <c r="F23" s="143" t="s">
        <v>7</v>
      </c>
      <c r="G23" s="143" t="s">
        <v>13</v>
      </c>
      <c r="H23" s="143" t="s">
        <v>16</v>
      </c>
      <c r="I23" s="143" t="s">
        <v>23</v>
      </c>
      <c r="J23" s="143" t="s">
        <v>24</v>
      </c>
      <c r="K23" s="143" t="s">
        <v>25</v>
      </c>
      <c r="L23" s="143" t="s">
        <v>26</v>
      </c>
      <c r="M23" s="143" t="s">
        <v>27</v>
      </c>
      <c r="N23" s="143" t="s">
        <v>28</v>
      </c>
      <c r="O23" s="143" t="s">
        <v>11</v>
      </c>
      <c r="P23" s="177" t="s">
        <v>428</v>
      </c>
      <c r="Q23" t="s">
        <v>268</v>
      </c>
      <c r="S23" s="22"/>
      <c r="T23" s="22"/>
      <c r="U23" s="22"/>
      <c r="V23" s="22"/>
      <c r="W23" s="22"/>
      <c r="X23" s="22"/>
    </row>
    <row r="24" spans="1:24">
      <c r="A24" t="s">
        <v>470</v>
      </c>
      <c r="B24">
        <v>1</v>
      </c>
      <c r="D24" t="s">
        <v>37</v>
      </c>
      <c r="E24" t="s">
        <v>2</v>
      </c>
      <c r="F24" t="s">
        <v>29</v>
      </c>
      <c r="G24" t="s">
        <v>59</v>
      </c>
      <c r="H24" t="s">
        <v>30</v>
      </c>
      <c r="I24">
        <v>1</v>
      </c>
      <c r="J24">
        <v>1</v>
      </c>
      <c r="K24" t="s">
        <v>31</v>
      </c>
      <c r="L24" t="s">
        <v>31</v>
      </c>
      <c r="M24" t="s">
        <v>31</v>
      </c>
      <c r="N24" t="s">
        <v>31</v>
      </c>
      <c r="Q24" t="s">
        <v>268</v>
      </c>
      <c r="S24" s="22"/>
      <c r="T24" s="22"/>
      <c r="U24" s="22"/>
      <c r="V24" s="22"/>
      <c r="W24" s="22"/>
      <c r="X24" s="22"/>
    </row>
    <row r="25" spans="1:24">
      <c r="A25" s="205" t="s">
        <v>472</v>
      </c>
      <c r="B25">
        <v>-1</v>
      </c>
      <c r="D25" t="s">
        <v>37</v>
      </c>
      <c r="E25" s="228" t="s">
        <v>40</v>
      </c>
      <c r="F25" s="228" t="s">
        <v>29</v>
      </c>
      <c r="G25" s="228" t="s">
        <v>59</v>
      </c>
      <c r="H25" s="228" t="s">
        <v>33</v>
      </c>
      <c r="I25">
        <v>1</v>
      </c>
      <c r="J25">
        <v>1</v>
      </c>
      <c r="K25" t="s">
        <v>31</v>
      </c>
      <c r="L25" t="s">
        <v>31</v>
      </c>
      <c r="M25" t="s">
        <v>31</v>
      </c>
      <c r="N25" t="s">
        <v>31</v>
      </c>
      <c r="Q25" s="22" t="s">
        <v>268</v>
      </c>
      <c r="S25" s="22"/>
      <c r="T25" s="22"/>
      <c r="U25" s="22"/>
      <c r="V25" s="22"/>
      <c r="W25" s="22"/>
      <c r="X25" s="22"/>
    </row>
    <row r="26" spans="1:24" s="73" customFormat="1">
      <c r="A26" s="229" t="s">
        <v>5</v>
      </c>
      <c r="B26" s="229" t="s">
        <v>473</v>
      </c>
      <c r="C26" s="229"/>
      <c r="D26" s="74"/>
      <c r="Q26" s="73" t="s">
        <v>268</v>
      </c>
      <c r="S26" s="230"/>
      <c r="T26" s="230"/>
      <c r="U26" s="230"/>
      <c r="V26" s="230"/>
      <c r="W26" s="230"/>
      <c r="X26" s="230"/>
    </row>
    <row r="27" spans="1:24">
      <c r="A27" t="s">
        <v>7</v>
      </c>
      <c r="B27" t="s">
        <v>263</v>
      </c>
      <c r="Q27" t="s">
        <v>268</v>
      </c>
      <c r="S27" s="22"/>
      <c r="T27" s="22"/>
      <c r="U27" s="22"/>
      <c r="V27" s="22"/>
      <c r="W27" s="22"/>
      <c r="X27" s="22"/>
    </row>
    <row r="28" spans="1:24">
      <c r="A28" t="s">
        <v>9</v>
      </c>
      <c r="B28" s="22" t="s">
        <v>474</v>
      </c>
      <c r="C28" s="22"/>
      <c r="Q28" t="s">
        <v>268</v>
      </c>
      <c r="S28" s="22"/>
      <c r="T28" s="22"/>
      <c r="U28" s="22"/>
      <c r="V28" s="22"/>
      <c r="W28" s="22"/>
      <c r="X28" s="22"/>
    </row>
    <row r="29" spans="1:24">
      <c r="A29" t="s">
        <v>11</v>
      </c>
      <c r="B29" t="s">
        <v>469</v>
      </c>
      <c r="Q29" t="s">
        <v>268</v>
      </c>
      <c r="S29" s="22"/>
      <c r="T29" s="22"/>
      <c r="U29" s="22"/>
      <c r="V29" s="22"/>
      <c r="W29" s="22"/>
      <c r="X29" s="22"/>
    </row>
    <row r="30" spans="1:24">
      <c r="A30" t="s">
        <v>13</v>
      </c>
      <c r="B30" t="s">
        <v>82</v>
      </c>
      <c r="Q30" t="s">
        <v>268</v>
      </c>
      <c r="S30" s="22"/>
      <c r="T30" s="22"/>
      <c r="U30" s="22"/>
      <c r="V30" s="22"/>
      <c r="W30" s="22"/>
      <c r="X30" s="22"/>
    </row>
    <row r="31" spans="1:24">
      <c r="A31" t="s">
        <v>15</v>
      </c>
      <c r="B31">
        <v>1</v>
      </c>
      <c r="Q31" t="s">
        <v>268</v>
      </c>
      <c r="S31" s="22"/>
      <c r="T31" s="22"/>
      <c r="U31" s="22"/>
      <c r="V31" s="22"/>
      <c r="W31" s="22"/>
      <c r="X31" s="22"/>
    </row>
    <row r="32" spans="1:24">
      <c r="A32" t="s">
        <v>16</v>
      </c>
      <c r="B32" t="s">
        <v>17</v>
      </c>
      <c r="Q32" t="s">
        <v>268</v>
      </c>
      <c r="S32" s="22"/>
      <c r="T32" s="22"/>
      <c r="U32" s="22"/>
      <c r="V32" s="22"/>
      <c r="W32" s="22"/>
      <c r="X32" s="22"/>
    </row>
    <row r="33" spans="1:24">
      <c r="A33" t="s">
        <v>18</v>
      </c>
      <c r="B33" t="str">
        <f>D36</f>
        <v>kilogram</v>
      </c>
      <c r="E33" t="s">
        <v>185</v>
      </c>
      <c r="Q33" t="s">
        <v>268</v>
      </c>
      <c r="S33" s="22"/>
      <c r="T33" s="22"/>
      <c r="U33" s="22"/>
      <c r="V33" s="22"/>
      <c r="W33" s="22"/>
      <c r="X33" s="22"/>
    </row>
    <row r="34" spans="1:24">
      <c r="A34" s="143" t="s">
        <v>19</v>
      </c>
      <c r="Q34" t="s">
        <v>268</v>
      </c>
      <c r="S34" s="22"/>
      <c r="T34" s="22"/>
      <c r="U34" s="22"/>
      <c r="V34" s="22"/>
      <c r="W34" s="22"/>
      <c r="X34" s="22"/>
    </row>
    <row r="35" spans="1:24">
      <c r="A35" s="143" t="s">
        <v>20</v>
      </c>
      <c r="B35" s="143" t="s">
        <v>21</v>
      </c>
      <c r="C35" s="143" t="s">
        <v>186</v>
      </c>
      <c r="D35" s="143" t="s">
        <v>18</v>
      </c>
      <c r="E35" s="143" t="s">
        <v>22</v>
      </c>
      <c r="F35" s="143" t="s">
        <v>7</v>
      </c>
      <c r="G35" s="143" t="s">
        <v>13</v>
      </c>
      <c r="H35" s="143" t="s">
        <v>16</v>
      </c>
      <c r="I35" s="143" t="s">
        <v>23</v>
      </c>
      <c r="J35" s="143" t="s">
        <v>24</v>
      </c>
      <c r="K35" s="143" t="s">
        <v>25</v>
      </c>
      <c r="L35" s="143" t="s">
        <v>26</v>
      </c>
      <c r="M35" s="143" t="s">
        <v>27</v>
      </c>
      <c r="N35" s="143" t="s">
        <v>28</v>
      </c>
      <c r="O35" s="143" t="s">
        <v>11</v>
      </c>
      <c r="P35" s="177" t="s">
        <v>428</v>
      </c>
      <c r="Q35" t="s">
        <v>268</v>
      </c>
      <c r="S35" s="22"/>
      <c r="T35" s="22"/>
      <c r="U35" s="22"/>
      <c r="V35" s="22"/>
      <c r="W35" s="22"/>
      <c r="X35" s="22"/>
    </row>
    <row r="36" spans="1:24">
      <c r="A36" t="s">
        <v>473</v>
      </c>
      <c r="B36">
        <v>1</v>
      </c>
      <c r="D36" t="s">
        <v>37</v>
      </c>
      <c r="E36" t="s">
        <v>2</v>
      </c>
      <c r="F36" t="s">
        <v>29</v>
      </c>
      <c r="G36" t="s">
        <v>82</v>
      </c>
      <c r="H36" t="s">
        <v>30</v>
      </c>
      <c r="I36">
        <v>1</v>
      </c>
      <c r="J36">
        <v>1</v>
      </c>
      <c r="K36" t="s">
        <v>31</v>
      </c>
      <c r="L36" t="s">
        <v>31</v>
      </c>
      <c r="M36" t="s">
        <v>31</v>
      </c>
      <c r="N36" t="s">
        <v>31</v>
      </c>
      <c r="Q36" t="s">
        <v>268</v>
      </c>
      <c r="S36" s="22"/>
      <c r="T36" s="22"/>
      <c r="U36" s="22"/>
      <c r="V36" s="22"/>
      <c r="W36" s="22"/>
      <c r="X36" s="22"/>
    </row>
    <row r="37" spans="1:24" s="275" customFormat="1">
      <c r="A37" s="274" t="s">
        <v>146</v>
      </c>
      <c r="B37" s="275">
        <v>-1</v>
      </c>
      <c r="C37" s="276"/>
      <c r="D37" s="275" t="s">
        <v>37</v>
      </c>
      <c r="E37" s="277" t="s">
        <v>40</v>
      </c>
      <c r="F37" s="277" t="s">
        <v>29</v>
      </c>
      <c r="G37" s="275" t="s">
        <v>82</v>
      </c>
      <c r="H37" s="277" t="s">
        <v>33</v>
      </c>
      <c r="I37" s="275">
        <v>1</v>
      </c>
      <c r="J37" s="275">
        <v>1</v>
      </c>
      <c r="K37" s="275" t="s">
        <v>31</v>
      </c>
      <c r="L37" s="275" t="s">
        <v>31</v>
      </c>
      <c r="M37" s="275" t="s">
        <v>31</v>
      </c>
      <c r="N37" s="275" t="s">
        <v>31</v>
      </c>
      <c r="Q37" s="278" t="s">
        <v>268</v>
      </c>
      <c r="S37" s="278"/>
      <c r="T37" s="278"/>
      <c r="U37" s="278"/>
      <c r="V37" s="278"/>
      <c r="W37" s="278"/>
      <c r="X37" s="278"/>
    </row>
    <row r="38" spans="1:24" s="273" customFormat="1">
      <c r="A38" s="279"/>
      <c r="C38" s="146"/>
      <c r="D38" s="146"/>
      <c r="E38" s="146"/>
      <c r="F38" s="146"/>
      <c r="G38" s="146"/>
      <c r="H38" s="146"/>
      <c r="Q38" s="279"/>
      <c r="R38" s="280"/>
      <c r="S38" s="146"/>
      <c r="T38" s="146"/>
    </row>
    <row r="39" spans="1:24" s="273" customFormat="1">
      <c r="A39" s="279"/>
      <c r="C39" s="146"/>
      <c r="D39" s="146"/>
      <c r="E39" s="146"/>
      <c r="F39" s="146"/>
      <c r="G39" s="146"/>
      <c r="Q39" s="279"/>
      <c r="R39" s="280"/>
      <c r="S39" s="146"/>
      <c r="T39" s="146"/>
    </row>
    <row r="40" spans="1:24" s="273" customFormat="1">
      <c r="A40" s="279"/>
      <c r="C40" s="146"/>
      <c r="D40" s="146"/>
      <c r="E40" s="146"/>
      <c r="F40" s="146"/>
      <c r="G40" s="146"/>
      <c r="Q40" s="279"/>
      <c r="R40" s="280"/>
      <c r="S40" s="146"/>
      <c r="T40" s="146"/>
    </row>
    <row r="41" spans="1:24" s="273" customFormat="1">
      <c r="A41" s="279"/>
      <c r="B41" s="280"/>
      <c r="C41" s="146"/>
      <c r="D41" s="146"/>
      <c r="E41" s="146"/>
      <c r="F41" s="146"/>
      <c r="G41" s="146"/>
      <c r="H41" s="146"/>
      <c r="Q41" s="281"/>
      <c r="R41" s="280"/>
      <c r="S41" s="146"/>
      <c r="T41" s="146"/>
    </row>
    <row r="42" spans="1:24" s="273" customFormat="1"/>
    <row r="43" spans="1:24" s="273" customFormat="1">
      <c r="A43" s="282"/>
      <c r="C43" s="146"/>
      <c r="D43" s="146"/>
      <c r="E43" s="146"/>
      <c r="F43" s="283"/>
      <c r="G43" s="146"/>
    </row>
    <row r="44" spans="1:24" s="273" customFormat="1">
      <c r="B44" s="280"/>
      <c r="H44" s="146"/>
    </row>
    <row r="45" spans="1:24" s="273" customFormat="1">
      <c r="B45" s="280"/>
    </row>
    <row r="46" spans="1:24" s="273" customFormat="1">
      <c r="B46" s="280"/>
    </row>
    <row r="47" spans="1:24" s="273" customFormat="1">
      <c r="B47" s="280"/>
      <c r="H47" s="146"/>
    </row>
    <row r="48" spans="1:24" s="273" customForma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C33EE-8F39-4654-BE30-E25DC3FD6BCE}">
  <dimension ref="A1:O276"/>
  <sheetViews>
    <sheetView zoomScale="70" zoomScaleNormal="70" workbookViewId="0">
      <selection activeCell="A12" sqref="A12"/>
    </sheetView>
  </sheetViews>
  <sheetFormatPr defaultColWidth="8.7109375" defaultRowHeight="14.45"/>
  <cols>
    <col min="1" max="1" width="86.7109375" style="50" customWidth="1"/>
    <col min="2" max="3" width="19.85546875" style="284" customWidth="1"/>
    <col min="4" max="4" width="10.140625" style="50" customWidth="1"/>
    <col min="5" max="5" width="31" style="50" bestFit="1" customWidth="1"/>
    <col min="6" max="6" width="25.5703125" style="50" customWidth="1"/>
    <col min="7" max="8" width="8.7109375" style="50"/>
    <col min="9" max="12" width="8.7109375" style="285"/>
    <col min="13" max="14" width="11.85546875" style="285" bestFit="1" customWidth="1"/>
    <col min="15" max="15" width="40.140625" style="50" bestFit="1" customWidth="1"/>
    <col min="16" max="16384" width="8.7109375" style="50"/>
  </cols>
  <sheetData>
    <row r="1" spans="1:15">
      <c r="A1" s="50" t="s">
        <v>0</v>
      </c>
      <c r="B1" s="284">
        <v>14</v>
      </c>
      <c r="D1" s="66" t="s">
        <v>408</v>
      </c>
    </row>
    <row r="2" spans="1:15" s="54" customFormat="1" ht="15.6">
      <c r="A2" s="56" t="s">
        <v>5</v>
      </c>
      <c r="B2" s="56" t="s">
        <v>475</v>
      </c>
      <c r="C2" s="56"/>
      <c r="D2" s="55"/>
    </row>
    <row r="3" spans="1:15">
      <c r="A3" s="50" t="s">
        <v>7</v>
      </c>
      <c r="B3" s="50" t="s">
        <v>476</v>
      </c>
      <c r="C3" s="50"/>
      <c r="I3" s="50"/>
      <c r="J3" s="50"/>
      <c r="K3" s="50"/>
      <c r="L3" s="50"/>
      <c r="M3" s="50"/>
      <c r="N3" s="50"/>
    </row>
    <row r="4" spans="1:15">
      <c r="A4" s="50" t="s">
        <v>9</v>
      </c>
      <c r="B4" s="50" t="str">
        <f ca="1">UPPER(CONCATENATE(DEC2HEX(RANDBETWEEN(0,POWER(16,8)),8),DEC2HEX(RANDBETWEEN(0,POWER(16,4)),4),"4",DEC2HEX(RANDBETWEEN(0,POWER(16,3)),3),DEC2HEX(RANDBETWEEN(8,11)),DEC2HEX(RANDBETWEEN(0,POWER(16,3)),3),DEC2HEX(RANDBETWEEN(0,POWER(16,8)),8),DEC2HEX(RANDBETWEEN(0,POWER(16,4)),4)))</f>
        <v>00A171E8376B429C84C6F0D97C5AC13A</v>
      </c>
      <c r="C4" s="50"/>
      <c r="I4" s="50"/>
      <c r="J4" s="50"/>
      <c r="K4" s="50"/>
      <c r="L4" s="50"/>
      <c r="M4" s="50"/>
      <c r="N4" s="50"/>
    </row>
    <row r="5" spans="1:15">
      <c r="A5" s="50" t="s">
        <v>11</v>
      </c>
      <c r="B5" s="50" t="s">
        <v>477</v>
      </c>
      <c r="C5" s="50"/>
      <c r="I5" s="50"/>
      <c r="J5" s="50"/>
      <c r="K5" s="50"/>
      <c r="L5" s="50"/>
      <c r="M5" s="50"/>
      <c r="N5" s="50"/>
    </row>
    <row r="6" spans="1:15">
      <c r="A6" s="50" t="s">
        <v>13</v>
      </c>
      <c r="B6" s="284" t="s">
        <v>59</v>
      </c>
    </row>
    <row r="7" spans="1:15">
      <c r="A7" s="50" t="s">
        <v>15</v>
      </c>
      <c r="B7" s="50">
        <v>1</v>
      </c>
      <c r="C7" s="50"/>
    </row>
    <row r="8" spans="1:15">
      <c r="A8" s="50" t="s">
        <v>16</v>
      </c>
      <c r="B8" s="50" t="s">
        <v>17</v>
      </c>
      <c r="C8" s="50"/>
    </row>
    <row r="9" spans="1:15">
      <c r="A9" s="50" t="s">
        <v>18</v>
      </c>
      <c r="B9" s="50" t="s">
        <v>37</v>
      </c>
      <c r="C9" s="50"/>
    </row>
    <row r="10" spans="1:15" ht="15.6">
      <c r="A10" s="53" t="s">
        <v>19</v>
      </c>
      <c r="B10" s="50"/>
      <c r="C10" s="50"/>
    </row>
    <row r="11" spans="1:15" ht="15.6">
      <c r="A11" s="53" t="s">
        <v>20</v>
      </c>
      <c r="B11" s="286" t="s">
        <v>21</v>
      </c>
      <c r="C11" s="286" t="s">
        <v>186</v>
      </c>
      <c r="D11" s="53" t="s">
        <v>18</v>
      </c>
      <c r="E11" s="53" t="s">
        <v>22</v>
      </c>
      <c r="F11" s="53" t="s">
        <v>7</v>
      </c>
      <c r="G11" s="53" t="s">
        <v>13</v>
      </c>
      <c r="H11" s="53" t="s">
        <v>16</v>
      </c>
      <c r="I11" s="287" t="s">
        <v>23</v>
      </c>
      <c r="J11" s="287" t="s">
        <v>24</v>
      </c>
      <c r="K11" s="287" t="s">
        <v>25</v>
      </c>
      <c r="L11" s="287" t="s">
        <v>26</v>
      </c>
      <c r="M11" s="287" t="s">
        <v>27</v>
      </c>
      <c r="N11" s="287" t="s">
        <v>28</v>
      </c>
      <c r="O11" s="53" t="s">
        <v>11</v>
      </c>
    </row>
    <row r="12" spans="1:15" ht="15.6">
      <c r="A12" s="288" t="str">
        <f>B2</f>
        <v>carbon nanotube</v>
      </c>
      <c r="B12" s="289">
        <v>1</v>
      </c>
      <c r="C12" s="289"/>
      <c r="D12" s="50" t="s">
        <v>37</v>
      </c>
      <c r="E12" s="51" t="s">
        <v>2</v>
      </c>
      <c r="F12" s="50" t="s">
        <v>476</v>
      </c>
      <c r="G12" s="51" t="s">
        <v>59</v>
      </c>
      <c r="H12" s="51" t="s">
        <v>30</v>
      </c>
      <c r="I12" s="290">
        <v>0</v>
      </c>
      <c r="J12" s="290" t="s">
        <v>31</v>
      </c>
      <c r="K12" s="290" t="s">
        <v>31</v>
      </c>
      <c r="L12" s="290" t="s">
        <v>31</v>
      </c>
      <c r="M12" s="290" t="s">
        <v>31</v>
      </c>
      <c r="N12" s="290" t="s">
        <v>31</v>
      </c>
      <c r="O12" s="51" t="s">
        <v>478</v>
      </c>
    </row>
    <row r="13" spans="1:15" ht="15.6">
      <c r="A13" s="51" t="s">
        <v>479</v>
      </c>
      <c r="B13" s="289">
        <v>3.193E-2</v>
      </c>
      <c r="C13" s="289"/>
      <c r="D13" s="50" t="s">
        <v>37</v>
      </c>
      <c r="E13" s="65" t="s">
        <v>40</v>
      </c>
      <c r="F13" s="50" t="s">
        <v>29</v>
      </c>
      <c r="G13" s="51" t="s">
        <v>59</v>
      </c>
      <c r="H13" s="51" t="s">
        <v>33</v>
      </c>
      <c r="I13" s="290">
        <v>2</v>
      </c>
      <c r="J13" s="290">
        <f>LN(B13)</f>
        <v>-3.4442092722554465</v>
      </c>
      <c r="K13" s="290">
        <v>0.03</v>
      </c>
      <c r="L13" s="290" t="s">
        <v>31</v>
      </c>
      <c r="M13" s="290" t="s">
        <v>31</v>
      </c>
      <c r="N13" s="290" t="s">
        <v>31</v>
      </c>
      <c r="O13" s="51"/>
    </row>
    <row r="14" spans="1:15" ht="15.6">
      <c r="A14" s="51" t="s">
        <v>480</v>
      </c>
      <c r="B14" s="289">
        <v>2.1800000000000001E-3</v>
      </c>
      <c r="C14" s="289"/>
      <c r="D14" s="50" t="s">
        <v>37</v>
      </c>
      <c r="E14" s="65" t="s">
        <v>40</v>
      </c>
      <c r="F14" s="50" t="s">
        <v>29</v>
      </c>
      <c r="G14" s="51" t="s">
        <v>59</v>
      </c>
      <c r="H14" s="51" t="s">
        <v>33</v>
      </c>
      <c r="I14" s="290">
        <v>2</v>
      </c>
      <c r="J14" s="290">
        <f t="shared" ref="J14:J31" si="0">LN(B14)</f>
        <v>-6.1284304021811398</v>
      </c>
      <c r="K14" s="290">
        <v>0.03</v>
      </c>
      <c r="L14" s="290" t="s">
        <v>31</v>
      </c>
      <c r="M14" s="290" t="s">
        <v>31</v>
      </c>
      <c r="N14" s="290" t="s">
        <v>31</v>
      </c>
      <c r="O14" s="51"/>
    </row>
    <row r="15" spans="1:15" ht="15.6">
      <c r="A15" s="51" t="s">
        <v>481</v>
      </c>
      <c r="B15" s="289">
        <v>6.5500000000000003E-3</v>
      </c>
      <c r="C15" s="289"/>
      <c r="D15" s="50" t="s">
        <v>37</v>
      </c>
      <c r="E15" s="65" t="s">
        <v>40</v>
      </c>
      <c r="F15" s="50" t="s">
        <v>29</v>
      </c>
      <c r="G15" s="51" t="s">
        <v>82</v>
      </c>
      <c r="H15" s="51" t="s">
        <v>33</v>
      </c>
      <c r="I15" s="290">
        <v>2</v>
      </c>
      <c r="J15" s="290">
        <f t="shared" si="0"/>
        <v>-5.028290229334976</v>
      </c>
      <c r="K15" s="290">
        <v>0.03</v>
      </c>
      <c r="L15" s="290" t="s">
        <v>31</v>
      </c>
      <c r="M15" s="290" t="s">
        <v>31</v>
      </c>
      <c r="N15" s="290" t="s">
        <v>31</v>
      </c>
      <c r="O15" s="51"/>
    </row>
    <row r="16" spans="1:15" ht="15.6">
      <c r="A16" s="51" t="s">
        <v>482</v>
      </c>
      <c r="B16" s="289">
        <v>5.8335999999999997</v>
      </c>
      <c r="C16" s="289"/>
      <c r="D16" s="50" t="s">
        <v>37</v>
      </c>
      <c r="E16" s="65" t="s">
        <v>40</v>
      </c>
      <c r="F16" s="50" t="s">
        <v>29</v>
      </c>
      <c r="G16" s="51" t="s">
        <v>82</v>
      </c>
      <c r="H16" s="51" t="s">
        <v>33</v>
      </c>
      <c r="I16" s="290">
        <v>2</v>
      </c>
      <c r="J16" s="290">
        <f t="shared" si="0"/>
        <v>1.7636343055022068</v>
      </c>
      <c r="K16" s="290">
        <v>0.03</v>
      </c>
      <c r="L16" s="290" t="s">
        <v>31</v>
      </c>
      <c r="M16" s="290" t="s">
        <v>31</v>
      </c>
      <c r="N16" s="290" t="s">
        <v>31</v>
      </c>
      <c r="O16" s="51"/>
    </row>
    <row r="17" spans="1:15" ht="15.6">
      <c r="A17" s="51" t="s">
        <v>483</v>
      </c>
      <c r="B17" s="289">
        <f>0.25*0.0563</f>
        <v>1.4075000000000001E-2</v>
      </c>
      <c r="C17" s="289"/>
      <c r="D17" s="50" t="s">
        <v>37</v>
      </c>
      <c r="E17" s="65" t="s">
        <v>40</v>
      </c>
      <c r="F17" s="50" t="s">
        <v>29</v>
      </c>
      <c r="G17" s="51" t="s">
        <v>59</v>
      </c>
      <c r="H17" s="51" t="s">
        <v>33</v>
      </c>
      <c r="I17" s="290">
        <v>2</v>
      </c>
      <c r="J17" s="290">
        <f t="shared" si="0"/>
        <v>-4.2633551049563829</v>
      </c>
      <c r="K17" s="290">
        <v>0.03</v>
      </c>
      <c r="L17" s="290" t="s">
        <v>31</v>
      </c>
      <c r="M17" s="290" t="s">
        <v>31</v>
      </c>
      <c r="N17" s="290" t="s">
        <v>31</v>
      </c>
      <c r="O17" s="51" t="s">
        <v>484</v>
      </c>
    </row>
    <row r="18" spans="1:15" ht="15.6">
      <c r="A18" s="51" t="s">
        <v>485</v>
      </c>
      <c r="B18" s="289">
        <f>0.25*0.0563</f>
        <v>1.4075000000000001E-2</v>
      </c>
      <c r="C18" s="289"/>
      <c r="D18" s="50" t="s">
        <v>37</v>
      </c>
      <c r="E18" s="65" t="s">
        <v>40</v>
      </c>
      <c r="F18" s="50" t="s">
        <v>29</v>
      </c>
      <c r="G18" s="51" t="s">
        <v>59</v>
      </c>
      <c r="H18" s="51" t="s">
        <v>33</v>
      </c>
      <c r="I18" s="290">
        <v>2</v>
      </c>
      <c r="J18" s="290">
        <f t="shared" si="0"/>
        <v>-4.2633551049563829</v>
      </c>
      <c r="K18" s="290">
        <v>0.03</v>
      </c>
      <c r="L18" s="290" t="s">
        <v>31</v>
      </c>
      <c r="M18" s="290" t="s">
        <v>31</v>
      </c>
      <c r="N18" s="290" t="s">
        <v>31</v>
      </c>
      <c r="O18" s="51" t="s">
        <v>484</v>
      </c>
    </row>
    <row r="19" spans="1:15" ht="15.6">
      <c r="A19" s="51" t="s">
        <v>486</v>
      </c>
      <c r="B19" s="289">
        <f>0.25*0.0563</f>
        <v>1.4075000000000001E-2</v>
      </c>
      <c r="C19" s="289"/>
      <c r="D19" s="50" t="s">
        <v>37</v>
      </c>
      <c r="E19" s="65" t="s">
        <v>40</v>
      </c>
      <c r="F19" s="50" t="s">
        <v>29</v>
      </c>
      <c r="G19" s="51" t="s">
        <v>82</v>
      </c>
      <c r="H19" s="51" t="s">
        <v>33</v>
      </c>
      <c r="I19" s="290">
        <v>2</v>
      </c>
      <c r="J19" s="290">
        <f t="shared" si="0"/>
        <v>-4.2633551049563829</v>
      </c>
      <c r="K19" s="290">
        <v>0.03</v>
      </c>
      <c r="L19" s="290" t="s">
        <v>31</v>
      </c>
      <c r="M19" s="290" t="s">
        <v>31</v>
      </c>
      <c r="N19" s="290" t="s">
        <v>31</v>
      </c>
      <c r="O19" s="51" t="s">
        <v>484</v>
      </c>
    </row>
    <row r="20" spans="1:15" ht="15.6">
      <c r="A20" s="51" t="s">
        <v>487</v>
      </c>
      <c r="B20" s="289">
        <f>0.25*0.0563</f>
        <v>1.4075000000000001E-2</v>
      </c>
      <c r="C20" s="289"/>
      <c r="D20" s="50" t="s">
        <v>37</v>
      </c>
      <c r="E20" s="65" t="s">
        <v>40</v>
      </c>
      <c r="F20" s="50" t="s">
        <v>29</v>
      </c>
      <c r="G20" s="51" t="s">
        <v>82</v>
      </c>
      <c r="H20" s="51" t="s">
        <v>33</v>
      </c>
      <c r="I20" s="290">
        <v>2</v>
      </c>
      <c r="J20" s="290">
        <f t="shared" si="0"/>
        <v>-4.2633551049563829</v>
      </c>
      <c r="K20" s="290">
        <v>0.03</v>
      </c>
      <c r="L20" s="290" t="s">
        <v>31</v>
      </c>
      <c r="M20" s="290" t="s">
        <v>31</v>
      </c>
      <c r="N20" s="290" t="s">
        <v>31</v>
      </c>
      <c r="O20" s="51" t="s">
        <v>484</v>
      </c>
    </row>
    <row r="21" spans="1:15" ht="15.6">
      <c r="A21" s="51" t="s">
        <v>488</v>
      </c>
      <c r="B21" s="289">
        <v>3.1899999999999998E-2</v>
      </c>
      <c r="C21" s="289"/>
      <c r="D21" s="50" t="s">
        <v>37</v>
      </c>
      <c r="E21" s="65" t="s">
        <v>40</v>
      </c>
      <c r="F21" s="50" t="s">
        <v>29</v>
      </c>
      <c r="G21" s="51" t="s">
        <v>59</v>
      </c>
      <c r="H21" s="51" t="s">
        <v>33</v>
      </c>
      <c r="I21" s="290">
        <v>2</v>
      </c>
      <c r="J21" s="290">
        <f t="shared" si="0"/>
        <v>-3.4451492691913383</v>
      </c>
      <c r="K21" s="290">
        <v>0.03</v>
      </c>
      <c r="L21" s="290" t="s">
        <v>31</v>
      </c>
      <c r="M21" s="290" t="s">
        <v>31</v>
      </c>
      <c r="N21" s="290" t="s">
        <v>31</v>
      </c>
      <c r="O21" s="51"/>
    </row>
    <row r="22" spans="1:15" ht="15.6">
      <c r="A22" s="51" t="s">
        <v>489</v>
      </c>
      <c r="B22" s="289">
        <v>1.44E-2</v>
      </c>
      <c r="C22" s="289"/>
      <c r="D22" s="50" t="s">
        <v>37</v>
      </c>
      <c r="E22" s="65" t="s">
        <v>40</v>
      </c>
      <c r="F22" s="50" t="s">
        <v>29</v>
      </c>
      <c r="G22" s="51" t="s">
        <v>59</v>
      </c>
      <c r="H22" s="51" t="s">
        <v>33</v>
      </c>
      <c r="I22" s="290">
        <v>2</v>
      </c>
      <c r="J22" s="290">
        <f t="shared" si="0"/>
        <v>-4.240527072400182</v>
      </c>
      <c r="K22" s="290">
        <v>0.03</v>
      </c>
      <c r="L22" s="290" t="s">
        <v>31</v>
      </c>
      <c r="M22" s="290" t="s">
        <v>31</v>
      </c>
      <c r="N22" s="290" t="s">
        <v>31</v>
      </c>
      <c r="O22" s="51"/>
    </row>
    <row r="23" spans="1:15" ht="15.6">
      <c r="A23" s="51" t="s">
        <v>490</v>
      </c>
      <c r="B23" s="289">
        <v>1.5100000000000001E-2</v>
      </c>
      <c r="C23" s="289"/>
      <c r="D23" s="50" t="s">
        <v>37</v>
      </c>
      <c r="E23" s="65" t="s">
        <v>40</v>
      </c>
      <c r="F23" s="50" t="s">
        <v>29</v>
      </c>
      <c r="G23" s="51" t="s">
        <v>82</v>
      </c>
      <c r="H23" s="51" t="s">
        <v>33</v>
      </c>
      <c r="I23" s="290">
        <v>2</v>
      </c>
      <c r="J23" s="290">
        <f t="shared" si="0"/>
        <v>-4.1930605351612584</v>
      </c>
      <c r="K23" s="290">
        <v>0.03</v>
      </c>
      <c r="L23" s="290" t="s">
        <v>31</v>
      </c>
      <c r="M23" s="290" t="s">
        <v>31</v>
      </c>
      <c r="N23" s="290" t="s">
        <v>31</v>
      </c>
      <c r="O23" s="51"/>
    </row>
    <row r="24" spans="1:15" ht="15.6">
      <c r="A24" s="51" t="s">
        <v>491</v>
      </c>
      <c r="B24" s="289">
        <v>3.066E-2</v>
      </c>
      <c r="C24" s="289"/>
      <c r="D24" s="50" t="s">
        <v>37</v>
      </c>
      <c r="E24" s="65" t="s">
        <v>40</v>
      </c>
      <c r="F24" s="50" t="s">
        <v>29</v>
      </c>
      <c r="G24" s="51" t="s">
        <v>59</v>
      </c>
      <c r="H24" s="51" t="s">
        <v>33</v>
      </c>
      <c r="I24" s="290">
        <v>2</v>
      </c>
      <c r="J24" s="290">
        <f t="shared" si="0"/>
        <v>-3.4847964055384688</v>
      </c>
      <c r="K24" s="290">
        <v>0.03</v>
      </c>
      <c r="L24" s="290" t="s">
        <v>31</v>
      </c>
      <c r="M24" s="290" t="s">
        <v>31</v>
      </c>
      <c r="N24" s="290" t="s">
        <v>31</v>
      </c>
      <c r="O24" s="51"/>
    </row>
    <row r="25" spans="1:15" ht="15.6">
      <c r="A25" s="51" t="s">
        <v>38</v>
      </c>
      <c r="B25" s="284">
        <v>0.65</v>
      </c>
      <c r="D25" s="50" t="s">
        <v>39</v>
      </c>
      <c r="E25" s="65" t="s">
        <v>40</v>
      </c>
      <c r="F25" s="50" t="s">
        <v>29</v>
      </c>
      <c r="G25" s="51" t="s">
        <v>59</v>
      </c>
      <c r="H25" s="51" t="s">
        <v>33</v>
      </c>
      <c r="I25" s="290">
        <v>2</v>
      </c>
      <c r="J25" s="290">
        <f t="shared" si="0"/>
        <v>-0.43078291609245423</v>
      </c>
      <c r="K25" s="290">
        <v>0.03</v>
      </c>
      <c r="L25" s="290" t="s">
        <v>31</v>
      </c>
      <c r="M25" s="290" t="s">
        <v>31</v>
      </c>
      <c r="N25" s="290" t="s">
        <v>31</v>
      </c>
      <c r="O25" s="51"/>
    </row>
    <row r="26" spans="1:15" ht="15.6">
      <c r="A26" s="58" t="s">
        <v>70</v>
      </c>
      <c r="B26" s="284">
        <v>58.09</v>
      </c>
      <c r="D26" s="50" t="s">
        <v>71</v>
      </c>
      <c r="E26" s="65" t="s">
        <v>40</v>
      </c>
      <c r="F26" s="50" t="s">
        <v>29</v>
      </c>
      <c r="G26" s="51" t="s">
        <v>59</v>
      </c>
      <c r="H26" s="50" t="s">
        <v>33</v>
      </c>
      <c r="I26" s="290">
        <v>2</v>
      </c>
      <c r="J26" s="290">
        <f t="shared" si="0"/>
        <v>4.0619935320044416</v>
      </c>
      <c r="K26" s="290">
        <v>0.03</v>
      </c>
      <c r="L26" s="290" t="s">
        <v>31</v>
      </c>
      <c r="M26" s="290" t="s">
        <v>31</v>
      </c>
      <c r="N26" s="290" t="s">
        <v>31</v>
      </c>
      <c r="O26" s="51"/>
    </row>
    <row r="27" spans="1:15" ht="15.6">
      <c r="A27" s="51" t="s">
        <v>75</v>
      </c>
      <c r="B27" s="284">
        <v>1.20146</v>
      </c>
      <c r="D27" s="50" t="s">
        <v>37</v>
      </c>
      <c r="E27" s="65" t="s">
        <v>40</v>
      </c>
      <c r="F27" s="50" t="s">
        <v>29</v>
      </c>
      <c r="G27" s="51" t="s">
        <v>59</v>
      </c>
      <c r="H27" s="50" t="s">
        <v>33</v>
      </c>
      <c r="I27" s="290">
        <v>2</v>
      </c>
      <c r="J27" s="290">
        <f t="shared" si="0"/>
        <v>0.18353748392151997</v>
      </c>
      <c r="K27" s="290">
        <v>0.03</v>
      </c>
      <c r="L27" s="290" t="s">
        <v>31</v>
      </c>
      <c r="M27" s="290" t="s">
        <v>31</v>
      </c>
      <c r="N27" s="290" t="s">
        <v>31</v>
      </c>
      <c r="O27" s="51"/>
    </row>
    <row r="28" spans="1:15" ht="15.6">
      <c r="A28" s="51" t="s">
        <v>76</v>
      </c>
      <c r="B28" s="284">
        <f>-0.43697/1000</f>
        <v>-4.3697000000000001E-4</v>
      </c>
      <c r="D28" s="50" t="s">
        <v>42</v>
      </c>
      <c r="E28" s="65" t="s">
        <v>40</v>
      </c>
      <c r="F28" s="50" t="s">
        <v>29</v>
      </c>
      <c r="G28" s="50" t="s">
        <v>82</v>
      </c>
      <c r="H28" s="50" t="s">
        <v>33</v>
      </c>
      <c r="I28" s="290">
        <v>0</v>
      </c>
      <c r="J28" s="290" t="s">
        <v>31</v>
      </c>
      <c r="K28" s="290" t="s">
        <v>31</v>
      </c>
      <c r="L28" s="290" t="s">
        <v>31</v>
      </c>
      <c r="M28" s="290" t="s">
        <v>31</v>
      </c>
      <c r="N28" s="290" t="s">
        <v>31</v>
      </c>
      <c r="O28" s="51" t="s">
        <v>492</v>
      </c>
    </row>
    <row r="29" spans="1:15" ht="15.6">
      <c r="A29" s="51" t="s">
        <v>223</v>
      </c>
      <c r="B29" s="284">
        <v>-1.435E-2</v>
      </c>
      <c r="D29" s="50" t="s">
        <v>37</v>
      </c>
      <c r="E29" s="65" t="s">
        <v>40</v>
      </c>
      <c r="F29" s="50" t="s">
        <v>29</v>
      </c>
      <c r="G29" s="50" t="s">
        <v>82</v>
      </c>
      <c r="H29" s="50" t="s">
        <v>33</v>
      </c>
      <c r="I29" s="290">
        <v>0</v>
      </c>
      <c r="J29" s="290" t="s">
        <v>31</v>
      </c>
      <c r="K29" s="290" t="s">
        <v>31</v>
      </c>
      <c r="L29" s="290" t="s">
        <v>31</v>
      </c>
      <c r="M29" s="290" t="s">
        <v>31</v>
      </c>
      <c r="N29" s="290" t="s">
        <v>31</v>
      </c>
      <c r="O29" s="51"/>
    </row>
    <row r="30" spans="1:15" ht="15.6">
      <c r="A30" s="51" t="s">
        <v>493</v>
      </c>
      <c r="B30" s="284">
        <v>-0.26802999999999999</v>
      </c>
      <c r="D30" s="50" t="s">
        <v>37</v>
      </c>
      <c r="E30" s="65" t="s">
        <v>40</v>
      </c>
      <c r="F30" s="50" t="s">
        <v>29</v>
      </c>
      <c r="G30" s="50" t="s">
        <v>82</v>
      </c>
      <c r="H30" s="50" t="s">
        <v>33</v>
      </c>
      <c r="I30" s="290">
        <v>0</v>
      </c>
      <c r="J30" s="290" t="s">
        <v>31</v>
      </c>
      <c r="K30" s="290" t="s">
        <v>31</v>
      </c>
      <c r="L30" s="290" t="s">
        <v>31</v>
      </c>
      <c r="M30" s="290" t="s">
        <v>31</v>
      </c>
      <c r="N30" s="290" t="s">
        <v>31</v>
      </c>
      <c r="O30" s="51"/>
    </row>
    <row r="31" spans="1:15" ht="15.6">
      <c r="A31" s="57" t="s">
        <v>77</v>
      </c>
      <c r="B31" s="284">
        <v>5.5049999999999999</v>
      </c>
      <c r="D31" s="50" t="s">
        <v>37</v>
      </c>
      <c r="E31" s="65" t="s">
        <v>43</v>
      </c>
      <c r="F31" s="50" t="s">
        <v>44</v>
      </c>
      <c r="G31" s="50" t="s">
        <v>29</v>
      </c>
      <c r="H31" s="58" t="s">
        <v>45</v>
      </c>
      <c r="I31" s="290">
        <v>2</v>
      </c>
      <c r="J31" s="290">
        <f t="shared" si="0"/>
        <v>1.7056567701746432</v>
      </c>
      <c r="K31" s="290">
        <v>0.03</v>
      </c>
      <c r="L31" s="290" t="s">
        <v>31</v>
      </c>
      <c r="M31" s="290" t="s">
        <v>31</v>
      </c>
      <c r="N31" s="290" t="s">
        <v>31</v>
      </c>
      <c r="O31" s="51" t="s">
        <v>494</v>
      </c>
    </row>
    <row r="32" spans="1:15" s="54" customFormat="1" ht="15.6">
      <c r="A32" s="291" t="s">
        <v>5</v>
      </c>
      <c r="B32" s="56" t="s">
        <v>495</v>
      </c>
      <c r="C32" s="56"/>
      <c r="D32" s="55"/>
    </row>
    <row r="33" spans="1:15">
      <c r="A33" s="50" t="s">
        <v>7</v>
      </c>
      <c r="B33" s="50" t="s">
        <v>476</v>
      </c>
      <c r="C33" s="50"/>
      <c r="I33" s="50"/>
      <c r="J33" s="50"/>
      <c r="K33" s="50"/>
      <c r="L33" s="50"/>
      <c r="M33" s="50"/>
      <c r="N33" s="50"/>
    </row>
    <row r="34" spans="1:15">
      <c r="A34" s="50" t="s">
        <v>9</v>
      </c>
      <c r="B34" s="50" t="str">
        <f ca="1">UPPER(CONCATENATE(DEC2HEX(RANDBETWEEN(0,POWER(16,8)),8),DEC2HEX(RANDBETWEEN(0,POWER(16,4)),4),"4",DEC2HEX(RANDBETWEEN(0,POWER(16,3)),3),DEC2HEX(RANDBETWEEN(8,11)),DEC2HEX(RANDBETWEEN(0,POWER(16,3)),3),DEC2HEX(RANDBETWEEN(0,POWER(16,8)),8),DEC2HEX(RANDBETWEEN(0,POWER(16,4)),4)))</f>
        <v>D50C4436C9344E0F828128CA63A7C6E0</v>
      </c>
      <c r="C34" s="50"/>
      <c r="I34" s="50"/>
      <c r="J34" s="50"/>
      <c r="K34" s="50"/>
      <c r="L34" s="50"/>
      <c r="M34" s="50"/>
      <c r="N34" s="50"/>
    </row>
    <row r="35" spans="1:15">
      <c r="A35" s="50" t="s">
        <v>11</v>
      </c>
      <c r="B35" s="50" t="s">
        <v>477</v>
      </c>
      <c r="C35" s="50"/>
      <c r="I35" s="50"/>
      <c r="J35" s="50"/>
      <c r="K35" s="50"/>
      <c r="L35" s="50"/>
      <c r="M35" s="50"/>
      <c r="N35" s="50"/>
    </row>
    <row r="36" spans="1:15">
      <c r="A36" s="50" t="s">
        <v>13</v>
      </c>
      <c r="B36" s="284" t="s">
        <v>59</v>
      </c>
    </row>
    <row r="37" spans="1:15">
      <c r="A37" s="50" t="s">
        <v>15</v>
      </c>
      <c r="B37" s="50">
        <v>1</v>
      </c>
      <c r="C37" s="50"/>
    </row>
    <row r="38" spans="1:15">
      <c r="A38" s="50" t="s">
        <v>16</v>
      </c>
      <c r="B38" s="50" t="s">
        <v>17</v>
      </c>
      <c r="C38" s="50"/>
    </row>
    <row r="39" spans="1:15">
      <c r="A39" s="50" t="s">
        <v>18</v>
      </c>
      <c r="B39" s="50" t="s">
        <v>18</v>
      </c>
      <c r="C39" s="50"/>
    </row>
    <row r="40" spans="1:15" ht="15.6">
      <c r="A40" s="53" t="s">
        <v>19</v>
      </c>
      <c r="B40" s="50"/>
      <c r="C40" s="50"/>
    </row>
    <row r="41" spans="1:15" ht="15.6">
      <c r="A41" s="53" t="s">
        <v>20</v>
      </c>
      <c r="B41" s="286" t="s">
        <v>21</v>
      </c>
      <c r="C41" s="286" t="s">
        <v>186</v>
      </c>
      <c r="D41" s="53" t="s">
        <v>18</v>
      </c>
      <c r="E41" s="53" t="s">
        <v>22</v>
      </c>
      <c r="F41" s="53" t="s">
        <v>7</v>
      </c>
      <c r="G41" s="53" t="s">
        <v>13</v>
      </c>
      <c r="H41" s="53" t="s">
        <v>16</v>
      </c>
      <c r="I41" s="287" t="s">
        <v>23</v>
      </c>
      <c r="J41" s="287" t="s">
        <v>24</v>
      </c>
      <c r="K41" s="287" t="s">
        <v>25</v>
      </c>
      <c r="L41" s="287" t="s">
        <v>26</v>
      </c>
      <c r="M41" s="287" t="s">
        <v>27</v>
      </c>
      <c r="N41" s="287" t="s">
        <v>28</v>
      </c>
      <c r="O41" s="53" t="s">
        <v>11</v>
      </c>
    </row>
    <row r="42" spans="1:15" ht="15.6">
      <c r="A42" s="51" t="s">
        <v>495</v>
      </c>
      <c r="B42" s="289">
        <v>1</v>
      </c>
      <c r="C42" s="289"/>
      <c r="D42" s="51" t="s">
        <v>18</v>
      </c>
      <c r="E42" s="51" t="s">
        <v>2</v>
      </c>
      <c r="F42" s="50" t="s">
        <v>476</v>
      </c>
      <c r="G42" s="51" t="s">
        <v>59</v>
      </c>
      <c r="H42" s="51" t="s">
        <v>30</v>
      </c>
      <c r="I42" s="290">
        <v>0</v>
      </c>
      <c r="J42" s="290" t="s">
        <v>31</v>
      </c>
      <c r="K42" s="290" t="s">
        <v>31</v>
      </c>
      <c r="L42" s="290" t="s">
        <v>31</v>
      </c>
      <c r="M42" s="290" t="s">
        <v>31</v>
      </c>
      <c r="N42" s="290" t="s">
        <v>31</v>
      </c>
      <c r="O42" s="51" t="s">
        <v>496</v>
      </c>
    </row>
    <row r="43" spans="1:15" ht="15.6">
      <c r="A43" s="17" t="str">
        <f>A12</f>
        <v>carbon nanotube</v>
      </c>
      <c r="B43" s="289">
        <f>6*675*0.0477</f>
        <v>193.185</v>
      </c>
      <c r="C43" s="289"/>
      <c r="D43" s="51" t="s">
        <v>37</v>
      </c>
      <c r="E43" s="51" t="s">
        <v>2</v>
      </c>
      <c r="F43" s="50" t="s">
        <v>476</v>
      </c>
      <c r="G43" s="51" t="s">
        <v>59</v>
      </c>
      <c r="H43" s="51" t="s">
        <v>33</v>
      </c>
      <c r="I43" s="290">
        <v>2</v>
      </c>
      <c r="J43" s="290">
        <f>LN(B43)</f>
        <v>5.2636482790127435</v>
      </c>
      <c r="K43" s="290">
        <v>0.03</v>
      </c>
      <c r="L43" s="290" t="s">
        <v>31</v>
      </c>
      <c r="M43" s="290" t="s">
        <v>31</v>
      </c>
      <c r="N43" s="290" t="s">
        <v>31</v>
      </c>
      <c r="O43" s="51"/>
    </row>
    <row r="44" spans="1:15" s="54" customFormat="1" ht="15.6">
      <c r="A44" s="291" t="s">
        <v>5</v>
      </c>
      <c r="B44" s="292" t="s">
        <v>497</v>
      </c>
      <c r="C44" s="292"/>
      <c r="D44" s="55"/>
      <c r="I44" s="293"/>
      <c r="J44" s="293"/>
      <c r="K44" s="293"/>
      <c r="L44" s="293"/>
      <c r="M44" s="293"/>
      <c r="N44" s="293"/>
    </row>
    <row r="45" spans="1:15">
      <c r="A45" s="50" t="s">
        <v>7</v>
      </c>
      <c r="B45" s="284" t="s">
        <v>476</v>
      </c>
    </row>
    <row r="46" spans="1:15">
      <c r="A46" s="50" t="s">
        <v>9</v>
      </c>
      <c r="B46" s="50" t="str">
        <f ca="1">UPPER(CONCATENATE(DEC2HEX(RANDBETWEEN(0,POWER(16,8)),8),DEC2HEX(RANDBETWEEN(0,POWER(16,4)),4),"4",DEC2HEX(RANDBETWEEN(0,POWER(16,3)),3),DEC2HEX(RANDBETWEEN(8,11)),DEC2HEX(RANDBETWEEN(0,POWER(16,3)),3),DEC2HEX(RANDBETWEEN(0,POWER(16,8)),8),DEC2HEX(RANDBETWEEN(0,POWER(16,4)),4)))</f>
        <v>DCF1B5AC03AB4D8498874F6E7DBB38B0</v>
      </c>
    </row>
    <row r="47" spans="1:15">
      <c r="A47" s="50" t="s">
        <v>11</v>
      </c>
      <c r="B47" s="284" t="s">
        <v>477</v>
      </c>
    </row>
    <row r="48" spans="1:15">
      <c r="A48" s="50" t="s">
        <v>13</v>
      </c>
      <c r="B48" s="284" t="s">
        <v>82</v>
      </c>
    </row>
    <row r="49" spans="1:15">
      <c r="A49" s="50" t="s">
        <v>15</v>
      </c>
      <c r="B49" s="284">
        <v>1</v>
      </c>
    </row>
    <row r="50" spans="1:15">
      <c r="A50" s="50" t="s">
        <v>16</v>
      </c>
      <c r="B50" s="284" t="s">
        <v>17</v>
      </c>
    </row>
    <row r="51" spans="1:15">
      <c r="A51" s="50" t="s">
        <v>18</v>
      </c>
      <c r="B51" s="284" t="s">
        <v>37</v>
      </c>
    </row>
    <row r="52" spans="1:15" ht="15.6">
      <c r="A52" s="53" t="s">
        <v>19</v>
      </c>
    </row>
    <row r="53" spans="1:15" ht="15.6">
      <c r="A53" s="53" t="s">
        <v>20</v>
      </c>
      <c r="B53" s="286" t="s">
        <v>21</v>
      </c>
      <c r="C53" s="286" t="s">
        <v>186</v>
      </c>
      <c r="D53" s="53" t="s">
        <v>18</v>
      </c>
      <c r="E53" s="53" t="s">
        <v>22</v>
      </c>
      <c r="F53" s="53" t="s">
        <v>7</v>
      </c>
      <c r="G53" s="53" t="s">
        <v>13</v>
      </c>
      <c r="H53" s="53" t="s">
        <v>16</v>
      </c>
      <c r="I53" s="287" t="s">
        <v>23</v>
      </c>
      <c r="J53" s="287" t="s">
        <v>24</v>
      </c>
      <c r="K53" s="287" t="s">
        <v>25</v>
      </c>
      <c r="L53" s="287" t="s">
        <v>26</v>
      </c>
      <c r="M53" s="287" t="s">
        <v>27</v>
      </c>
      <c r="N53" s="287" t="s">
        <v>28</v>
      </c>
      <c r="O53" s="53" t="s">
        <v>11</v>
      </c>
    </row>
    <row r="54" spans="1:15" ht="15.6">
      <c r="A54" s="289" t="str">
        <f>B44</f>
        <v>tetraethyl orthosilicate</v>
      </c>
      <c r="B54" s="289">
        <v>1</v>
      </c>
      <c r="C54" s="289"/>
      <c r="D54" s="51" t="s">
        <v>37</v>
      </c>
      <c r="E54" s="51" t="s">
        <v>2</v>
      </c>
      <c r="F54" s="50" t="s">
        <v>476</v>
      </c>
      <c r="G54" s="51" t="s">
        <v>82</v>
      </c>
      <c r="H54" s="51" t="s">
        <v>30</v>
      </c>
      <c r="I54" s="290">
        <v>0</v>
      </c>
      <c r="J54" s="290" t="s">
        <v>31</v>
      </c>
      <c r="K54" s="290" t="s">
        <v>31</v>
      </c>
      <c r="L54" s="290" t="s">
        <v>31</v>
      </c>
      <c r="M54" s="290" t="s">
        <v>31</v>
      </c>
      <c r="N54" s="290" t="s">
        <v>31</v>
      </c>
      <c r="O54" s="51" t="s">
        <v>498</v>
      </c>
    </row>
    <row r="55" spans="1:15" ht="15.6">
      <c r="A55" s="294" t="s">
        <v>499</v>
      </c>
      <c r="B55" s="284">
        <f>0.8161</f>
        <v>0.81610000000000005</v>
      </c>
      <c r="D55" s="50" t="s">
        <v>37</v>
      </c>
      <c r="E55" s="65" t="s">
        <v>40</v>
      </c>
      <c r="F55" s="50" t="s">
        <v>29</v>
      </c>
      <c r="G55" s="50" t="s">
        <v>82</v>
      </c>
      <c r="H55" s="50" t="s">
        <v>33</v>
      </c>
      <c r="I55" s="285">
        <v>2</v>
      </c>
      <c r="J55" s="285">
        <f t="shared" ref="J55:J61" si="1">LN(B55)</f>
        <v>-0.2032183825069398</v>
      </c>
      <c r="K55" s="290">
        <v>0.45825756899999998</v>
      </c>
      <c r="L55" s="290" t="s">
        <v>31</v>
      </c>
      <c r="M55" s="290" t="s">
        <v>31</v>
      </c>
      <c r="N55" s="290" t="s">
        <v>31</v>
      </c>
    </row>
    <row r="56" spans="1:15" ht="15.6">
      <c r="A56" s="294" t="s">
        <v>500</v>
      </c>
      <c r="B56" s="284">
        <f>0.9738</f>
        <v>0.9738</v>
      </c>
      <c r="D56" s="50" t="s">
        <v>37</v>
      </c>
      <c r="E56" s="65" t="s">
        <v>40</v>
      </c>
      <c r="F56" s="50" t="s">
        <v>29</v>
      </c>
      <c r="G56" s="50" t="s">
        <v>82</v>
      </c>
      <c r="H56" s="50" t="s">
        <v>33</v>
      </c>
      <c r="I56" s="285">
        <v>2</v>
      </c>
      <c r="J56" s="285">
        <f t="shared" si="1"/>
        <v>-2.6549335233536524E-2</v>
      </c>
      <c r="K56" s="290">
        <v>0.45825756899999998</v>
      </c>
      <c r="L56" s="290" t="s">
        <v>31</v>
      </c>
      <c r="M56" s="290" t="s">
        <v>31</v>
      </c>
      <c r="N56" s="290" t="s">
        <v>31</v>
      </c>
    </row>
    <row r="57" spans="1:15" ht="15.6">
      <c r="A57" s="294" t="s">
        <v>491</v>
      </c>
      <c r="B57" s="284">
        <f>0.7681</f>
        <v>0.7681</v>
      </c>
      <c r="D57" s="50" t="s">
        <v>37</v>
      </c>
      <c r="E57" s="65" t="s">
        <v>40</v>
      </c>
      <c r="F57" s="50" t="s">
        <v>29</v>
      </c>
      <c r="G57" s="50" t="s">
        <v>59</v>
      </c>
      <c r="H57" s="50" t="s">
        <v>33</v>
      </c>
      <c r="I57" s="285">
        <v>2</v>
      </c>
      <c r="J57" s="285">
        <f t="shared" si="1"/>
        <v>-0.2638353459775008</v>
      </c>
      <c r="K57" s="290">
        <v>0.45825756899999998</v>
      </c>
      <c r="L57" s="290" t="s">
        <v>31</v>
      </c>
      <c r="M57" s="290" t="s">
        <v>31</v>
      </c>
      <c r="N57" s="290" t="s">
        <v>31</v>
      </c>
    </row>
    <row r="58" spans="1:15" ht="15.6">
      <c r="A58" s="294" t="s">
        <v>38</v>
      </c>
      <c r="B58" s="284">
        <f>0.025</f>
        <v>2.5000000000000001E-2</v>
      </c>
      <c r="D58" s="50" t="s">
        <v>39</v>
      </c>
      <c r="E58" s="65" t="s">
        <v>40</v>
      </c>
      <c r="F58" s="50" t="s">
        <v>29</v>
      </c>
      <c r="G58" s="50" t="s">
        <v>59</v>
      </c>
      <c r="H58" s="50" t="s">
        <v>33</v>
      </c>
      <c r="I58" s="285">
        <v>2</v>
      </c>
      <c r="J58" s="285">
        <f t="shared" si="1"/>
        <v>-3.6888794541139363</v>
      </c>
      <c r="K58" s="290">
        <v>0.45825756899999998</v>
      </c>
      <c r="L58" s="290" t="s">
        <v>31</v>
      </c>
      <c r="M58" s="290" t="s">
        <v>31</v>
      </c>
      <c r="N58" s="290" t="s">
        <v>31</v>
      </c>
    </row>
    <row r="59" spans="1:15" ht="15.6">
      <c r="A59" s="58" t="s">
        <v>70</v>
      </c>
      <c r="B59" s="284">
        <f>2.42</f>
        <v>2.42</v>
      </c>
      <c r="D59" s="50" t="s">
        <v>71</v>
      </c>
      <c r="E59" s="65" t="s">
        <v>40</v>
      </c>
      <c r="F59" s="50" t="s">
        <v>29</v>
      </c>
      <c r="G59" s="50" t="s">
        <v>59</v>
      </c>
      <c r="H59" s="50" t="s">
        <v>33</v>
      </c>
      <c r="I59" s="285">
        <v>2</v>
      </c>
      <c r="J59" s="285">
        <f t="shared" si="1"/>
        <v>0.88376754016859504</v>
      </c>
      <c r="K59" s="290">
        <v>0.45825756899999998</v>
      </c>
      <c r="L59" s="290" t="s">
        <v>31</v>
      </c>
      <c r="M59" s="290" t="s">
        <v>31</v>
      </c>
      <c r="N59" s="290" t="s">
        <v>31</v>
      </c>
    </row>
    <row r="60" spans="1:15" ht="15.6">
      <c r="A60" s="294" t="s">
        <v>501</v>
      </c>
      <c r="B60" s="284">
        <f>0.0007</f>
        <v>6.9999999999999999E-4</v>
      </c>
      <c r="D60" s="50" t="s">
        <v>37</v>
      </c>
      <c r="E60" s="65" t="s">
        <v>43</v>
      </c>
      <c r="F60" s="50" t="s">
        <v>44</v>
      </c>
      <c r="G60" s="50" t="s">
        <v>29</v>
      </c>
      <c r="H60" s="58" t="s">
        <v>45</v>
      </c>
      <c r="I60" s="285">
        <v>2</v>
      </c>
      <c r="J60" s="285">
        <f t="shared" si="1"/>
        <v>-7.2644302229208693</v>
      </c>
      <c r="K60" s="290">
        <v>0.45825756899999998</v>
      </c>
      <c r="L60" s="290" t="s">
        <v>31</v>
      </c>
      <c r="M60" s="290" t="s">
        <v>31</v>
      </c>
      <c r="N60" s="290" t="s">
        <v>31</v>
      </c>
    </row>
    <row r="61" spans="1:15" ht="15.6">
      <c r="A61" s="294" t="s">
        <v>502</v>
      </c>
      <c r="B61" s="284">
        <f>0.000195</f>
        <v>1.95E-4</v>
      </c>
      <c r="D61" s="50" t="s">
        <v>37</v>
      </c>
      <c r="E61" s="65" t="s">
        <v>43</v>
      </c>
      <c r="F61" s="50" t="s">
        <v>44</v>
      </c>
      <c r="G61" s="50" t="s">
        <v>29</v>
      </c>
      <c r="H61" s="58" t="s">
        <v>45</v>
      </c>
      <c r="I61" s="285">
        <v>2</v>
      </c>
      <c r="J61" s="285">
        <f t="shared" si="1"/>
        <v>-8.5425109994005268</v>
      </c>
      <c r="K61" s="290">
        <v>0.45825756899999998</v>
      </c>
      <c r="L61" s="290" t="s">
        <v>31</v>
      </c>
      <c r="M61" s="290" t="s">
        <v>31</v>
      </c>
      <c r="N61" s="290" t="s">
        <v>31</v>
      </c>
    </row>
    <row r="62" spans="1:15" s="54" customFormat="1" ht="15.6">
      <c r="A62" s="291" t="s">
        <v>5</v>
      </c>
      <c r="B62" s="292" t="s">
        <v>503</v>
      </c>
      <c r="C62" s="292"/>
      <c r="D62" s="55"/>
      <c r="I62" s="293"/>
      <c r="J62" s="293"/>
      <c r="K62" s="293"/>
      <c r="L62" s="293"/>
      <c r="M62" s="293"/>
      <c r="N62" s="293"/>
    </row>
    <row r="63" spans="1:15">
      <c r="A63" s="50" t="s">
        <v>7</v>
      </c>
      <c r="B63" s="284" t="s">
        <v>476</v>
      </c>
    </row>
    <row r="64" spans="1:15">
      <c r="A64" s="50" t="s">
        <v>9</v>
      </c>
      <c r="B64" s="50" t="str">
        <f ca="1">UPPER(CONCATENATE(DEC2HEX(RANDBETWEEN(0,POWER(16,8)),8),DEC2HEX(RANDBETWEEN(0,POWER(16,4)),4),"4",DEC2HEX(RANDBETWEEN(0,POWER(16,3)),3),DEC2HEX(RANDBETWEEN(8,11)),DEC2HEX(RANDBETWEEN(0,POWER(16,3)),3),DEC2HEX(RANDBETWEEN(0,POWER(16,8)),8),DEC2HEX(RANDBETWEEN(0,POWER(16,4)),4)))</f>
        <v>B927DA9321CA45FFA81667FA7695A555</v>
      </c>
    </row>
    <row r="65" spans="1:15">
      <c r="A65" s="50" t="s">
        <v>11</v>
      </c>
      <c r="B65" s="284" t="s">
        <v>477</v>
      </c>
    </row>
    <row r="66" spans="1:15">
      <c r="A66" s="50" t="s">
        <v>13</v>
      </c>
      <c r="B66" s="284" t="s">
        <v>82</v>
      </c>
    </row>
    <row r="67" spans="1:15">
      <c r="A67" s="50" t="s">
        <v>15</v>
      </c>
      <c r="B67" s="284">
        <v>1</v>
      </c>
    </row>
    <row r="68" spans="1:15">
      <c r="A68" s="50" t="s">
        <v>16</v>
      </c>
      <c r="B68" s="284" t="s">
        <v>17</v>
      </c>
    </row>
    <row r="69" spans="1:15">
      <c r="A69" s="50" t="s">
        <v>18</v>
      </c>
      <c r="B69" s="284" t="s">
        <v>37</v>
      </c>
    </row>
    <row r="70" spans="1:15" ht="15.6">
      <c r="A70" s="53" t="s">
        <v>19</v>
      </c>
    </row>
    <row r="71" spans="1:15" ht="15.6">
      <c r="A71" s="53" t="s">
        <v>20</v>
      </c>
      <c r="B71" s="286" t="s">
        <v>21</v>
      </c>
      <c r="C71" s="286" t="s">
        <v>186</v>
      </c>
      <c r="D71" s="53" t="s">
        <v>18</v>
      </c>
      <c r="E71" s="53" t="s">
        <v>22</v>
      </c>
      <c r="F71" s="53" t="s">
        <v>7</v>
      </c>
      <c r="G71" s="53" t="s">
        <v>13</v>
      </c>
      <c r="H71" s="53" t="s">
        <v>16</v>
      </c>
      <c r="I71" s="287" t="s">
        <v>23</v>
      </c>
      <c r="J71" s="287" t="s">
        <v>24</v>
      </c>
      <c r="K71" s="287" t="s">
        <v>25</v>
      </c>
      <c r="L71" s="287" t="s">
        <v>26</v>
      </c>
      <c r="M71" s="287" t="s">
        <v>27</v>
      </c>
      <c r="N71" s="287" t="s">
        <v>28</v>
      </c>
      <c r="O71" s="53" t="s">
        <v>11</v>
      </c>
    </row>
    <row r="72" spans="1:15" ht="15.6">
      <c r="A72" s="289" t="str">
        <f>B62</f>
        <v>tetraethyl orthosilicate allocated</v>
      </c>
      <c r="B72" s="289">
        <v>1</v>
      </c>
      <c r="C72" s="289"/>
      <c r="D72" s="51" t="s">
        <v>37</v>
      </c>
      <c r="E72" s="51" t="s">
        <v>2</v>
      </c>
      <c r="F72" s="50" t="s">
        <v>476</v>
      </c>
      <c r="G72" s="51" t="s">
        <v>82</v>
      </c>
      <c r="H72" s="51" t="s">
        <v>30</v>
      </c>
      <c r="I72" s="290">
        <v>0</v>
      </c>
      <c r="J72" s="290" t="s">
        <v>31</v>
      </c>
      <c r="K72" s="290" t="s">
        <v>31</v>
      </c>
      <c r="L72" s="290" t="s">
        <v>31</v>
      </c>
      <c r="M72" s="290" t="s">
        <v>31</v>
      </c>
      <c r="N72" s="290" t="s">
        <v>31</v>
      </c>
      <c r="O72" s="51" t="s">
        <v>504</v>
      </c>
    </row>
    <row r="73" spans="1:15" ht="15.6">
      <c r="A73" s="289" t="str">
        <f>A54</f>
        <v>tetraethyl orthosilicate</v>
      </c>
      <c r="B73" s="289">
        <f>1/(1+0.7)</f>
        <v>0.58823529411764708</v>
      </c>
      <c r="C73" s="289"/>
      <c r="D73" s="289" t="str">
        <f t="shared" ref="D73:N73" si="2">D54</f>
        <v>kilogram</v>
      </c>
      <c r="E73" s="289" t="str">
        <f t="shared" si="2"/>
        <v>GENESIS_2050_SOFC-bat_Base</v>
      </c>
      <c r="F73" s="289" t="str">
        <f t="shared" si="2"/>
        <v>battery including EoL</v>
      </c>
      <c r="G73" s="289" t="str">
        <f t="shared" si="2"/>
        <v>RoW</v>
      </c>
      <c r="H73" s="50" t="s">
        <v>33</v>
      </c>
      <c r="I73" s="289">
        <f t="shared" si="2"/>
        <v>0</v>
      </c>
      <c r="J73" s="289" t="str">
        <f t="shared" si="2"/>
        <v>(Unknown)</v>
      </c>
      <c r="K73" s="289" t="str">
        <f t="shared" si="2"/>
        <v>(Unknown)</v>
      </c>
      <c r="L73" s="289" t="str">
        <f t="shared" si="2"/>
        <v>(Unknown)</v>
      </c>
      <c r="M73" s="289" t="str">
        <f t="shared" si="2"/>
        <v>(Unknown)</v>
      </c>
      <c r="N73" s="289" t="str">
        <f t="shared" si="2"/>
        <v>(Unknown)</v>
      </c>
      <c r="O73" s="289"/>
    </row>
    <row r="74" spans="1:15" s="54" customFormat="1" ht="15.6">
      <c r="A74" s="291" t="s">
        <v>5</v>
      </c>
      <c r="B74" s="292" t="s">
        <v>505</v>
      </c>
      <c r="C74" s="292"/>
      <c r="D74" s="55"/>
      <c r="I74" s="293"/>
      <c r="J74" s="293"/>
      <c r="K74" s="293"/>
      <c r="L74" s="293"/>
      <c r="M74" s="293"/>
      <c r="N74" s="293"/>
    </row>
    <row r="75" spans="1:15">
      <c r="A75" s="50" t="s">
        <v>7</v>
      </c>
      <c r="B75" s="284" t="s">
        <v>476</v>
      </c>
    </row>
    <row r="76" spans="1:15">
      <c r="A76" s="50" t="s">
        <v>9</v>
      </c>
      <c r="B76" s="50" t="str">
        <f ca="1">UPPER(CONCATENATE(DEC2HEX(RANDBETWEEN(0,POWER(16,8)),8),DEC2HEX(RANDBETWEEN(0,POWER(16,4)),4),"4",DEC2HEX(RANDBETWEEN(0,POWER(16,3)),3),DEC2HEX(RANDBETWEEN(8,11)),DEC2HEX(RANDBETWEEN(0,POWER(16,3)),3),DEC2HEX(RANDBETWEEN(0,POWER(16,8)),8),DEC2HEX(RANDBETWEEN(0,POWER(16,4)),4)))</f>
        <v>FBA5A074AE394437A21DFC574EE13AE1</v>
      </c>
    </row>
    <row r="77" spans="1:15">
      <c r="A77" s="50" t="s">
        <v>11</v>
      </c>
      <c r="B77" s="284" t="s">
        <v>477</v>
      </c>
    </row>
    <row r="78" spans="1:15">
      <c r="A78" s="50" t="s">
        <v>13</v>
      </c>
      <c r="B78" s="284" t="s">
        <v>59</v>
      </c>
    </row>
    <row r="79" spans="1:15">
      <c r="A79" s="50" t="s">
        <v>15</v>
      </c>
      <c r="B79" s="284">
        <v>1</v>
      </c>
    </row>
    <row r="80" spans="1:15">
      <c r="A80" s="50" t="s">
        <v>16</v>
      </c>
      <c r="B80" s="284" t="s">
        <v>17</v>
      </c>
    </row>
    <row r="81" spans="1:15">
      <c r="A81" s="50" t="s">
        <v>18</v>
      </c>
      <c r="B81" s="284" t="s">
        <v>18</v>
      </c>
    </row>
    <row r="82" spans="1:15" ht="15.6">
      <c r="A82" s="53" t="s">
        <v>19</v>
      </c>
    </row>
    <row r="83" spans="1:15" ht="15.6">
      <c r="A83" s="53" t="s">
        <v>20</v>
      </c>
      <c r="B83" s="286" t="s">
        <v>21</v>
      </c>
      <c r="C83" s="286" t="s">
        <v>186</v>
      </c>
      <c r="D83" s="53" t="s">
        <v>18</v>
      </c>
      <c r="E83" s="53" t="s">
        <v>22</v>
      </c>
      <c r="F83" s="53" t="s">
        <v>7</v>
      </c>
      <c r="G83" s="53" t="s">
        <v>13</v>
      </c>
      <c r="H83" s="53" t="s">
        <v>16</v>
      </c>
      <c r="I83" s="287" t="s">
        <v>23</v>
      </c>
      <c r="J83" s="287" t="s">
        <v>24</v>
      </c>
      <c r="K83" s="287" t="s">
        <v>25</v>
      </c>
      <c r="L83" s="287" t="s">
        <v>26</v>
      </c>
      <c r="M83" s="287" t="s">
        <v>27</v>
      </c>
      <c r="N83" s="287" t="s">
        <v>28</v>
      </c>
      <c r="O83" s="53" t="s">
        <v>11</v>
      </c>
    </row>
    <row r="84" spans="1:15" ht="15.6">
      <c r="A84" s="51" t="s">
        <v>505</v>
      </c>
      <c r="B84" s="289">
        <v>1</v>
      </c>
      <c r="C84" s="289"/>
      <c r="D84" s="51" t="s">
        <v>18</v>
      </c>
      <c r="E84" s="51" t="s">
        <v>2</v>
      </c>
      <c r="F84" s="50" t="s">
        <v>476</v>
      </c>
      <c r="G84" s="51" t="s">
        <v>59</v>
      </c>
      <c r="H84" s="51" t="s">
        <v>30</v>
      </c>
      <c r="I84" s="290">
        <v>0</v>
      </c>
      <c r="J84" s="290" t="s">
        <v>31</v>
      </c>
      <c r="K84" s="290" t="s">
        <v>31</v>
      </c>
      <c r="L84" s="290" t="s">
        <v>31</v>
      </c>
      <c r="M84" s="290" t="s">
        <v>31</v>
      </c>
      <c r="N84" s="290" t="s">
        <v>31</v>
      </c>
      <c r="O84" s="51" t="s">
        <v>506</v>
      </c>
    </row>
    <row r="85" spans="1:15" ht="15.6">
      <c r="A85" s="51" t="s">
        <v>507</v>
      </c>
      <c r="B85" s="289">
        <f>564.529*1.038</f>
        <v>585.98110199999996</v>
      </c>
      <c r="C85" s="289"/>
      <c r="D85" s="51" t="s">
        <v>37</v>
      </c>
      <c r="E85" s="51" t="s">
        <v>40</v>
      </c>
      <c r="F85" s="50" t="s">
        <v>29</v>
      </c>
      <c r="G85" s="51" t="s">
        <v>59</v>
      </c>
      <c r="H85" s="51" t="s">
        <v>33</v>
      </c>
      <c r="I85" s="290">
        <v>2</v>
      </c>
      <c r="J85" s="290">
        <f>LN(B85)</f>
        <v>6.3732875399102396</v>
      </c>
      <c r="K85" s="290">
        <v>0.45825756899999998</v>
      </c>
      <c r="L85" s="290" t="s">
        <v>31</v>
      </c>
      <c r="M85" s="290" t="s">
        <v>31</v>
      </c>
      <c r="N85" s="290" t="s">
        <v>31</v>
      </c>
      <c r="O85" s="51"/>
    </row>
    <row r="86" spans="1:15" ht="15.6">
      <c r="A86" s="51" t="s">
        <v>508</v>
      </c>
      <c r="B86" s="289">
        <f>564.529*0.202/4.95</f>
        <v>23.037345050505049</v>
      </c>
      <c r="C86" s="289"/>
      <c r="D86" s="51" t="s">
        <v>37</v>
      </c>
      <c r="E86" s="51" t="s">
        <v>40</v>
      </c>
      <c r="F86" s="50" t="s">
        <v>29</v>
      </c>
      <c r="G86" s="51" t="s">
        <v>82</v>
      </c>
      <c r="H86" s="51" t="s">
        <v>33</v>
      </c>
      <c r="I86" s="290">
        <v>2</v>
      </c>
      <c r="J86" s="290">
        <f t="shared" ref="J86:J89" si="3">LN(B86)</f>
        <v>3.1371165970050119</v>
      </c>
      <c r="K86" s="290">
        <v>0.45825756899999998</v>
      </c>
      <c r="L86" s="290" t="s">
        <v>31</v>
      </c>
      <c r="M86" s="290" t="s">
        <v>31</v>
      </c>
      <c r="N86" s="290" t="s">
        <v>31</v>
      </c>
      <c r="O86" s="51" t="s">
        <v>509</v>
      </c>
    </row>
    <row r="87" spans="1:15" ht="15.6">
      <c r="A87" s="289" t="str">
        <f>A72</f>
        <v>tetraethyl orthosilicate allocated</v>
      </c>
      <c r="B87" s="289">
        <f>564.529*0.154</f>
        <v>86.937466000000001</v>
      </c>
      <c r="C87" s="289"/>
      <c r="D87" s="289" t="str">
        <f>D54</f>
        <v>kilogram</v>
      </c>
      <c r="E87" s="289" t="str">
        <f>E54</f>
        <v>GENESIS_2050_SOFC-bat_Base</v>
      </c>
      <c r="F87" s="289" t="str">
        <f>F54</f>
        <v>battery including EoL</v>
      </c>
      <c r="G87" s="289" t="str">
        <f>G54</f>
        <v>RoW</v>
      </c>
      <c r="H87" s="51" t="s">
        <v>33</v>
      </c>
      <c r="I87" s="290">
        <v>2</v>
      </c>
      <c r="J87" s="290">
        <f t="shared" si="3"/>
        <v>4.4651890785980353</v>
      </c>
      <c r="K87" s="290">
        <v>0.45825756899999998</v>
      </c>
      <c r="L87" s="290" t="s">
        <v>31</v>
      </c>
      <c r="M87" s="290" t="s">
        <v>31</v>
      </c>
      <c r="N87" s="290" t="s">
        <v>31</v>
      </c>
      <c r="O87" s="51"/>
    </row>
    <row r="88" spans="1:15" ht="15.6">
      <c r="A88" s="51" t="s">
        <v>38</v>
      </c>
      <c r="B88" s="289">
        <f>564.529*(0.45+13.9)</f>
        <v>8100.9911499999998</v>
      </c>
      <c r="C88" s="289"/>
      <c r="D88" s="51" t="s">
        <v>39</v>
      </c>
      <c r="E88" s="51" t="s">
        <v>40</v>
      </c>
      <c r="F88" s="50" t="s">
        <v>29</v>
      </c>
      <c r="G88" s="51" t="s">
        <v>59</v>
      </c>
      <c r="H88" s="51" t="s">
        <v>33</v>
      </c>
      <c r="I88" s="290">
        <v>2</v>
      </c>
      <c r="J88" s="290">
        <f t="shared" si="3"/>
        <v>8.9997416973721727</v>
      </c>
      <c r="K88" s="290">
        <v>0.45825756899999998</v>
      </c>
      <c r="L88" s="290" t="s">
        <v>31</v>
      </c>
      <c r="M88" s="290" t="s">
        <v>31</v>
      </c>
      <c r="N88" s="290" t="s">
        <v>31</v>
      </c>
      <c r="O88" s="51"/>
    </row>
    <row r="89" spans="1:15" ht="15.6">
      <c r="A89" s="58" t="s">
        <v>70</v>
      </c>
      <c r="B89" s="289">
        <f>564.529*(166.8)</f>
        <v>94163.4372</v>
      </c>
      <c r="C89" s="289"/>
      <c r="D89" s="51" t="s">
        <v>71</v>
      </c>
      <c r="E89" s="51" t="s">
        <v>40</v>
      </c>
      <c r="F89" s="50" t="s">
        <v>29</v>
      </c>
      <c r="G89" s="51" t="s">
        <v>59</v>
      </c>
      <c r="H89" s="51" t="s">
        <v>33</v>
      </c>
      <c r="I89" s="290">
        <v>2</v>
      </c>
      <c r="J89" s="290">
        <f t="shared" si="3"/>
        <v>11.452787245091189</v>
      </c>
      <c r="K89" s="290">
        <v>0.45825756899999998</v>
      </c>
      <c r="L89" s="290" t="s">
        <v>31</v>
      </c>
      <c r="M89" s="290" t="s">
        <v>31</v>
      </c>
      <c r="N89" s="290" t="s">
        <v>31</v>
      </c>
      <c r="O89" s="51"/>
    </row>
    <row r="90" spans="1:15" ht="15.6">
      <c r="A90" t="s">
        <v>223</v>
      </c>
      <c r="B90" s="289">
        <f>-564.529*0.038</f>
        <v>-21.452102</v>
      </c>
      <c r="C90" s="289"/>
      <c r="D90" s="51" t="s">
        <v>37</v>
      </c>
      <c r="E90" s="51" t="s">
        <v>40</v>
      </c>
      <c r="F90" s="50" t="s">
        <v>29</v>
      </c>
      <c r="G90" s="51" t="s">
        <v>82</v>
      </c>
      <c r="H90" s="51" t="s">
        <v>33</v>
      </c>
      <c r="I90" s="290">
        <v>0</v>
      </c>
      <c r="J90" s="290">
        <v>0</v>
      </c>
      <c r="K90" s="290">
        <v>0</v>
      </c>
      <c r="L90" s="290" t="s">
        <v>31</v>
      </c>
      <c r="M90" s="290" t="s">
        <v>31</v>
      </c>
      <c r="N90" s="290" t="s">
        <v>31</v>
      </c>
      <c r="O90" s="51"/>
    </row>
    <row r="91" spans="1:15" s="54" customFormat="1" ht="15.6">
      <c r="A91" s="291" t="s">
        <v>5</v>
      </c>
      <c r="B91" s="292" t="s">
        <v>510</v>
      </c>
      <c r="C91" s="292"/>
      <c r="D91" s="55"/>
      <c r="I91" s="293"/>
      <c r="J91" s="293"/>
      <c r="K91" s="293"/>
      <c r="L91" s="293"/>
      <c r="M91" s="293"/>
      <c r="N91" s="293"/>
    </row>
    <row r="92" spans="1:15">
      <c r="A92" s="50" t="s">
        <v>7</v>
      </c>
      <c r="B92" s="284" t="s">
        <v>476</v>
      </c>
    </row>
    <row r="93" spans="1:15">
      <c r="A93" s="50" t="s">
        <v>9</v>
      </c>
      <c r="B93" s="50" t="str">
        <f ca="1">UPPER(CONCATENATE(DEC2HEX(RANDBETWEEN(0,POWER(16,8)),8),DEC2HEX(RANDBETWEEN(0,POWER(16,4)),4),"4",DEC2HEX(RANDBETWEEN(0,POWER(16,3)),3),DEC2HEX(RANDBETWEEN(8,11)),DEC2HEX(RANDBETWEEN(0,POWER(16,3)),3),DEC2HEX(RANDBETWEEN(0,POWER(16,8)),8),DEC2HEX(RANDBETWEEN(0,POWER(16,4)),4)))</f>
        <v>27D3F5DF0BC9489C8795F01DA6929348</v>
      </c>
    </row>
    <row r="94" spans="1:15">
      <c r="A94" s="50" t="s">
        <v>11</v>
      </c>
      <c r="B94" s="284" t="s">
        <v>477</v>
      </c>
    </row>
    <row r="95" spans="1:15">
      <c r="A95" s="50" t="s">
        <v>13</v>
      </c>
      <c r="B95" s="284" t="s">
        <v>59</v>
      </c>
    </row>
    <row r="96" spans="1:15">
      <c r="A96" s="50" t="s">
        <v>15</v>
      </c>
      <c r="B96" s="284">
        <v>1</v>
      </c>
    </row>
    <row r="97" spans="1:15">
      <c r="A97" s="50" t="s">
        <v>16</v>
      </c>
      <c r="B97" s="284" t="s">
        <v>17</v>
      </c>
    </row>
    <row r="98" spans="1:15">
      <c r="A98" s="50" t="s">
        <v>18</v>
      </c>
      <c r="B98" s="284" t="s">
        <v>37</v>
      </c>
    </row>
    <row r="99" spans="1:15" ht="15.6">
      <c r="A99" s="53" t="s">
        <v>19</v>
      </c>
    </row>
    <row r="100" spans="1:15" ht="15.6">
      <c r="A100" s="53" t="s">
        <v>20</v>
      </c>
      <c r="B100" s="286" t="s">
        <v>21</v>
      </c>
      <c r="C100" s="286" t="s">
        <v>186</v>
      </c>
      <c r="D100" s="53" t="s">
        <v>18</v>
      </c>
      <c r="E100" s="53" t="s">
        <v>22</v>
      </c>
      <c r="F100" s="53" t="s">
        <v>7</v>
      </c>
      <c r="G100" s="53" t="s">
        <v>13</v>
      </c>
      <c r="H100" s="53" t="s">
        <v>16</v>
      </c>
      <c r="I100" s="287" t="s">
        <v>23</v>
      </c>
      <c r="J100" s="287" t="s">
        <v>24</v>
      </c>
      <c r="K100" s="287" t="s">
        <v>25</v>
      </c>
      <c r="L100" s="287" t="s">
        <v>26</v>
      </c>
      <c r="M100" s="287" t="s">
        <v>27</v>
      </c>
      <c r="N100" s="287" t="s">
        <v>28</v>
      </c>
      <c r="O100" s="53" t="s">
        <v>11</v>
      </c>
    </row>
    <row r="101" spans="1:15" ht="15.6">
      <c r="A101" s="289" t="str">
        <f>B91</f>
        <v>production of lithium perchlorate</v>
      </c>
      <c r="B101" s="289">
        <v>1</v>
      </c>
      <c r="C101" s="289"/>
      <c r="D101" s="51" t="s">
        <v>37</v>
      </c>
      <c r="E101" s="51" t="s">
        <v>2</v>
      </c>
      <c r="F101" s="50" t="s">
        <v>476</v>
      </c>
      <c r="G101" s="51" t="s">
        <v>59</v>
      </c>
      <c r="H101" s="51" t="s">
        <v>30</v>
      </c>
      <c r="I101" s="290">
        <v>0</v>
      </c>
      <c r="J101" s="290" t="s">
        <v>31</v>
      </c>
      <c r="K101" s="290" t="s">
        <v>31</v>
      </c>
      <c r="L101" s="290" t="s">
        <v>31</v>
      </c>
      <c r="M101" s="290" t="s">
        <v>31</v>
      </c>
      <c r="N101" s="290" t="s">
        <v>31</v>
      </c>
      <c r="O101" s="51" t="s">
        <v>511</v>
      </c>
    </row>
    <row r="102" spans="1:15" ht="15.6">
      <c r="A102" s="50" t="s">
        <v>512</v>
      </c>
      <c r="B102" s="284">
        <f>0.398</f>
        <v>0.39800000000000002</v>
      </c>
      <c r="C102" s="289"/>
      <c r="D102" s="50" t="s">
        <v>37</v>
      </c>
      <c r="E102" s="65" t="s">
        <v>40</v>
      </c>
      <c r="F102" s="50" t="s">
        <v>29</v>
      </c>
      <c r="G102" s="50" t="s">
        <v>59</v>
      </c>
      <c r="H102" s="50" t="s">
        <v>33</v>
      </c>
      <c r="I102" s="285">
        <v>2</v>
      </c>
      <c r="J102" s="290">
        <f>LN(B102)</f>
        <v>-0.92130327369769927</v>
      </c>
      <c r="K102" s="290">
        <v>0.03</v>
      </c>
      <c r="L102" s="290" t="s">
        <v>31</v>
      </c>
      <c r="M102" s="290" t="s">
        <v>31</v>
      </c>
      <c r="N102" s="290" t="s">
        <v>31</v>
      </c>
    </row>
    <row r="103" spans="1:15" ht="15.6">
      <c r="A103" s="50" t="s">
        <v>513</v>
      </c>
      <c r="B103" s="284">
        <f>1.151</f>
        <v>1.151</v>
      </c>
      <c r="C103" s="289"/>
      <c r="D103" s="50" t="s">
        <v>37</v>
      </c>
      <c r="E103" s="65" t="s">
        <v>40</v>
      </c>
      <c r="F103" s="50" t="s">
        <v>29</v>
      </c>
      <c r="G103" s="50" t="s">
        <v>59</v>
      </c>
      <c r="H103" s="50" t="s">
        <v>33</v>
      </c>
      <c r="I103" s="285">
        <v>2</v>
      </c>
      <c r="J103" s="290">
        <f t="shared" ref="J103:J106" si="4">LN(B103)</f>
        <v>0.14063112973974562</v>
      </c>
      <c r="K103" s="290">
        <v>0.03</v>
      </c>
      <c r="L103" s="290" t="s">
        <v>31</v>
      </c>
      <c r="M103" s="290" t="s">
        <v>31</v>
      </c>
      <c r="N103" s="290" t="s">
        <v>31</v>
      </c>
    </row>
    <row r="104" spans="1:15" ht="15.6">
      <c r="A104" s="50" t="s">
        <v>38</v>
      </c>
      <c r="B104" s="284">
        <f>3</f>
        <v>3</v>
      </c>
      <c r="C104" s="289"/>
      <c r="D104" s="50" t="s">
        <v>39</v>
      </c>
      <c r="E104" s="65" t="s">
        <v>40</v>
      </c>
      <c r="F104" s="50" t="s">
        <v>29</v>
      </c>
      <c r="G104" s="50" t="s">
        <v>59</v>
      </c>
      <c r="H104" s="50" t="s">
        <v>33</v>
      </c>
      <c r="I104" s="285">
        <v>2</v>
      </c>
      <c r="J104" s="290">
        <f t="shared" si="4"/>
        <v>1.0986122886681098</v>
      </c>
      <c r="K104" s="290">
        <v>0.03</v>
      </c>
      <c r="L104" s="290" t="s">
        <v>31</v>
      </c>
      <c r="M104" s="290" t="s">
        <v>31</v>
      </c>
      <c r="N104" s="290" t="s">
        <v>31</v>
      </c>
    </row>
    <row r="105" spans="1:15" ht="15.6">
      <c r="A105" s="58" t="s">
        <v>514</v>
      </c>
      <c r="B105" s="284">
        <f>0.549*0.3934</f>
        <v>0.21597660000000002</v>
      </c>
      <c r="D105" s="50" t="s">
        <v>37</v>
      </c>
      <c r="E105" s="65" t="s">
        <v>43</v>
      </c>
      <c r="F105" s="50" t="s">
        <v>515</v>
      </c>
      <c r="G105" s="50" t="s">
        <v>29</v>
      </c>
      <c r="H105" s="58" t="s">
        <v>45</v>
      </c>
      <c r="I105" s="285">
        <v>2</v>
      </c>
      <c r="J105" s="290">
        <f t="shared" si="4"/>
        <v>-1.5325852104997848</v>
      </c>
      <c r="K105" s="290">
        <v>0.03</v>
      </c>
      <c r="L105" s="290" t="s">
        <v>31</v>
      </c>
      <c r="M105" s="290" t="s">
        <v>31</v>
      </c>
      <c r="N105" s="290" t="s">
        <v>31</v>
      </c>
      <c r="O105" s="50" t="s">
        <v>516</v>
      </c>
    </row>
    <row r="106" spans="1:15" ht="15.6">
      <c r="A106" s="58" t="s">
        <v>517</v>
      </c>
      <c r="B106" s="284">
        <f>0.549*0.6066</f>
        <v>0.33302340000000002</v>
      </c>
      <c r="D106" s="50" t="s">
        <v>37</v>
      </c>
      <c r="E106" s="65" t="s">
        <v>43</v>
      </c>
      <c r="F106" s="50" t="s">
        <v>515</v>
      </c>
      <c r="G106" s="50" t="s">
        <v>29</v>
      </c>
      <c r="H106" s="50" t="s">
        <v>45</v>
      </c>
      <c r="I106" s="285">
        <v>2</v>
      </c>
      <c r="J106" s="290">
        <f t="shared" si="4"/>
        <v>-1.0995425212002627</v>
      </c>
      <c r="K106" s="290">
        <v>0.03</v>
      </c>
      <c r="L106" s="290" t="s">
        <v>31</v>
      </c>
      <c r="M106" s="290" t="s">
        <v>31</v>
      </c>
      <c r="N106" s="290" t="s">
        <v>31</v>
      </c>
      <c r="O106" s="50" t="s">
        <v>516</v>
      </c>
    </row>
    <row r="107" spans="1:15" s="54" customFormat="1" ht="15.6">
      <c r="A107" s="291" t="s">
        <v>5</v>
      </c>
      <c r="B107" s="292" t="s">
        <v>518</v>
      </c>
      <c r="C107" s="292"/>
      <c r="D107" s="55"/>
      <c r="I107" s="293"/>
      <c r="J107" s="293"/>
      <c r="K107" s="293"/>
      <c r="L107" s="293"/>
      <c r="M107" s="293"/>
      <c r="N107" s="293"/>
    </row>
    <row r="108" spans="1:15">
      <c r="A108" s="50" t="s">
        <v>7</v>
      </c>
      <c r="B108" s="284" t="s">
        <v>476</v>
      </c>
    </row>
    <row r="109" spans="1:15">
      <c r="A109" s="50" t="s">
        <v>9</v>
      </c>
      <c r="B109" s="50" t="str">
        <f ca="1">UPPER(CONCATENATE(DEC2HEX(RANDBETWEEN(0,POWER(16,8)),8),DEC2HEX(RANDBETWEEN(0,POWER(16,4)),4),"4",DEC2HEX(RANDBETWEEN(0,POWER(16,3)),3),DEC2HEX(RANDBETWEEN(8,11)),DEC2HEX(RANDBETWEEN(0,POWER(16,3)),3),DEC2HEX(RANDBETWEEN(0,POWER(16,8)),8),DEC2HEX(RANDBETWEEN(0,POWER(16,4)),4)))</f>
        <v>2F24DB1308124C9E8FBC5F499492C387</v>
      </c>
    </row>
    <row r="110" spans="1:15">
      <c r="A110" s="50" t="s">
        <v>11</v>
      </c>
      <c r="B110" s="284" t="s">
        <v>477</v>
      </c>
    </row>
    <row r="111" spans="1:15">
      <c r="A111" s="50" t="s">
        <v>13</v>
      </c>
      <c r="B111" s="284" t="s">
        <v>59</v>
      </c>
    </row>
    <row r="112" spans="1:15">
      <c r="A112" s="50" t="s">
        <v>15</v>
      </c>
      <c r="B112" s="284">
        <v>1</v>
      </c>
    </row>
    <row r="113" spans="1:15">
      <c r="A113" s="50" t="s">
        <v>16</v>
      </c>
      <c r="B113" s="284" t="s">
        <v>17</v>
      </c>
    </row>
    <row r="114" spans="1:15">
      <c r="A114" s="50" t="s">
        <v>18</v>
      </c>
      <c r="B114" s="284" t="s">
        <v>18</v>
      </c>
    </row>
    <row r="115" spans="1:15" ht="15.6">
      <c r="A115" s="53" t="s">
        <v>19</v>
      </c>
    </row>
    <row r="116" spans="1:15" ht="15.6">
      <c r="A116" s="53" t="s">
        <v>20</v>
      </c>
      <c r="B116" s="286" t="s">
        <v>21</v>
      </c>
      <c r="C116" s="286" t="s">
        <v>186</v>
      </c>
      <c r="D116" s="53" t="s">
        <v>18</v>
      </c>
      <c r="E116" s="53" t="s">
        <v>22</v>
      </c>
      <c r="F116" s="53" t="s">
        <v>7</v>
      </c>
      <c r="G116" s="53" t="s">
        <v>13</v>
      </c>
      <c r="H116" s="53" t="s">
        <v>16</v>
      </c>
      <c r="I116" s="287" t="s">
        <v>23</v>
      </c>
      <c r="J116" s="287" t="s">
        <v>24</v>
      </c>
      <c r="K116" s="287" t="s">
        <v>25</v>
      </c>
      <c r="L116" s="287" t="s">
        <v>26</v>
      </c>
      <c r="M116" s="287" t="s">
        <v>27</v>
      </c>
      <c r="N116" s="287" t="s">
        <v>28</v>
      </c>
      <c r="O116" s="53" t="s">
        <v>11</v>
      </c>
    </row>
    <row r="117" spans="1:15" ht="15.6">
      <c r="A117" s="50" t="s">
        <v>518</v>
      </c>
      <c r="B117" s="289">
        <v>1</v>
      </c>
      <c r="C117" s="289"/>
      <c r="D117" s="51" t="s">
        <v>18</v>
      </c>
      <c r="E117" s="51" t="s">
        <v>2</v>
      </c>
      <c r="F117" s="50" t="s">
        <v>476</v>
      </c>
      <c r="G117" s="50" t="s">
        <v>59</v>
      </c>
      <c r="H117" s="51" t="s">
        <v>30</v>
      </c>
      <c r="I117" s="290">
        <v>0</v>
      </c>
      <c r="J117" s="290" t="s">
        <v>31</v>
      </c>
      <c r="K117" s="290" t="s">
        <v>31</v>
      </c>
      <c r="L117" s="290" t="s">
        <v>31</v>
      </c>
      <c r="M117" s="290" t="s">
        <v>31</v>
      </c>
      <c r="N117" s="290" t="s">
        <v>31</v>
      </c>
      <c r="O117" s="51" t="s">
        <v>519</v>
      </c>
    </row>
    <row r="118" spans="1:15" ht="15.6">
      <c r="A118" s="284" t="str">
        <f>A101</f>
        <v>production of lithium perchlorate</v>
      </c>
      <c r="B118" s="284">
        <f>6*675*0.0058</f>
        <v>23.49</v>
      </c>
      <c r="D118" s="284" t="str">
        <f>D101</f>
        <v>kilogram</v>
      </c>
      <c r="E118" s="284" t="str">
        <f>E101</f>
        <v>GENESIS_2050_SOFC-bat_Base</v>
      </c>
      <c r="F118" s="50" t="s">
        <v>476</v>
      </c>
      <c r="G118" s="50" t="s">
        <v>59</v>
      </c>
      <c r="H118" s="50" t="s">
        <v>33</v>
      </c>
      <c r="I118" s="285">
        <v>2</v>
      </c>
      <c r="J118" s="285">
        <f t="shared" ref="J118:J119" si="5">LN(B118)</f>
        <v>3.1565747986708215</v>
      </c>
      <c r="K118" s="285">
        <v>2.8284271E-2</v>
      </c>
      <c r="L118" s="290" t="s">
        <v>31</v>
      </c>
      <c r="M118" s="290" t="s">
        <v>31</v>
      </c>
      <c r="N118" s="290" t="s">
        <v>31</v>
      </c>
    </row>
    <row r="119" spans="1:15" ht="15.6">
      <c r="A119" t="s">
        <v>520</v>
      </c>
      <c r="B119" s="284">
        <f>675*6*0.1108</f>
        <v>448.74</v>
      </c>
      <c r="D119" s="50" t="s">
        <v>37</v>
      </c>
      <c r="E119" s="65" t="s">
        <v>40</v>
      </c>
      <c r="F119" s="50" t="s">
        <v>29</v>
      </c>
      <c r="G119" s="50" t="s">
        <v>59</v>
      </c>
      <c r="H119" s="50" t="s">
        <v>33</v>
      </c>
      <c r="I119" s="285">
        <v>2</v>
      </c>
      <c r="J119" s="285">
        <f t="shared" si="5"/>
        <v>6.1064436554316313</v>
      </c>
      <c r="K119" s="285">
        <v>2.8284271E-2</v>
      </c>
      <c r="L119" s="290" t="s">
        <v>31</v>
      </c>
      <c r="M119" s="290" t="s">
        <v>31</v>
      </c>
      <c r="N119" s="290" t="s">
        <v>31</v>
      </c>
      <c r="O119" s="50" t="s">
        <v>521</v>
      </c>
    </row>
    <row r="120" spans="1:15" s="54" customFormat="1" ht="15.6">
      <c r="A120" s="291" t="s">
        <v>5</v>
      </c>
      <c r="B120" s="292" t="s">
        <v>522</v>
      </c>
      <c r="C120" s="292"/>
      <c r="D120" s="55"/>
      <c r="I120" s="293"/>
      <c r="J120" s="293"/>
      <c r="K120" s="293"/>
      <c r="L120" s="293"/>
      <c r="M120" s="293"/>
      <c r="N120" s="293"/>
    </row>
    <row r="121" spans="1:15">
      <c r="A121" s="50" t="s">
        <v>7</v>
      </c>
      <c r="B121" s="284" t="s">
        <v>476</v>
      </c>
    </row>
    <row r="122" spans="1:15">
      <c r="A122" s="50" t="s">
        <v>9</v>
      </c>
      <c r="B122" s="50" t="str">
        <f ca="1">UPPER(CONCATENATE(DEC2HEX(RANDBETWEEN(0,POWER(16,8)),8),DEC2HEX(RANDBETWEEN(0,POWER(16,4)),4),"4",DEC2HEX(RANDBETWEEN(0,POWER(16,3)),3),DEC2HEX(RANDBETWEEN(8,11)),DEC2HEX(RANDBETWEEN(0,POWER(16,3)),3),DEC2HEX(RANDBETWEEN(0,POWER(16,8)),8),DEC2HEX(RANDBETWEEN(0,POWER(16,4)),4)))</f>
        <v>E7B1992086574FA48879054F10BA4FD6</v>
      </c>
    </row>
    <row r="123" spans="1:15">
      <c r="A123" s="50" t="s">
        <v>11</v>
      </c>
      <c r="B123" s="284" t="s">
        <v>477</v>
      </c>
    </row>
    <row r="124" spans="1:15">
      <c r="A124" s="50" t="s">
        <v>13</v>
      </c>
      <c r="B124" s="284" t="s">
        <v>59</v>
      </c>
    </row>
    <row r="125" spans="1:15">
      <c r="A125" s="50" t="s">
        <v>15</v>
      </c>
      <c r="B125" s="284">
        <v>1</v>
      </c>
    </row>
    <row r="126" spans="1:15">
      <c r="A126" s="50" t="s">
        <v>16</v>
      </c>
      <c r="B126" s="284" t="s">
        <v>17</v>
      </c>
    </row>
    <row r="127" spans="1:15">
      <c r="A127" s="50" t="s">
        <v>18</v>
      </c>
      <c r="B127" s="284" t="s">
        <v>18</v>
      </c>
    </row>
    <row r="128" spans="1:15" ht="15.6">
      <c r="A128" s="53" t="s">
        <v>19</v>
      </c>
    </row>
    <row r="129" spans="1:15" ht="15.6">
      <c r="A129" s="53" t="s">
        <v>20</v>
      </c>
      <c r="B129" s="286" t="s">
        <v>21</v>
      </c>
      <c r="C129" s="286" t="s">
        <v>186</v>
      </c>
      <c r="D129" s="53" t="s">
        <v>18</v>
      </c>
      <c r="E129" s="53" t="s">
        <v>22</v>
      </c>
      <c r="F129" s="53" t="s">
        <v>7</v>
      </c>
      <c r="G129" s="53" t="s">
        <v>13</v>
      </c>
      <c r="H129" s="53" t="s">
        <v>16</v>
      </c>
      <c r="I129" s="287" t="s">
        <v>23</v>
      </c>
      <c r="J129" s="287" t="s">
        <v>24</v>
      </c>
      <c r="K129" s="287" t="s">
        <v>25</v>
      </c>
      <c r="L129" s="287" t="s">
        <v>26</v>
      </c>
      <c r="M129" s="287" t="s">
        <v>27</v>
      </c>
      <c r="N129" s="287" t="s">
        <v>28</v>
      </c>
      <c r="O129" s="53" t="s">
        <v>11</v>
      </c>
    </row>
    <row r="130" spans="1:15" ht="15.6">
      <c r="A130" s="51" t="s">
        <v>522</v>
      </c>
      <c r="B130" s="289">
        <v>1</v>
      </c>
      <c r="C130" s="289"/>
      <c r="D130" s="51" t="s">
        <v>18</v>
      </c>
      <c r="E130" s="51" t="s">
        <v>2</v>
      </c>
      <c r="F130" s="50" t="s">
        <v>476</v>
      </c>
      <c r="G130" s="51" t="s">
        <v>59</v>
      </c>
      <c r="H130" s="51" t="s">
        <v>30</v>
      </c>
      <c r="I130" s="290">
        <v>0</v>
      </c>
      <c r="J130" s="290" t="s">
        <v>31</v>
      </c>
      <c r="K130" s="290" t="s">
        <v>31</v>
      </c>
      <c r="L130" s="290" t="s">
        <v>31</v>
      </c>
      <c r="M130" s="290" t="s">
        <v>31</v>
      </c>
      <c r="N130" s="290" t="s">
        <v>31</v>
      </c>
      <c r="O130" s="51" t="s">
        <v>523</v>
      </c>
    </row>
    <row r="131" spans="1:15" ht="15.6">
      <c r="A131" s="50" t="s">
        <v>524</v>
      </c>
      <c r="B131" s="284">
        <f>675*6*0.02571*0.335</f>
        <v>34.882042500000004</v>
      </c>
      <c r="D131" s="50" t="s">
        <v>37</v>
      </c>
      <c r="E131" s="65" t="s">
        <v>40</v>
      </c>
      <c r="F131" s="50" t="s">
        <v>29</v>
      </c>
      <c r="G131" s="50" t="s">
        <v>59</v>
      </c>
      <c r="H131" s="50" t="s">
        <v>33</v>
      </c>
      <c r="I131" s="285">
        <v>2</v>
      </c>
      <c r="J131" s="285">
        <f t="shared" ref="J131:J132" si="6">LN(B131)</f>
        <v>3.5519721552391754</v>
      </c>
      <c r="K131" s="285">
        <v>0.03</v>
      </c>
      <c r="L131" s="290" t="s">
        <v>31</v>
      </c>
      <c r="M131" s="290" t="s">
        <v>31</v>
      </c>
      <c r="N131" s="290" t="s">
        <v>31</v>
      </c>
    </row>
    <row r="132" spans="1:15" ht="15.6">
      <c r="A132" s="50" t="s">
        <v>121</v>
      </c>
      <c r="B132" s="284">
        <f>675*6*0.02571*0.665</f>
        <v>69.243457500000005</v>
      </c>
      <c r="D132" s="50" t="s">
        <v>37</v>
      </c>
      <c r="E132" s="65" t="s">
        <v>40</v>
      </c>
      <c r="F132" s="50" t="s">
        <v>29</v>
      </c>
      <c r="G132" s="50" t="s">
        <v>59</v>
      </c>
      <c r="H132" s="50" t="s">
        <v>33</v>
      </c>
      <c r="I132" s="285">
        <v>2</v>
      </c>
      <c r="J132" s="285">
        <f t="shared" si="6"/>
        <v>4.2376286640699634</v>
      </c>
      <c r="K132" s="285">
        <v>0.03</v>
      </c>
      <c r="L132" s="290" t="s">
        <v>31</v>
      </c>
      <c r="M132" s="290" t="s">
        <v>31</v>
      </c>
      <c r="N132" s="290" t="s">
        <v>31</v>
      </c>
    </row>
    <row r="133" spans="1:15" s="54" customFormat="1" ht="15.6">
      <c r="A133" s="291" t="s">
        <v>5</v>
      </c>
      <c r="B133" s="292" t="s">
        <v>525</v>
      </c>
      <c r="C133" s="292"/>
      <c r="D133" s="55"/>
      <c r="I133" s="293"/>
      <c r="J133" s="293"/>
      <c r="K133" s="293"/>
      <c r="L133" s="293"/>
      <c r="M133" s="293"/>
      <c r="N133" s="293"/>
    </row>
    <row r="134" spans="1:15">
      <c r="A134" s="50" t="s">
        <v>7</v>
      </c>
      <c r="B134" s="284" t="s">
        <v>476</v>
      </c>
    </row>
    <row r="135" spans="1:15">
      <c r="A135" s="50" t="s">
        <v>9</v>
      </c>
      <c r="B135" s="50" t="str">
        <f ca="1">UPPER(CONCATENATE(DEC2HEX(RANDBETWEEN(0,POWER(16,8)),8),DEC2HEX(RANDBETWEEN(0,POWER(16,4)),4),"4",DEC2HEX(RANDBETWEEN(0,POWER(16,3)),3),DEC2HEX(RANDBETWEEN(8,11)),DEC2HEX(RANDBETWEEN(0,POWER(16,3)),3),DEC2HEX(RANDBETWEEN(0,POWER(16,8)),8),DEC2HEX(RANDBETWEEN(0,POWER(16,4)),4)))</f>
        <v>3505E68843664382BB2E40F968F56D80</v>
      </c>
    </row>
    <row r="136" spans="1:15">
      <c r="A136" s="50" t="s">
        <v>11</v>
      </c>
      <c r="B136" s="284" t="s">
        <v>477</v>
      </c>
    </row>
    <row r="137" spans="1:15">
      <c r="A137" s="50" t="s">
        <v>13</v>
      </c>
      <c r="B137" s="284" t="s">
        <v>59</v>
      </c>
    </row>
    <row r="138" spans="1:15">
      <c r="A138" s="50" t="s">
        <v>15</v>
      </c>
      <c r="B138" s="284">
        <v>1</v>
      </c>
    </row>
    <row r="139" spans="1:15">
      <c r="A139" s="50" t="s">
        <v>16</v>
      </c>
      <c r="B139" s="284" t="s">
        <v>17</v>
      </c>
    </row>
    <row r="140" spans="1:15">
      <c r="A140" s="50" t="s">
        <v>18</v>
      </c>
      <c r="B140" s="284" t="s">
        <v>18</v>
      </c>
    </row>
    <row r="141" spans="1:15" ht="15.6">
      <c r="A141" s="53" t="s">
        <v>19</v>
      </c>
    </row>
    <row r="142" spans="1:15" ht="15.6">
      <c r="A142" s="53" t="s">
        <v>20</v>
      </c>
      <c r="B142" s="286" t="s">
        <v>21</v>
      </c>
      <c r="C142" s="286" t="s">
        <v>186</v>
      </c>
      <c r="D142" s="53" t="s">
        <v>18</v>
      </c>
      <c r="E142" s="53" t="s">
        <v>22</v>
      </c>
      <c r="F142" s="53" t="s">
        <v>7</v>
      </c>
      <c r="G142" s="53" t="s">
        <v>13</v>
      </c>
      <c r="H142" s="53" t="s">
        <v>16</v>
      </c>
      <c r="I142" s="287" t="s">
        <v>23</v>
      </c>
      <c r="J142" s="287" t="s">
        <v>24</v>
      </c>
      <c r="K142" s="287" t="s">
        <v>25</v>
      </c>
      <c r="L142" s="287" t="s">
        <v>26</v>
      </c>
      <c r="M142" s="287" t="s">
        <v>27</v>
      </c>
      <c r="N142" s="287" t="s">
        <v>28</v>
      </c>
      <c r="O142" s="53" t="s">
        <v>11</v>
      </c>
    </row>
    <row r="143" spans="1:15" ht="15.6">
      <c r="A143" s="51" t="s">
        <v>525</v>
      </c>
      <c r="B143" s="289">
        <v>1</v>
      </c>
      <c r="C143" s="289"/>
      <c r="D143" s="51" t="s">
        <v>18</v>
      </c>
      <c r="E143" s="51" t="s">
        <v>2</v>
      </c>
      <c r="F143" s="50" t="s">
        <v>476</v>
      </c>
      <c r="G143" s="51" t="s">
        <v>59</v>
      </c>
      <c r="H143" s="51" t="s">
        <v>30</v>
      </c>
      <c r="I143" s="290">
        <v>0</v>
      </c>
      <c r="J143" s="290" t="s">
        <v>31</v>
      </c>
      <c r="K143" s="290" t="s">
        <v>31</v>
      </c>
      <c r="L143" s="290" t="s">
        <v>31</v>
      </c>
      <c r="M143" s="290" t="s">
        <v>31</v>
      </c>
      <c r="N143" s="290" t="s">
        <v>31</v>
      </c>
      <c r="O143" s="51" t="s">
        <v>526</v>
      </c>
    </row>
    <row r="144" spans="1:15" ht="15.6">
      <c r="A144" s="50" t="s">
        <v>205</v>
      </c>
      <c r="B144" s="284">
        <f>675*6*0.01942*(0.679)</f>
        <v>53.404029000000001</v>
      </c>
      <c r="D144" s="50" t="s">
        <v>37</v>
      </c>
      <c r="E144" s="65" t="s">
        <v>40</v>
      </c>
      <c r="F144" s="50" t="s">
        <v>29</v>
      </c>
      <c r="G144" s="50" t="s">
        <v>59</v>
      </c>
      <c r="H144" s="50" t="s">
        <v>33</v>
      </c>
      <c r="I144" s="285">
        <v>2</v>
      </c>
      <c r="J144" s="285">
        <f>LN(B144)</f>
        <v>3.9778861925581857</v>
      </c>
      <c r="K144" s="295">
        <v>2.4494897000000002E-2</v>
      </c>
      <c r="L144" s="290" t="s">
        <v>31</v>
      </c>
      <c r="M144" s="290" t="s">
        <v>31</v>
      </c>
      <c r="N144" s="290" t="s">
        <v>31</v>
      </c>
    </row>
    <row r="145" spans="1:15" ht="15.6">
      <c r="A145" s="296" t="s">
        <v>527</v>
      </c>
      <c r="B145" s="284">
        <f>675*6*0.01942*(0.667)</f>
        <v>52.460217</v>
      </c>
      <c r="D145" s="50" t="s">
        <v>37</v>
      </c>
      <c r="E145" s="65" t="s">
        <v>40</v>
      </c>
      <c r="F145" s="50" t="s">
        <v>29</v>
      </c>
      <c r="G145" s="50" t="s">
        <v>59</v>
      </c>
      <c r="H145" s="50" t="s">
        <v>33</v>
      </c>
      <c r="I145" s="285">
        <v>2</v>
      </c>
      <c r="J145" s="285">
        <f>LN(B145)</f>
        <v>3.9600551109151132</v>
      </c>
      <c r="K145" s="285">
        <v>2.4494897000000002E-2</v>
      </c>
      <c r="L145" s="290" t="s">
        <v>31</v>
      </c>
      <c r="M145" s="290" t="s">
        <v>31</v>
      </c>
      <c r="N145" s="290" t="s">
        <v>31</v>
      </c>
    </row>
    <row r="146" spans="1:15" ht="15.6">
      <c r="A146" s="297" t="s">
        <v>528</v>
      </c>
      <c r="B146" s="284">
        <f>675*6*0.01942*0.333</f>
        <v>26.190783</v>
      </c>
      <c r="D146" s="50" t="s">
        <v>37</v>
      </c>
      <c r="E146" s="65" t="s">
        <v>40</v>
      </c>
      <c r="F146" s="50" t="s">
        <v>29</v>
      </c>
      <c r="G146" s="50" t="s">
        <v>59</v>
      </c>
      <c r="H146" s="50" t="s">
        <v>33</v>
      </c>
      <c r="I146" s="285">
        <v>2</v>
      </c>
      <c r="J146" s="285">
        <f t="shared" ref="J146:J148" si="7">LN(B146)</f>
        <v>3.2654075549799333</v>
      </c>
      <c r="K146" s="285">
        <v>2.4494897000000002E-2</v>
      </c>
      <c r="L146" s="290" t="s">
        <v>31</v>
      </c>
      <c r="M146" s="290" t="s">
        <v>31</v>
      </c>
      <c r="N146" s="290" t="s">
        <v>31</v>
      </c>
    </row>
    <row r="147" spans="1:15" ht="15.6">
      <c r="A147" s="294" t="s">
        <v>94</v>
      </c>
      <c r="B147" s="284">
        <f>675*6*0.01942*0.137</f>
        <v>10.775187000000001</v>
      </c>
      <c r="C147" s="57" t="s">
        <v>529</v>
      </c>
      <c r="D147" s="50" t="s">
        <v>37</v>
      </c>
      <c r="E147" s="65" t="s">
        <v>40</v>
      </c>
      <c r="F147" s="50" t="s">
        <v>29</v>
      </c>
      <c r="G147" s="50" t="s">
        <v>59</v>
      </c>
      <c r="H147" s="50" t="s">
        <v>33</v>
      </c>
      <c r="I147" s="285">
        <v>2</v>
      </c>
      <c r="J147" s="285">
        <f t="shared" si="7"/>
        <v>2.3772459908276145</v>
      </c>
      <c r="K147" s="285">
        <v>2.4494897000000002E-2</v>
      </c>
      <c r="L147" s="290" t="s">
        <v>31</v>
      </c>
      <c r="M147" s="290" t="s">
        <v>31</v>
      </c>
      <c r="N147" s="290" t="s">
        <v>31</v>
      </c>
    </row>
    <row r="148" spans="1:15" ht="15.6">
      <c r="A148" s="50" t="s">
        <v>121</v>
      </c>
      <c r="B148" s="284">
        <f>675*6*0.01942*0.206</f>
        <v>16.202105999999997</v>
      </c>
      <c r="D148" s="50" t="s">
        <v>37</v>
      </c>
      <c r="E148" s="65" t="s">
        <v>40</v>
      </c>
      <c r="F148" s="50" t="s">
        <v>29</v>
      </c>
      <c r="G148" s="50" t="s">
        <v>59</v>
      </c>
      <c r="H148" s="50" t="s">
        <v>33</v>
      </c>
      <c r="I148" s="285">
        <v>2</v>
      </c>
      <c r="J148" s="285">
        <f t="shared" si="7"/>
        <v>2.7851412337890706</v>
      </c>
      <c r="K148" s="285">
        <v>2.4494897000000002E-2</v>
      </c>
      <c r="L148" s="290" t="s">
        <v>31</v>
      </c>
      <c r="M148" s="290" t="s">
        <v>31</v>
      </c>
      <c r="N148" s="290" t="s">
        <v>31</v>
      </c>
    </row>
    <row r="149" spans="1:15" s="54" customFormat="1" ht="15.6">
      <c r="A149" s="291" t="s">
        <v>5</v>
      </c>
      <c r="B149" s="292" t="s">
        <v>530</v>
      </c>
      <c r="C149" s="292"/>
      <c r="D149" s="55"/>
      <c r="I149" s="293"/>
      <c r="J149" s="293"/>
      <c r="K149" s="293"/>
      <c r="L149" s="293"/>
      <c r="M149" s="293"/>
      <c r="N149" s="293"/>
    </row>
    <row r="150" spans="1:15">
      <c r="A150" s="50" t="s">
        <v>7</v>
      </c>
      <c r="B150" s="284" t="s">
        <v>476</v>
      </c>
    </row>
    <row r="151" spans="1:15">
      <c r="A151" s="50" t="s">
        <v>9</v>
      </c>
      <c r="B151" s="50" t="str">
        <f ca="1">UPPER(CONCATENATE(DEC2HEX(RANDBETWEEN(0,POWER(16,8)),8),DEC2HEX(RANDBETWEEN(0,POWER(16,4)),4),"4",DEC2HEX(RANDBETWEEN(0,POWER(16,3)),3),DEC2HEX(RANDBETWEEN(8,11)),DEC2HEX(RANDBETWEEN(0,POWER(16,3)),3),DEC2HEX(RANDBETWEEN(0,POWER(16,8)),8),DEC2HEX(RANDBETWEEN(0,POWER(16,4)),4)))</f>
        <v>032093B816844AD09B9498BF765555D3</v>
      </c>
    </row>
    <row r="152" spans="1:15">
      <c r="A152" s="50" t="s">
        <v>11</v>
      </c>
      <c r="B152" s="284" t="s">
        <v>477</v>
      </c>
    </row>
    <row r="153" spans="1:15">
      <c r="A153" s="50" t="s">
        <v>13</v>
      </c>
      <c r="B153" s="284" t="s">
        <v>59</v>
      </c>
    </row>
    <row r="154" spans="1:15">
      <c r="A154" s="50" t="s">
        <v>15</v>
      </c>
      <c r="B154" s="284">
        <v>1</v>
      </c>
    </row>
    <row r="155" spans="1:15">
      <c r="A155" s="50" t="s">
        <v>16</v>
      </c>
      <c r="B155" s="284" t="s">
        <v>17</v>
      </c>
    </row>
    <row r="156" spans="1:15">
      <c r="A156" s="50" t="s">
        <v>18</v>
      </c>
      <c r="B156" s="284" t="s">
        <v>18</v>
      </c>
    </row>
    <row r="157" spans="1:15" ht="15.6">
      <c r="A157" s="53" t="s">
        <v>19</v>
      </c>
    </row>
    <row r="158" spans="1:15" ht="15.6">
      <c r="A158" s="53" t="s">
        <v>20</v>
      </c>
      <c r="B158" s="286" t="s">
        <v>21</v>
      </c>
      <c r="C158" s="286" t="s">
        <v>186</v>
      </c>
      <c r="D158" s="53" t="s">
        <v>18</v>
      </c>
      <c r="E158" s="53" t="s">
        <v>22</v>
      </c>
      <c r="F158" s="53" t="s">
        <v>7</v>
      </c>
      <c r="G158" s="53" t="s">
        <v>13</v>
      </c>
      <c r="H158" s="53" t="s">
        <v>16</v>
      </c>
      <c r="I158" s="287" t="s">
        <v>23</v>
      </c>
      <c r="J158" s="287" t="s">
        <v>24</v>
      </c>
      <c r="K158" s="287" t="s">
        <v>25</v>
      </c>
      <c r="L158" s="287" t="s">
        <v>26</v>
      </c>
      <c r="M158" s="287" t="s">
        <v>27</v>
      </c>
      <c r="N158" s="287" t="s">
        <v>28</v>
      </c>
      <c r="O158" s="53" t="s">
        <v>11</v>
      </c>
    </row>
    <row r="159" spans="1:15" ht="15.6">
      <c r="A159" s="51" t="s">
        <v>530</v>
      </c>
      <c r="B159" s="298">
        <v>1</v>
      </c>
      <c r="C159" s="298"/>
      <c r="D159" s="51" t="s">
        <v>18</v>
      </c>
      <c r="E159" s="51" t="s">
        <v>2</v>
      </c>
      <c r="F159" s="50" t="s">
        <v>476</v>
      </c>
      <c r="G159" s="51" t="s">
        <v>59</v>
      </c>
      <c r="H159" s="51" t="s">
        <v>30</v>
      </c>
      <c r="I159" s="290">
        <v>0</v>
      </c>
      <c r="J159" s="290" t="s">
        <v>31</v>
      </c>
      <c r="K159" s="290" t="s">
        <v>31</v>
      </c>
      <c r="L159" s="290" t="s">
        <v>31</v>
      </c>
      <c r="M159" s="290" t="s">
        <v>31</v>
      </c>
      <c r="N159" s="290" t="s">
        <v>31</v>
      </c>
      <c r="O159" s="51" t="s">
        <v>531</v>
      </c>
    </row>
    <row r="160" spans="1:15" ht="15.6">
      <c r="A160" s="299" t="s">
        <v>495</v>
      </c>
      <c r="B160" s="284">
        <v>1</v>
      </c>
      <c r="D160" s="50" t="s">
        <v>18</v>
      </c>
      <c r="E160" s="50" t="s">
        <v>2</v>
      </c>
      <c r="F160" s="50" t="s">
        <v>476</v>
      </c>
      <c r="G160" s="50" t="s">
        <v>59</v>
      </c>
      <c r="H160" s="50" t="s">
        <v>33</v>
      </c>
      <c r="I160" s="300" t="s">
        <v>532</v>
      </c>
      <c r="J160" s="300" t="s">
        <v>533</v>
      </c>
      <c r="K160" s="301" t="s">
        <v>31</v>
      </c>
      <c r="L160" s="301" t="s">
        <v>31</v>
      </c>
      <c r="M160" s="301" t="s">
        <v>533</v>
      </c>
      <c r="N160" s="301" t="s">
        <v>534</v>
      </c>
    </row>
    <row r="161" spans="1:15" ht="15.6">
      <c r="A161" s="50" t="s">
        <v>505</v>
      </c>
      <c r="B161" s="284">
        <v>1</v>
      </c>
      <c r="D161" s="50" t="s">
        <v>18</v>
      </c>
      <c r="E161" s="50" t="s">
        <v>2</v>
      </c>
      <c r="F161" s="50" t="s">
        <v>476</v>
      </c>
      <c r="G161" s="50" t="s">
        <v>59</v>
      </c>
      <c r="H161" s="50" t="s">
        <v>33</v>
      </c>
      <c r="I161" s="300" t="s">
        <v>532</v>
      </c>
      <c r="J161" s="300" t="s">
        <v>533</v>
      </c>
      <c r="K161" s="301" t="s">
        <v>31</v>
      </c>
      <c r="L161" s="301" t="s">
        <v>31</v>
      </c>
      <c r="M161" s="301" t="s">
        <v>533</v>
      </c>
      <c r="N161" s="301" t="s">
        <v>534</v>
      </c>
    </row>
    <row r="162" spans="1:15" ht="15.6">
      <c r="A162" s="50" t="s">
        <v>518</v>
      </c>
      <c r="B162" s="289">
        <v>1</v>
      </c>
      <c r="C162" s="289"/>
      <c r="D162" s="50" t="s">
        <v>18</v>
      </c>
      <c r="E162" s="50" t="s">
        <v>2</v>
      </c>
      <c r="F162" s="50" t="s">
        <v>476</v>
      </c>
      <c r="G162" s="50" t="s">
        <v>59</v>
      </c>
      <c r="H162" s="50" t="s">
        <v>33</v>
      </c>
      <c r="I162" s="300" t="s">
        <v>532</v>
      </c>
      <c r="J162" s="300" t="s">
        <v>533</v>
      </c>
      <c r="K162" s="301" t="s">
        <v>31</v>
      </c>
      <c r="L162" s="301" t="s">
        <v>31</v>
      </c>
      <c r="M162" s="301" t="s">
        <v>533</v>
      </c>
      <c r="N162" s="301" t="s">
        <v>534</v>
      </c>
    </row>
    <row r="163" spans="1:15" ht="15.6">
      <c r="A163" s="50" t="s">
        <v>522</v>
      </c>
      <c r="B163" s="284">
        <v>1</v>
      </c>
      <c r="D163" s="50" t="s">
        <v>18</v>
      </c>
      <c r="E163" s="50" t="s">
        <v>2</v>
      </c>
      <c r="F163" s="50" t="s">
        <v>476</v>
      </c>
      <c r="G163" s="50" t="s">
        <v>59</v>
      </c>
      <c r="H163" s="50" t="s">
        <v>33</v>
      </c>
      <c r="I163" s="300" t="s">
        <v>532</v>
      </c>
      <c r="J163" s="300" t="s">
        <v>533</v>
      </c>
      <c r="K163" s="301" t="s">
        <v>31</v>
      </c>
      <c r="L163" s="301" t="s">
        <v>31</v>
      </c>
      <c r="M163" s="301" t="s">
        <v>533</v>
      </c>
      <c r="N163" s="301" t="s">
        <v>534</v>
      </c>
    </row>
    <row r="164" spans="1:15" ht="15.6">
      <c r="A164" s="50" t="s">
        <v>525</v>
      </c>
      <c r="B164" s="50">
        <v>1</v>
      </c>
      <c r="C164" s="50"/>
      <c r="D164" s="50" t="s">
        <v>18</v>
      </c>
      <c r="E164" s="50" t="s">
        <v>2</v>
      </c>
      <c r="F164" s="50" t="s">
        <v>476</v>
      </c>
      <c r="G164" s="50" t="s">
        <v>59</v>
      </c>
      <c r="H164" s="50" t="s">
        <v>33</v>
      </c>
      <c r="I164" s="300" t="s">
        <v>532</v>
      </c>
      <c r="J164" s="300" t="s">
        <v>533</v>
      </c>
      <c r="K164" s="301" t="s">
        <v>31</v>
      </c>
      <c r="L164" s="301" t="s">
        <v>31</v>
      </c>
      <c r="M164" s="301" t="s">
        <v>533</v>
      </c>
      <c r="N164" s="301" t="s">
        <v>534</v>
      </c>
    </row>
    <row r="165" spans="1:15" ht="15.6">
      <c r="A165" s="50" t="s">
        <v>535</v>
      </c>
      <c r="B165" s="284">
        <f>675*6*0.05565</f>
        <v>225.38249999999999</v>
      </c>
      <c r="D165" s="50" t="s">
        <v>37</v>
      </c>
      <c r="E165" s="65" t="s">
        <v>40</v>
      </c>
      <c r="F165" s="50" t="s">
        <v>29</v>
      </c>
      <c r="G165" s="51" t="s">
        <v>59</v>
      </c>
      <c r="H165" s="50" t="s">
        <v>33</v>
      </c>
      <c r="I165" s="300" t="s">
        <v>532</v>
      </c>
      <c r="J165" s="300" t="s">
        <v>536</v>
      </c>
      <c r="K165" s="301" t="s">
        <v>31</v>
      </c>
      <c r="L165" s="301" t="s">
        <v>31</v>
      </c>
      <c r="M165" s="301" t="s">
        <v>536</v>
      </c>
      <c r="N165" s="301" t="s">
        <v>537</v>
      </c>
      <c r="O165" s="50" t="s">
        <v>538</v>
      </c>
    </row>
    <row r="166" spans="1:15" ht="15.6">
      <c r="A166" s="50" t="s">
        <v>539</v>
      </c>
      <c r="B166" s="284">
        <f>675*6*0.09504</f>
        <v>384.91199999999998</v>
      </c>
      <c r="D166" s="50" t="s">
        <v>37</v>
      </c>
      <c r="E166" s="65" t="s">
        <v>40</v>
      </c>
      <c r="F166" s="50" t="s">
        <v>29</v>
      </c>
      <c r="G166" s="51" t="s">
        <v>59</v>
      </c>
      <c r="H166" s="50" t="s">
        <v>33</v>
      </c>
      <c r="I166" s="300" t="s">
        <v>532</v>
      </c>
      <c r="J166" s="300" t="s">
        <v>540</v>
      </c>
      <c r="K166" s="301" t="s">
        <v>31</v>
      </c>
      <c r="L166" s="301" t="s">
        <v>31</v>
      </c>
      <c r="M166" s="301" t="s">
        <v>540</v>
      </c>
      <c r="N166" s="301" t="s">
        <v>541</v>
      </c>
      <c r="O166" s="50" t="s">
        <v>542</v>
      </c>
    </row>
    <row r="167" spans="1:15" ht="15.6">
      <c r="A167" s="51" t="s">
        <v>205</v>
      </c>
      <c r="B167" s="284">
        <f>675*6*0.0071</f>
        <v>28.755000000000003</v>
      </c>
      <c r="D167" s="50" t="s">
        <v>37</v>
      </c>
      <c r="E167" s="65" t="s">
        <v>40</v>
      </c>
      <c r="F167" s="50" t="s">
        <v>29</v>
      </c>
      <c r="G167" s="50" t="s">
        <v>59</v>
      </c>
      <c r="H167" s="50" t="s">
        <v>33</v>
      </c>
      <c r="I167" s="300" t="s">
        <v>532</v>
      </c>
      <c r="J167" s="300" t="s">
        <v>543</v>
      </c>
      <c r="K167" s="301" t="s">
        <v>31</v>
      </c>
      <c r="L167" s="301" t="s">
        <v>31</v>
      </c>
      <c r="M167" s="301" t="s">
        <v>543</v>
      </c>
      <c r="N167" s="301" t="s">
        <v>544</v>
      </c>
      <c r="O167" s="51" t="s">
        <v>545</v>
      </c>
    </row>
    <row r="168" spans="1:15" ht="15.6">
      <c r="A168" s="302" t="s">
        <v>120</v>
      </c>
      <c r="B168" s="284">
        <f>675*6*0.2337</f>
        <v>946.48500000000001</v>
      </c>
      <c r="D168" s="50" t="s">
        <v>37</v>
      </c>
      <c r="E168" s="65" t="s">
        <v>40</v>
      </c>
      <c r="F168" s="50" t="s">
        <v>29</v>
      </c>
      <c r="G168" s="50" t="s">
        <v>59</v>
      </c>
      <c r="H168" s="50" t="s">
        <v>33</v>
      </c>
      <c r="I168" s="300" t="s">
        <v>532</v>
      </c>
      <c r="J168" s="300" t="s">
        <v>546</v>
      </c>
      <c r="K168" s="301" t="s">
        <v>31</v>
      </c>
      <c r="L168" s="301" t="s">
        <v>31</v>
      </c>
      <c r="M168" s="301" t="s">
        <v>546</v>
      </c>
      <c r="N168" s="301" t="s">
        <v>547</v>
      </c>
      <c r="O168" s="51" t="s">
        <v>548</v>
      </c>
    </row>
    <row r="169" spans="1:15" s="54" customFormat="1" ht="15.6">
      <c r="A169" s="291" t="s">
        <v>5</v>
      </c>
      <c r="B169" s="292" t="s">
        <v>549</v>
      </c>
      <c r="C169" s="292"/>
      <c r="D169" s="55"/>
      <c r="I169" s="293"/>
      <c r="J169" s="293"/>
      <c r="K169" s="293"/>
      <c r="L169" s="293"/>
      <c r="M169" s="293"/>
      <c r="N169" s="293"/>
    </row>
    <row r="170" spans="1:15">
      <c r="A170" s="50" t="s">
        <v>7</v>
      </c>
      <c r="B170" s="284" t="s">
        <v>476</v>
      </c>
    </row>
    <row r="171" spans="1:15">
      <c r="A171" s="50" t="s">
        <v>9</v>
      </c>
      <c r="B171" s="50" t="str">
        <f ca="1">UPPER(CONCATENATE(DEC2HEX(RANDBETWEEN(0,POWER(16,8)),8),DEC2HEX(RANDBETWEEN(0,POWER(16,4)),4),"4",DEC2HEX(RANDBETWEEN(0,POWER(16,3)),3),DEC2HEX(RANDBETWEEN(8,11)),DEC2HEX(RANDBETWEEN(0,POWER(16,3)),3),DEC2HEX(RANDBETWEEN(0,POWER(16,8)),8),DEC2HEX(RANDBETWEEN(0,POWER(16,4)),4)))</f>
        <v>567EF9BFB3D74852B44BC9E1943BA1F8</v>
      </c>
    </row>
    <row r="172" spans="1:15">
      <c r="A172" s="50" t="s">
        <v>11</v>
      </c>
      <c r="B172" s="284" t="s">
        <v>477</v>
      </c>
    </row>
    <row r="173" spans="1:15">
      <c r="A173" s="50" t="s">
        <v>13</v>
      </c>
      <c r="B173" s="284" t="s">
        <v>59</v>
      </c>
    </row>
    <row r="174" spans="1:15">
      <c r="A174" s="50" t="s">
        <v>15</v>
      </c>
      <c r="B174" s="284">
        <v>1</v>
      </c>
    </row>
    <row r="175" spans="1:15">
      <c r="A175" s="50" t="s">
        <v>16</v>
      </c>
      <c r="B175" s="284" t="s">
        <v>17</v>
      </c>
    </row>
    <row r="176" spans="1:15">
      <c r="A176" s="50" t="s">
        <v>18</v>
      </c>
      <c r="B176" s="284" t="s">
        <v>18</v>
      </c>
    </row>
    <row r="177" spans="1:15" ht="15.6">
      <c r="A177" s="53" t="s">
        <v>19</v>
      </c>
    </row>
    <row r="178" spans="1:15" ht="15.6">
      <c r="A178" s="53" t="s">
        <v>20</v>
      </c>
      <c r="B178" s="286" t="s">
        <v>21</v>
      </c>
      <c r="C178" s="286" t="s">
        <v>186</v>
      </c>
      <c r="D178" s="53" t="s">
        <v>18</v>
      </c>
      <c r="E178" s="53" t="s">
        <v>22</v>
      </c>
      <c r="F178" s="53" t="s">
        <v>7</v>
      </c>
      <c r="G178" s="53" t="s">
        <v>13</v>
      </c>
      <c r="H178" s="53" t="s">
        <v>16</v>
      </c>
      <c r="I178" s="287" t="s">
        <v>23</v>
      </c>
      <c r="J178" s="287" t="s">
        <v>24</v>
      </c>
      <c r="K178" s="287" t="s">
        <v>25</v>
      </c>
      <c r="L178" s="287" t="s">
        <v>26</v>
      </c>
      <c r="M178" s="287" t="s">
        <v>27</v>
      </c>
      <c r="N178" s="287" t="s">
        <v>28</v>
      </c>
      <c r="O178" s="53" t="s">
        <v>11</v>
      </c>
    </row>
    <row r="179" spans="1:15" ht="15.6">
      <c r="A179" s="51" t="s">
        <v>549</v>
      </c>
      <c r="B179" s="289">
        <v>1</v>
      </c>
      <c r="C179" s="289"/>
      <c r="D179" s="51" t="s">
        <v>18</v>
      </c>
      <c r="E179" s="51" t="s">
        <v>2</v>
      </c>
      <c r="F179" s="50" t="s">
        <v>476</v>
      </c>
      <c r="G179" s="51" t="s">
        <v>59</v>
      </c>
      <c r="H179" s="51" t="s">
        <v>30</v>
      </c>
      <c r="I179" s="290">
        <v>0</v>
      </c>
      <c r="J179" s="290" t="s">
        <v>31</v>
      </c>
      <c r="K179" s="290" t="s">
        <v>31</v>
      </c>
      <c r="L179" s="290" t="s">
        <v>31</v>
      </c>
      <c r="M179" s="290" t="s">
        <v>31</v>
      </c>
      <c r="N179" s="290" t="s">
        <v>31</v>
      </c>
      <c r="O179" s="51" t="s">
        <v>550</v>
      </c>
    </row>
    <row r="180" spans="1:15" ht="15.6">
      <c r="A180" s="50" t="s">
        <v>205</v>
      </c>
      <c r="B180" s="284">
        <f>6*10.766</f>
        <v>64.596000000000004</v>
      </c>
      <c r="D180" s="50" t="s">
        <v>37</v>
      </c>
      <c r="E180" s="65" t="s">
        <v>40</v>
      </c>
      <c r="F180" s="50" t="s">
        <v>29</v>
      </c>
      <c r="G180" s="50" t="s">
        <v>59</v>
      </c>
      <c r="H180" s="50" t="s">
        <v>33</v>
      </c>
      <c r="I180" s="285">
        <v>2</v>
      </c>
      <c r="J180" s="285">
        <f>LN(B180)</f>
        <v>4.1681524893668209</v>
      </c>
      <c r="K180" s="295">
        <v>3.9051247999999997E-2</v>
      </c>
      <c r="L180" s="290" t="s">
        <v>31</v>
      </c>
      <c r="M180" s="290" t="s">
        <v>31</v>
      </c>
      <c r="N180" s="290" t="s">
        <v>31</v>
      </c>
      <c r="O180" s="51" t="s">
        <v>551</v>
      </c>
    </row>
    <row r="181" spans="1:15" ht="15.6">
      <c r="A181" s="50" t="s">
        <v>524</v>
      </c>
      <c r="B181" s="289">
        <f>6*0.488</f>
        <v>2.9279999999999999</v>
      </c>
      <c r="C181" s="289"/>
      <c r="D181" s="51" t="s">
        <v>37</v>
      </c>
      <c r="E181" s="65" t="s">
        <v>40</v>
      </c>
      <c r="F181" s="50" t="s">
        <v>29</v>
      </c>
      <c r="G181" s="51" t="s">
        <v>59</v>
      </c>
      <c r="H181" s="51" t="s">
        <v>33</v>
      </c>
      <c r="I181" s="285">
        <v>2</v>
      </c>
      <c r="J181" s="285">
        <f t="shared" ref="J181:J183" si="8">LN(B181)</f>
        <v>1.074319596099065</v>
      </c>
      <c r="K181" s="295">
        <v>3.9051247999999997E-2</v>
      </c>
      <c r="L181" s="290" t="s">
        <v>31</v>
      </c>
      <c r="M181" s="290" t="s">
        <v>31</v>
      </c>
      <c r="N181" s="290" t="s">
        <v>31</v>
      </c>
      <c r="O181" s="51" t="s">
        <v>552</v>
      </c>
    </row>
    <row r="182" spans="1:15" ht="15.6">
      <c r="A182" s="50" t="s">
        <v>524</v>
      </c>
      <c r="B182" s="289">
        <f>6*2.297</f>
        <v>13.782</v>
      </c>
      <c r="C182" s="289"/>
      <c r="D182" s="51" t="s">
        <v>37</v>
      </c>
      <c r="E182" s="65" t="s">
        <v>40</v>
      </c>
      <c r="F182" s="50" t="s">
        <v>29</v>
      </c>
      <c r="G182" s="51" t="s">
        <v>59</v>
      </c>
      <c r="H182" s="51" t="s">
        <v>33</v>
      </c>
      <c r="I182" s="285">
        <v>2</v>
      </c>
      <c r="J182" s="285">
        <f t="shared" si="8"/>
        <v>2.6233633929350164</v>
      </c>
      <c r="K182" s="295">
        <v>3.9051247999999997E-2</v>
      </c>
      <c r="L182" s="290" t="s">
        <v>31</v>
      </c>
      <c r="M182" s="290" t="s">
        <v>31</v>
      </c>
      <c r="N182" s="290" t="s">
        <v>31</v>
      </c>
      <c r="O182" s="51" t="s">
        <v>553</v>
      </c>
    </row>
    <row r="183" spans="1:15" ht="15.6">
      <c r="A183" s="302" t="s">
        <v>120</v>
      </c>
      <c r="B183" s="284">
        <f>6*0.804</f>
        <v>4.8239999999999998</v>
      </c>
      <c r="D183" s="50" t="s">
        <v>37</v>
      </c>
      <c r="E183" s="65" t="s">
        <v>40</v>
      </c>
      <c r="F183" s="50" t="s">
        <v>29</v>
      </c>
      <c r="G183" s="50" t="s">
        <v>59</v>
      </c>
      <c r="H183" s="50" t="s">
        <v>33</v>
      </c>
      <c r="I183" s="285">
        <v>2</v>
      </c>
      <c r="J183" s="285">
        <f t="shared" si="8"/>
        <v>1.5736034594248842</v>
      </c>
      <c r="K183" s="295">
        <v>3.9051247999999997E-2</v>
      </c>
      <c r="L183" s="290" t="s">
        <v>31</v>
      </c>
      <c r="M183" s="290" t="s">
        <v>31</v>
      </c>
      <c r="N183" s="290" t="s">
        <v>31</v>
      </c>
      <c r="O183" s="51" t="s">
        <v>554</v>
      </c>
    </row>
    <row r="184" spans="1:15" s="54" customFormat="1" ht="15.6">
      <c r="A184" s="291" t="s">
        <v>5</v>
      </c>
      <c r="B184" s="292" t="s">
        <v>555</v>
      </c>
      <c r="C184" s="292"/>
      <c r="D184" s="55"/>
      <c r="I184" s="293"/>
      <c r="J184" s="293"/>
      <c r="K184" s="293"/>
      <c r="L184" s="293"/>
      <c r="M184" s="293"/>
      <c r="N184" s="293"/>
    </row>
    <row r="185" spans="1:15">
      <c r="A185" s="50" t="s">
        <v>7</v>
      </c>
      <c r="B185" s="284" t="s">
        <v>476</v>
      </c>
    </row>
    <row r="186" spans="1:15">
      <c r="A186" s="50" t="s">
        <v>9</v>
      </c>
      <c r="B186" s="50" t="str">
        <f ca="1">UPPER(CONCATENATE(DEC2HEX(RANDBETWEEN(0,POWER(16,8)),8),DEC2HEX(RANDBETWEEN(0,POWER(16,4)),4),"4",DEC2HEX(RANDBETWEEN(0,POWER(16,3)),3),DEC2HEX(RANDBETWEEN(8,11)),DEC2HEX(RANDBETWEEN(0,POWER(16,3)),3),DEC2HEX(RANDBETWEEN(0,POWER(16,8)),8),DEC2HEX(RANDBETWEEN(0,POWER(16,4)),4)))</f>
        <v>9094799B7B0B452F93A8B843C6BA0F8D</v>
      </c>
    </row>
    <row r="187" spans="1:15">
      <c r="A187" s="50" t="s">
        <v>11</v>
      </c>
      <c r="B187" s="284" t="s">
        <v>477</v>
      </c>
    </row>
    <row r="188" spans="1:15">
      <c r="A188" s="50" t="s">
        <v>13</v>
      </c>
      <c r="B188" s="284" t="s">
        <v>59</v>
      </c>
    </row>
    <row r="189" spans="1:15">
      <c r="A189" s="50" t="s">
        <v>15</v>
      </c>
      <c r="B189" s="284">
        <v>1</v>
      </c>
    </row>
    <row r="190" spans="1:15">
      <c r="A190" s="50" t="s">
        <v>16</v>
      </c>
      <c r="B190" s="284" t="s">
        <v>17</v>
      </c>
    </row>
    <row r="191" spans="1:15">
      <c r="A191" s="50" t="s">
        <v>18</v>
      </c>
      <c r="B191" s="284" t="s">
        <v>18</v>
      </c>
    </row>
    <row r="192" spans="1:15" ht="15.6">
      <c r="A192" s="53" t="s">
        <v>19</v>
      </c>
    </row>
    <row r="193" spans="1:15" ht="15.6">
      <c r="A193" s="53" t="s">
        <v>20</v>
      </c>
      <c r="B193" s="286" t="s">
        <v>21</v>
      </c>
      <c r="C193" s="286" t="s">
        <v>186</v>
      </c>
      <c r="D193" s="53" t="s">
        <v>18</v>
      </c>
      <c r="E193" s="53" t="s">
        <v>22</v>
      </c>
      <c r="F193" s="53" t="s">
        <v>7</v>
      </c>
      <c r="G193" s="53" t="s">
        <v>13</v>
      </c>
      <c r="H193" s="53" t="s">
        <v>16</v>
      </c>
      <c r="I193" s="287" t="s">
        <v>23</v>
      </c>
      <c r="J193" s="287" t="s">
        <v>24</v>
      </c>
      <c r="K193" s="287" t="s">
        <v>25</v>
      </c>
      <c r="L193" s="287" t="s">
        <v>26</v>
      </c>
      <c r="M193" s="287" t="s">
        <v>27</v>
      </c>
      <c r="N193" s="287" t="s">
        <v>28</v>
      </c>
      <c r="O193" s="53" t="s">
        <v>11</v>
      </c>
    </row>
    <row r="194" spans="1:15" ht="15.6">
      <c r="A194" s="51" t="s">
        <v>555</v>
      </c>
      <c r="B194" s="289">
        <v>1</v>
      </c>
      <c r="C194" s="289"/>
      <c r="D194" s="51" t="s">
        <v>18</v>
      </c>
      <c r="E194" s="51" t="s">
        <v>2</v>
      </c>
      <c r="F194" s="50" t="s">
        <v>476</v>
      </c>
      <c r="G194" s="51" t="s">
        <v>59</v>
      </c>
      <c r="H194" s="51" t="s">
        <v>30</v>
      </c>
      <c r="I194" s="290">
        <v>0</v>
      </c>
      <c r="J194" s="290" t="s">
        <v>31</v>
      </c>
      <c r="K194" s="290" t="s">
        <v>31</v>
      </c>
      <c r="L194" s="290" t="s">
        <v>31</v>
      </c>
      <c r="M194" s="290" t="s">
        <v>31</v>
      </c>
      <c r="N194" s="290" t="s">
        <v>31</v>
      </c>
      <c r="O194" s="51" t="s">
        <v>556</v>
      </c>
    </row>
    <row r="195" spans="1:15" ht="15.6">
      <c r="A195" s="50" t="s">
        <v>530</v>
      </c>
      <c r="B195" s="303">
        <v>1</v>
      </c>
      <c r="C195" s="303"/>
      <c r="D195" s="51" t="s">
        <v>18</v>
      </c>
      <c r="E195" s="51" t="s">
        <v>2</v>
      </c>
      <c r="F195" s="51" t="s">
        <v>476</v>
      </c>
      <c r="G195" s="51" t="s">
        <v>59</v>
      </c>
      <c r="H195" s="50" t="s">
        <v>33</v>
      </c>
      <c r="I195" s="290">
        <v>0</v>
      </c>
      <c r="J195" s="290" t="s">
        <v>31</v>
      </c>
      <c r="K195" s="290" t="s">
        <v>31</v>
      </c>
      <c r="L195" s="290" t="s">
        <v>31</v>
      </c>
      <c r="M195" s="290" t="s">
        <v>31</v>
      </c>
      <c r="N195" s="290" t="s">
        <v>31</v>
      </c>
      <c r="O195" s="51"/>
    </row>
    <row r="196" spans="1:15" ht="15.6">
      <c r="A196" s="51" t="s">
        <v>557</v>
      </c>
      <c r="B196" s="284">
        <v>1</v>
      </c>
      <c r="D196" s="51" t="s">
        <v>18</v>
      </c>
      <c r="E196" s="51" t="s">
        <v>2</v>
      </c>
      <c r="F196" s="51" t="s">
        <v>476</v>
      </c>
      <c r="G196" s="50" t="s">
        <v>59</v>
      </c>
      <c r="H196" s="50" t="s">
        <v>33</v>
      </c>
      <c r="I196" s="285">
        <v>0</v>
      </c>
      <c r="J196" s="290" t="s">
        <v>31</v>
      </c>
      <c r="K196" s="290" t="s">
        <v>31</v>
      </c>
      <c r="L196" s="290" t="s">
        <v>31</v>
      </c>
      <c r="M196" s="290" t="s">
        <v>31</v>
      </c>
      <c r="N196" s="290" t="s">
        <v>31</v>
      </c>
      <c r="O196" s="51" t="s">
        <v>558</v>
      </c>
    </row>
    <row r="197" spans="1:15" ht="15.6">
      <c r="A197" s="50" t="s">
        <v>549</v>
      </c>
      <c r="B197" s="284">
        <v>1</v>
      </c>
      <c r="D197" s="50" t="s">
        <v>18</v>
      </c>
      <c r="E197" s="50" t="s">
        <v>2</v>
      </c>
      <c r="F197" s="50" t="s">
        <v>476</v>
      </c>
      <c r="G197" s="50" t="s">
        <v>59</v>
      </c>
      <c r="H197" s="50" t="s">
        <v>33</v>
      </c>
      <c r="I197" s="285">
        <v>0</v>
      </c>
      <c r="J197" s="290" t="s">
        <v>31</v>
      </c>
      <c r="K197" s="290" t="s">
        <v>31</v>
      </c>
      <c r="L197" s="290" t="s">
        <v>31</v>
      </c>
      <c r="M197" s="290" t="s">
        <v>31</v>
      </c>
      <c r="N197" s="290" t="s">
        <v>31</v>
      </c>
    </row>
    <row r="198" spans="1:15" s="54" customFormat="1" ht="15.6">
      <c r="A198" s="291" t="s">
        <v>5</v>
      </c>
      <c r="B198" s="292" t="s">
        <v>557</v>
      </c>
      <c r="C198" s="292"/>
      <c r="D198" s="55"/>
      <c r="I198" s="293"/>
      <c r="J198" s="293"/>
      <c r="K198" s="293"/>
      <c r="L198" s="293"/>
      <c r="M198" s="293"/>
      <c r="N198" s="293"/>
    </row>
    <row r="199" spans="1:15">
      <c r="A199" s="50" t="s">
        <v>7</v>
      </c>
      <c r="B199" s="284" t="s">
        <v>476</v>
      </c>
    </row>
    <row r="200" spans="1:15">
      <c r="A200" s="50" t="s">
        <v>9</v>
      </c>
      <c r="B200" s="50" t="str">
        <f ca="1">UPPER(CONCATENATE(DEC2HEX(RANDBETWEEN(0,POWER(16,8)),8),DEC2HEX(RANDBETWEEN(0,POWER(16,4)),4),"4",DEC2HEX(RANDBETWEEN(0,POWER(16,3)),3),DEC2HEX(RANDBETWEEN(8,11)),DEC2HEX(RANDBETWEEN(0,POWER(16,3)),3),DEC2HEX(RANDBETWEEN(0,POWER(16,8)),8),DEC2HEX(RANDBETWEEN(0,POWER(16,4)),4)))</f>
        <v>CC692D7E899441F6BD84B8E9195FA87E</v>
      </c>
    </row>
    <row r="201" spans="1:15">
      <c r="A201" s="50" t="s">
        <v>11</v>
      </c>
      <c r="B201" s="284" t="s">
        <v>477</v>
      </c>
    </row>
    <row r="202" spans="1:15">
      <c r="A202" s="50" t="s">
        <v>13</v>
      </c>
      <c r="B202" s="284" t="s">
        <v>59</v>
      </c>
    </row>
    <row r="203" spans="1:15">
      <c r="A203" s="50" t="s">
        <v>15</v>
      </c>
      <c r="B203" s="284">
        <v>1</v>
      </c>
    </row>
    <row r="204" spans="1:15">
      <c r="A204" s="50" t="s">
        <v>16</v>
      </c>
      <c r="B204" s="284" t="s">
        <v>17</v>
      </c>
    </row>
    <row r="205" spans="1:15">
      <c r="A205" s="50" t="s">
        <v>18</v>
      </c>
      <c r="B205" s="284" t="s">
        <v>18</v>
      </c>
    </row>
    <row r="206" spans="1:15" ht="15.6">
      <c r="A206" s="53" t="s">
        <v>19</v>
      </c>
    </row>
    <row r="207" spans="1:15" ht="15.6">
      <c r="A207" s="53" t="s">
        <v>20</v>
      </c>
      <c r="B207" s="286" t="s">
        <v>21</v>
      </c>
      <c r="C207" s="286" t="s">
        <v>186</v>
      </c>
      <c r="D207" s="53" t="s">
        <v>18</v>
      </c>
      <c r="E207" s="53" t="s">
        <v>22</v>
      </c>
      <c r="F207" s="53" t="s">
        <v>7</v>
      </c>
      <c r="G207" s="53" t="s">
        <v>13</v>
      </c>
      <c r="H207" s="53" t="s">
        <v>16</v>
      </c>
      <c r="I207" s="287" t="s">
        <v>23</v>
      </c>
      <c r="J207" s="287" t="s">
        <v>24</v>
      </c>
      <c r="K207" s="287" t="s">
        <v>25</v>
      </c>
      <c r="L207" s="287" t="s">
        <v>26</v>
      </c>
      <c r="M207" s="287" t="s">
        <v>27</v>
      </c>
      <c r="N207" s="287" t="s">
        <v>28</v>
      </c>
      <c r="O207" s="53" t="s">
        <v>11</v>
      </c>
    </row>
    <row r="208" spans="1:15" ht="15.6">
      <c r="A208" s="51" t="s">
        <v>557</v>
      </c>
      <c r="B208" s="289">
        <v>1</v>
      </c>
      <c r="C208" s="289"/>
      <c r="D208" s="51" t="s">
        <v>18</v>
      </c>
      <c r="E208" s="51" t="s">
        <v>2</v>
      </c>
      <c r="F208" s="50" t="s">
        <v>476</v>
      </c>
      <c r="G208" s="51" t="s">
        <v>59</v>
      </c>
      <c r="H208" s="51" t="s">
        <v>30</v>
      </c>
      <c r="I208" s="290">
        <v>0</v>
      </c>
      <c r="J208" s="290" t="s">
        <v>31</v>
      </c>
      <c r="K208" s="290" t="s">
        <v>31</v>
      </c>
      <c r="L208" s="290" t="s">
        <v>31</v>
      </c>
      <c r="M208" s="290" t="s">
        <v>31</v>
      </c>
      <c r="N208" s="290" t="s">
        <v>31</v>
      </c>
      <c r="O208" s="51" t="s">
        <v>478</v>
      </c>
    </row>
    <row r="209" spans="1:15" ht="15.6">
      <c r="A209" s="65" t="s">
        <v>559</v>
      </c>
      <c r="B209" s="284">
        <f>6*5.667</f>
        <v>34.001999999999995</v>
      </c>
      <c r="D209" s="51" t="s">
        <v>37</v>
      </c>
      <c r="E209" s="65" t="s">
        <v>40</v>
      </c>
      <c r="F209" s="50" t="s">
        <v>29</v>
      </c>
      <c r="G209" s="50" t="s">
        <v>59</v>
      </c>
      <c r="H209" s="50" t="s">
        <v>33</v>
      </c>
      <c r="I209" s="285">
        <v>2</v>
      </c>
      <c r="J209" s="290">
        <f>LN(B209)</f>
        <v>3.5264193464155369</v>
      </c>
      <c r="K209" s="285">
        <v>9.4472217999999997E-2</v>
      </c>
      <c r="L209" s="290" t="s">
        <v>31</v>
      </c>
      <c r="M209" s="290" t="s">
        <v>31</v>
      </c>
      <c r="N209" s="290" t="s">
        <v>31</v>
      </c>
      <c r="O209" s="51" t="s">
        <v>558</v>
      </c>
    </row>
    <row r="210" spans="1:15" s="54" customFormat="1" ht="15.6">
      <c r="A210" s="291" t="s">
        <v>5</v>
      </c>
      <c r="B210" s="292" t="s">
        <v>560</v>
      </c>
      <c r="C210" s="292"/>
      <c r="D210" s="55"/>
      <c r="I210" s="293"/>
      <c r="J210" s="293"/>
      <c r="K210" s="293"/>
      <c r="L210" s="293"/>
      <c r="M210" s="293"/>
      <c r="N210" s="293"/>
    </row>
    <row r="211" spans="1:15">
      <c r="A211" s="50" t="s">
        <v>7</v>
      </c>
      <c r="B211" s="284" t="s">
        <v>476</v>
      </c>
    </row>
    <row r="212" spans="1:15">
      <c r="A212" s="50" t="s">
        <v>9</v>
      </c>
      <c r="B212" s="50" t="str">
        <f ca="1">UPPER(CONCATENATE(DEC2HEX(RANDBETWEEN(0,POWER(16,8)),8),DEC2HEX(RANDBETWEEN(0,POWER(16,4)),4),"4",DEC2HEX(RANDBETWEEN(0,POWER(16,3)),3),DEC2HEX(RANDBETWEEN(8,11)),DEC2HEX(RANDBETWEEN(0,POWER(16,3)),3),DEC2HEX(RANDBETWEEN(0,POWER(16,8)),8),DEC2HEX(RANDBETWEEN(0,POWER(16,4)),4)))</f>
        <v>4C76799100974BABAB9B8ED15355B0CB</v>
      </c>
    </row>
    <row r="213" spans="1:15">
      <c r="A213" s="50" t="s">
        <v>11</v>
      </c>
      <c r="B213" s="284" t="s">
        <v>477</v>
      </c>
    </row>
    <row r="214" spans="1:15">
      <c r="A214" s="50" t="s">
        <v>13</v>
      </c>
      <c r="B214" s="284" t="s">
        <v>59</v>
      </c>
    </row>
    <row r="215" spans="1:15">
      <c r="A215" s="50" t="s">
        <v>15</v>
      </c>
      <c r="B215" s="284">
        <v>1</v>
      </c>
    </row>
    <row r="216" spans="1:15">
      <c r="A216" s="50" t="s">
        <v>16</v>
      </c>
      <c r="B216" s="284" t="s">
        <v>17</v>
      </c>
    </row>
    <row r="217" spans="1:15">
      <c r="A217" s="50" t="s">
        <v>18</v>
      </c>
      <c r="B217" s="284" t="s">
        <v>18</v>
      </c>
    </row>
    <row r="218" spans="1:15" ht="15.6">
      <c r="A218" s="53" t="s">
        <v>19</v>
      </c>
    </row>
    <row r="219" spans="1:15" ht="15.6">
      <c r="A219" s="53" t="s">
        <v>20</v>
      </c>
      <c r="B219" s="286" t="s">
        <v>21</v>
      </c>
      <c r="C219" s="286" t="s">
        <v>186</v>
      </c>
      <c r="D219" s="53" t="s">
        <v>18</v>
      </c>
      <c r="E219" s="53" t="s">
        <v>22</v>
      </c>
      <c r="F219" s="53" t="s">
        <v>7</v>
      </c>
      <c r="G219" s="53" t="s">
        <v>13</v>
      </c>
      <c r="H219" s="53" t="s">
        <v>16</v>
      </c>
      <c r="I219" s="287" t="s">
        <v>23</v>
      </c>
      <c r="J219" s="287" t="s">
        <v>24</v>
      </c>
      <c r="K219" s="287" t="s">
        <v>25</v>
      </c>
      <c r="L219" s="287" t="s">
        <v>26</v>
      </c>
      <c r="M219" s="287" t="s">
        <v>27</v>
      </c>
      <c r="N219" s="287" t="s">
        <v>28</v>
      </c>
      <c r="O219" s="53" t="s">
        <v>11</v>
      </c>
    </row>
    <row r="220" spans="1:15" ht="15.6">
      <c r="A220" s="51" t="s">
        <v>560</v>
      </c>
      <c r="B220" s="289">
        <v>1</v>
      </c>
      <c r="C220" s="289"/>
      <c r="D220" s="51" t="s">
        <v>18</v>
      </c>
      <c r="E220" s="51" t="s">
        <v>2</v>
      </c>
      <c r="F220" s="50" t="s">
        <v>476</v>
      </c>
      <c r="G220" s="51" t="s">
        <v>59</v>
      </c>
      <c r="H220" s="51" t="s">
        <v>30</v>
      </c>
      <c r="I220" s="290">
        <v>0</v>
      </c>
      <c r="J220" s="290" t="s">
        <v>31</v>
      </c>
      <c r="K220" s="290" t="s">
        <v>31</v>
      </c>
      <c r="L220" s="290" t="s">
        <v>31</v>
      </c>
      <c r="M220" s="290" t="s">
        <v>31</v>
      </c>
      <c r="N220" s="290" t="s">
        <v>31</v>
      </c>
      <c r="O220" s="51" t="s">
        <v>561</v>
      </c>
    </row>
    <row r="221" spans="1:15" ht="15.6">
      <c r="A221" s="50" t="s">
        <v>205</v>
      </c>
      <c r="B221" s="284">
        <v>45.475999999999999</v>
      </c>
      <c r="D221" s="50" t="s">
        <v>37</v>
      </c>
      <c r="E221" s="65" t="s">
        <v>40</v>
      </c>
      <c r="F221" s="50" t="s">
        <v>29</v>
      </c>
      <c r="G221" s="50" t="s">
        <v>59</v>
      </c>
      <c r="H221" s="50" t="s">
        <v>33</v>
      </c>
      <c r="I221" s="285">
        <v>2</v>
      </c>
      <c r="J221" s="285">
        <f>LN(B221)</f>
        <v>3.81718471426686</v>
      </c>
      <c r="K221" s="295">
        <v>3.9051247999999997E-2</v>
      </c>
      <c r="L221" s="290" t="s">
        <v>31</v>
      </c>
      <c r="M221" s="290" t="s">
        <v>31</v>
      </c>
      <c r="N221" s="290" t="s">
        <v>31</v>
      </c>
      <c r="O221" s="51" t="s">
        <v>554</v>
      </c>
    </row>
    <row r="222" spans="1:15" ht="15.6">
      <c r="A222" s="299" t="s">
        <v>134</v>
      </c>
      <c r="B222" s="284">
        <v>2.052</v>
      </c>
      <c r="D222" s="50" t="s">
        <v>37</v>
      </c>
      <c r="E222" s="65" t="s">
        <v>40</v>
      </c>
      <c r="F222" s="50" t="s">
        <v>29</v>
      </c>
      <c r="G222" s="50" t="s">
        <v>59</v>
      </c>
      <c r="H222" s="50" t="s">
        <v>33</v>
      </c>
      <c r="I222" s="285">
        <v>2</v>
      </c>
      <c r="J222" s="285">
        <f t="shared" ref="J222:J223" si="9">LN(B222)</f>
        <v>0.71881492730852314</v>
      </c>
      <c r="K222" s="295">
        <v>3.9051247999999997E-2</v>
      </c>
      <c r="L222" s="290" t="s">
        <v>31</v>
      </c>
      <c r="M222" s="290" t="s">
        <v>31</v>
      </c>
      <c r="N222" s="290" t="s">
        <v>31</v>
      </c>
      <c r="O222" s="51" t="s">
        <v>554</v>
      </c>
    </row>
    <row r="223" spans="1:15" ht="15.6">
      <c r="A223" s="302" t="s">
        <v>120</v>
      </c>
      <c r="B223" s="284">
        <v>0.18099999999999999</v>
      </c>
      <c r="D223" s="50" t="s">
        <v>37</v>
      </c>
      <c r="E223" s="65" t="s">
        <v>40</v>
      </c>
      <c r="F223" s="50" t="s">
        <v>29</v>
      </c>
      <c r="G223" s="50" t="s">
        <v>59</v>
      </c>
      <c r="H223" s="50" t="s">
        <v>33</v>
      </c>
      <c r="I223" s="285">
        <v>2</v>
      </c>
      <c r="J223" s="285">
        <f t="shared" si="9"/>
        <v>-1.7092582477163114</v>
      </c>
      <c r="K223" s="295">
        <v>3.9051247999999997E-2</v>
      </c>
      <c r="L223" s="290" t="s">
        <v>31</v>
      </c>
      <c r="M223" s="290" t="s">
        <v>31</v>
      </c>
      <c r="N223" s="290" t="s">
        <v>31</v>
      </c>
      <c r="O223" s="51" t="s">
        <v>554</v>
      </c>
    </row>
    <row r="224" spans="1:15" s="54" customFormat="1" ht="15.6">
      <c r="A224" s="291" t="s">
        <v>5</v>
      </c>
      <c r="B224" s="292" t="s">
        <v>562</v>
      </c>
      <c r="C224" s="292"/>
      <c r="D224" s="55"/>
      <c r="I224" s="293"/>
      <c r="J224" s="293"/>
      <c r="K224" s="293"/>
      <c r="L224" s="293"/>
      <c r="M224" s="293"/>
      <c r="N224" s="293"/>
    </row>
    <row r="225" spans="1:15">
      <c r="A225" s="50" t="s">
        <v>7</v>
      </c>
      <c r="B225" s="284" t="s">
        <v>476</v>
      </c>
    </row>
    <row r="226" spans="1:15">
      <c r="A226" s="50" t="s">
        <v>9</v>
      </c>
      <c r="B226" s="50" t="str">
        <f ca="1">UPPER(CONCATENATE(DEC2HEX(RANDBETWEEN(0,POWER(16,8)),8),DEC2HEX(RANDBETWEEN(0,POWER(16,4)),4),"4",DEC2HEX(RANDBETWEEN(0,POWER(16,3)),3),DEC2HEX(RANDBETWEEN(8,11)),DEC2HEX(RANDBETWEEN(0,POWER(16,3)),3),DEC2HEX(RANDBETWEEN(0,POWER(16,8)),8),DEC2HEX(RANDBETWEEN(0,POWER(16,4)),4)))</f>
        <v>EF40D6078A4F408EBDB7694F4830BC37</v>
      </c>
    </row>
    <row r="227" spans="1:15">
      <c r="A227" s="50" t="s">
        <v>11</v>
      </c>
      <c r="B227" s="284" t="s">
        <v>477</v>
      </c>
    </row>
    <row r="228" spans="1:15">
      <c r="A228" s="50" t="s">
        <v>13</v>
      </c>
      <c r="B228" s="284" t="s">
        <v>59</v>
      </c>
    </row>
    <row r="229" spans="1:15">
      <c r="A229" s="50" t="s">
        <v>15</v>
      </c>
      <c r="B229" s="284">
        <v>1</v>
      </c>
    </row>
    <row r="230" spans="1:15">
      <c r="A230" s="50" t="s">
        <v>16</v>
      </c>
      <c r="B230" s="284" t="s">
        <v>17</v>
      </c>
    </row>
    <row r="231" spans="1:15">
      <c r="A231" s="50" t="s">
        <v>18</v>
      </c>
      <c r="B231" s="284" t="s">
        <v>18</v>
      </c>
    </row>
    <row r="232" spans="1:15" ht="15.6">
      <c r="A232" s="53" t="s">
        <v>19</v>
      </c>
    </row>
    <row r="233" spans="1:15" ht="15.6">
      <c r="A233" s="53" t="s">
        <v>20</v>
      </c>
      <c r="B233" s="286" t="s">
        <v>21</v>
      </c>
      <c r="C233" s="286" t="s">
        <v>186</v>
      </c>
      <c r="D233" s="53" t="s">
        <v>18</v>
      </c>
      <c r="E233" s="53" t="s">
        <v>22</v>
      </c>
      <c r="F233" s="53" t="s">
        <v>7</v>
      </c>
      <c r="G233" s="53" t="s">
        <v>13</v>
      </c>
      <c r="H233" s="53" t="s">
        <v>16</v>
      </c>
      <c r="I233" s="287" t="s">
        <v>23</v>
      </c>
      <c r="J233" s="287" t="s">
        <v>24</v>
      </c>
      <c r="K233" s="287" t="s">
        <v>25</v>
      </c>
      <c r="L233" s="287" t="s">
        <v>26</v>
      </c>
      <c r="M233" s="287" t="s">
        <v>27</v>
      </c>
      <c r="N233" s="287" t="s">
        <v>28</v>
      </c>
      <c r="O233" s="53" t="s">
        <v>11</v>
      </c>
    </row>
    <row r="234" spans="1:15" ht="15.6">
      <c r="A234" s="51" t="s">
        <v>562</v>
      </c>
      <c r="B234" s="289">
        <v>1</v>
      </c>
      <c r="C234" s="289"/>
      <c r="D234" s="51" t="s">
        <v>18</v>
      </c>
      <c r="E234" s="51" t="s">
        <v>2</v>
      </c>
      <c r="F234" s="50" t="s">
        <v>476</v>
      </c>
      <c r="G234" s="51" t="s">
        <v>59</v>
      </c>
      <c r="H234" s="51" t="s">
        <v>30</v>
      </c>
      <c r="I234" s="290">
        <v>0</v>
      </c>
      <c r="J234" s="290" t="s">
        <v>31</v>
      </c>
      <c r="K234" s="290" t="s">
        <v>31</v>
      </c>
      <c r="L234" s="290" t="s">
        <v>31</v>
      </c>
      <c r="M234" s="290" t="s">
        <v>31</v>
      </c>
      <c r="N234" s="290" t="s">
        <v>31</v>
      </c>
      <c r="O234" s="51" t="s">
        <v>478</v>
      </c>
    </row>
    <row r="235" spans="1:15" ht="15.6">
      <c r="A235" s="65" t="s">
        <v>559</v>
      </c>
      <c r="B235" s="284">
        <v>11.93</v>
      </c>
      <c r="D235" s="51" t="s">
        <v>37</v>
      </c>
      <c r="E235" s="65" t="s">
        <v>40</v>
      </c>
      <c r="F235" s="50" t="s">
        <v>29</v>
      </c>
      <c r="G235" s="50" t="s">
        <v>59</v>
      </c>
      <c r="H235" s="50" t="s">
        <v>33</v>
      </c>
      <c r="I235" s="285">
        <v>2</v>
      </c>
      <c r="J235" s="285">
        <f>LN(B235)</f>
        <v>2.4790562361098245</v>
      </c>
      <c r="K235" s="285">
        <v>9.1651514000000003E-2</v>
      </c>
      <c r="L235" s="290" t="s">
        <v>31</v>
      </c>
      <c r="M235" s="290" t="s">
        <v>31</v>
      </c>
      <c r="N235" s="290" t="s">
        <v>31</v>
      </c>
      <c r="O235" s="51" t="s">
        <v>563</v>
      </c>
    </row>
    <row r="236" spans="1:15" s="54" customFormat="1" ht="15.6">
      <c r="A236" s="291" t="s">
        <v>5</v>
      </c>
      <c r="B236" s="292" t="s">
        <v>564</v>
      </c>
      <c r="C236" s="292"/>
      <c r="D236" s="55" t="s">
        <v>565</v>
      </c>
      <c r="I236" s="293"/>
      <c r="J236" s="293"/>
      <c r="K236" s="293"/>
      <c r="L236" s="293"/>
      <c r="M236" s="293"/>
      <c r="N236" s="293"/>
    </row>
    <row r="237" spans="1:15">
      <c r="A237" s="50" t="s">
        <v>7</v>
      </c>
      <c r="B237" s="284" t="s">
        <v>476</v>
      </c>
    </row>
    <row r="238" spans="1:15">
      <c r="A238" s="50" t="s">
        <v>9</v>
      </c>
      <c r="B238" s="50" t="str">
        <f ca="1">UPPER(CONCATENATE(DEC2HEX(RANDBETWEEN(0,POWER(16,8)),8),DEC2HEX(RANDBETWEEN(0,POWER(16,4)),4),"4",DEC2HEX(RANDBETWEEN(0,POWER(16,3)),3),DEC2HEX(RANDBETWEEN(8,11)),DEC2HEX(RANDBETWEEN(0,POWER(16,3)),3),DEC2HEX(RANDBETWEEN(0,POWER(16,8)),8),DEC2HEX(RANDBETWEEN(0,POWER(16,4)),4)))</f>
        <v>11A3E47CA94E487682EC17ADF01EF9ED</v>
      </c>
    </row>
    <row r="239" spans="1:15">
      <c r="A239" s="50" t="s">
        <v>11</v>
      </c>
      <c r="B239" s="284" t="s">
        <v>477</v>
      </c>
    </row>
    <row r="240" spans="1:15">
      <c r="A240" s="50" t="s">
        <v>13</v>
      </c>
      <c r="B240" s="284" t="s">
        <v>59</v>
      </c>
    </row>
    <row r="241" spans="1:15">
      <c r="A241" s="50" t="s">
        <v>15</v>
      </c>
      <c r="B241" s="284">
        <v>1</v>
      </c>
    </row>
    <row r="242" spans="1:15">
      <c r="A242" s="50" t="s">
        <v>16</v>
      </c>
      <c r="B242" s="284" t="s">
        <v>17</v>
      </c>
    </row>
    <row r="243" spans="1:15">
      <c r="A243" s="50" t="s">
        <v>18</v>
      </c>
      <c r="B243" s="284" t="s">
        <v>18</v>
      </c>
    </row>
    <row r="244" spans="1:15" ht="15.6">
      <c r="A244" s="53" t="s">
        <v>19</v>
      </c>
    </row>
    <row r="245" spans="1:15" ht="15.6">
      <c r="A245" s="53" t="s">
        <v>20</v>
      </c>
      <c r="B245" s="286" t="s">
        <v>21</v>
      </c>
      <c r="C245" s="286" t="s">
        <v>186</v>
      </c>
      <c r="D245" s="53" t="s">
        <v>18</v>
      </c>
      <c r="E245" s="53" t="s">
        <v>22</v>
      </c>
      <c r="F245" s="53" t="s">
        <v>7</v>
      </c>
      <c r="G245" s="53" t="s">
        <v>13</v>
      </c>
      <c r="H245" s="53" t="s">
        <v>16</v>
      </c>
      <c r="I245" s="287" t="s">
        <v>23</v>
      </c>
      <c r="J245" s="287" t="s">
        <v>24</v>
      </c>
      <c r="K245" s="287" t="s">
        <v>25</v>
      </c>
      <c r="L245" s="287" t="s">
        <v>26</v>
      </c>
      <c r="M245" s="287" t="s">
        <v>27</v>
      </c>
      <c r="N245" s="287" t="s">
        <v>28</v>
      </c>
      <c r="O245" s="53" t="s">
        <v>11</v>
      </c>
    </row>
    <row r="246" spans="1:15" ht="15.6">
      <c r="A246" s="289" t="str">
        <f>B236</f>
        <v>compressor, Li-O , SOFC-bat</v>
      </c>
      <c r="B246" s="289">
        <v>1</v>
      </c>
      <c r="C246" s="289"/>
      <c r="D246" s="51" t="s">
        <v>18</v>
      </c>
      <c r="E246" s="51" t="s">
        <v>2</v>
      </c>
      <c r="F246" s="50" t="s">
        <v>476</v>
      </c>
      <c r="G246" s="51" t="s">
        <v>59</v>
      </c>
      <c r="H246" s="51" t="s">
        <v>30</v>
      </c>
      <c r="I246" s="290">
        <v>0</v>
      </c>
      <c r="J246" s="290" t="s">
        <v>31</v>
      </c>
      <c r="K246" s="290" t="s">
        <v>31</v>
      </c>
      <c r="L246" s="290" t="s">
        <v>31</v>
      </c>
      <c r="M246" s="290" t="s">
        <v>31</v>
      </c>
      <c r="N246" s="290" t="s">
        <v>31</v>
      </c>
      <c r="O246" s="51" t="s">
        <v>566</v>
      </c>
    </row>
    <row r="247" spans="1:15" ht="15.6">
      <c r="A247" s="65" t="s">
        <v>86</v>
      </c>
      <c r="B247" s="284">
        <v>35.789000000000001</v>
      </c>
      <c r="D247" s="50" t="s">
        <v>37</v>
      </c>
      <c r="E247" s="65" t="s">
        <v>40</v>
      </c>
      <c r="F247" s="50" t="s">
        <v>29</v>
      </c>
      <c r="G247" s="51" t="s">
        <v>59</v>
      </c>
      <c r="H247" s="50" t="s">
        <v>33</v>
      </c>
      <c r="I247" s="290">
        <v>0</v>
      </c>
      <c r="J247" s="290" t="s">
        <v>31</v>
      </c>
      <c r="K247" s="290" t="s">
        <v>31</v>
      </c>
      <c r="L247" s="290" t="s">
        <v>31</v>
      </c>
      <c r="M247" s="290" t="s">
        <v>31</v>
      </c>
      <c r="N247" s="290" t="s">
        <v>31</v>
      </c>
    </row>
    <row r="248" spans="1:15" ht="15.6">
      <c r="A248" s="65" t="s">
        <v>567</v>
      </c>
      <c r="B248" s="284">
        <v>35.789000000000001</v>
      </c>
      <c r="D248" s="50" t="s">
        <v>37</v>
      </c>
      <c r="E248" s="65" t="s">
        <v>40</v>
      </c>
      <c r="F248" s="50" t="s">
        <v>29</v>
      </c>
      <c r="G248" s="51" t="s">
        <v>59</v>
      </c>
      <c r="H248" s="50" t="s">
        <v>33</v>
      </c>
      <c r="I248" s="290">
        <v>0</v>
      </c>
      <c r="J248" s="290" t="s">
        <v>31</v>
      </c>
      <c r="K248" s="290" t="s">
        <v>31</v>
      </c>
      <c r="L248" s="290" t="s">
        <v>31</v>
      </c>
      <c r="M248" s="290" t="s">
        <v>31</v>
      </c>
      <c r="N248" s="290" t="s">
        <v>31</v>
      </c>
    </row>
    <row r="249" spans="1:15" ht="15.6">
      <c r="A249" s="65" t="s">
        <v>205</v>
      </c>
      <c r="B249" s="284">
        <v>11.93</v>
      </c>
      <c r="D249" s="50" t="s">
        <v>37</v>
      </c>
      <c r="E249" s="65" t="s">
        <v>40</v>
      </c>
      <c r="F249" s="50" t="s">
        <v>29</v>
      </c>
      <c r="G249" s="51" t="s">
        <v>59</v>
      </c>
      <c r="H249" s="50" t="s">
        <v>33</v>
      </c>
      <c r="I249" s="290">
        <v>0</v>
      </c>
      <c r="J249" s="290" t="s">
        <v>31</v>
      </c>
      <c r="K249" s="290" t="s">
        <v>31</v>
      </c>
      <c r="L249" s="290" t="s">
        <v>31</v>
      </c>
      <c r="M249" s="290" t="s">
        <v>31</v>
      </c>
      <c r="N249" s="290" t="s">
        <v>31</v>
      </c>
    </row>
    <row r="250" spans="1:15" ht="15.6">
      <c r="A250" s="65" t="s">
        <v>120</v>
      </c>
      <c r="B250" s="284">
        <v>11.93</v>
      </c>
      <c r="D250" s="50" t="s">
        <v>37</v>
      </c>
      <c r="E250" s="65" t="s">
        <v>40</v>
      </c>
      <c r="F250" s="50" t="s">
        <v>29</v>
      </c>
      <c r="G250" s="51" t="s">
        <v>59</v>
      </c>
      <c r="H250" s="50" t="s">
        <v>33</v>
      </c>
      <c r="I250" s="290">
        <v>0</v>
      </c>
      <c r="J250" s="290" t="s">
        <v>31</v>
      </c>
      <c r="K250" s="290" t="s">
        <v>31</v>
      </c>
      <c r="L250" s="290" t="s">
        <v>31</v>
      </c>
      <c r="M250" s="290" t="s">
        <v>31</v>
      </c>
      <c r="N250" s="290" t="s">
        <v>31</v>
      </c>
    </row>
    <row r="251" spans="1:15" s="54" customFormat="1" ht="15.6">
      <c r="A251" s="291" t="s">
        <v>5</v>
      </c>
      <c r="B251" s="292" t="s">
        <v>568</v>
      </c>
      <c r="C251" s="292"/>
      <c r="D251" s="55" t="s">
        <v>565</v>
      </c>
      <c r="I251" s="293"/>
      <c r="J251" s="293"/>
      <c r="K251" s="293"/>
      <c r="L251" s="293"/>
      <c r="M251" s="293"/>
      <c r="N251" s="293"/>
    </row>
    <row r="252" spans="1:15">
      <c r="A252" s="50" t="s">
        <v>7</v>
      </c>
      <c r="B252" s="284" t="s">
        <v>476</v>
      </c>
    </row>
    <row r="253" spans="1:15">
      <c r="A253" s="50" t="s">
        <v>9</v>
      </c>
      <c r="B253" s="50" t="s">
        <v>569</v>
      </c>
    </row>
    <row r="254" spans="1:15">
      <c r="A254" s="50" t="s">
        <v>11</v>
      </c>
      <c r="B254" s="284" t="s">
        <v>477</v>
      </c>
    </row>
    <row r="255" spans="1:15">
      <c r="A255" s="50" t="s">
        <v>13</v>
      </c>
      <c r="B255" s="284" t="s">
        <v>59</v>
      </c>
    </row>
    <row r="256" spans="1:15">
      <c r="A256" s="50" t="s">
        <v>15</v>
      </c>
      <c r="B256" s="284">
        <v>1</v>
      </c>
    </row>
    <row r="257" spans="1:15">
      <c r="A257" s="50" t="s">
        <v>16</v>
      </c>
      <c r="B257" s="284" t="s">
        <v>17</v>
      </c>
    </row>
    <row r="258" spans="1:15">
      <c r="A258" s="50" t="s">
        <v>18</v>
      </c>
      <c r="B258" s="284" t="s">
        <v>18</v>
      </c>
    </row>
    <row r="259" spans="1:15" ht="15.6">
      <c r="A259" s="53" t="s">
        <v>19</v>
      </c>
    </row>
    <row r="260" spans="1:15" ht="15.6">
      <c r="A260" s="53" t="s">
        <v>20</v>
      </c>
      <c r="B260" s="286" t="s">
        <v>21</v>
      </c>
      <c r="C260" s="286" t="s">
        <v>186</v>
      </c>
      <c r="D260" s="53" t="s">
        <v>18</v>
      </c>
      <c r="E260" s="53" t="s">
        <v>22</v>
      </c>
      <c r="F260" s="53" t="s">
        <v>7</v>
      </c>
      <c r="G260" s="53" t="s">
        <v>13</v>
      </c>
      <c r="H260" s="53" t="s">
        <v>16</v>
      </c>
      <c r="I260" s="287" t="s">
        <v>23</v>
      </c>
      <c r="J260" s="287" t="s">
        <v>24</v>
      </c>
      <c r="K260" s="287" t="s">
        <v>25</v>
      </c>
      <c r="L260" s="287" t="s">
        <v>26</v>
      </c>
      <c r="M260" s="287" t="s">
        <v>27</v>
      </c>
      <c r="N260" s="287" t="s">
        <v>28</v>
      </c>
      <c r="O260" s="53" t="s">
        <v>11</v>
      </c>
    </row>
    <row r="261" spans="1:15" ht="15.6">
      <c r="A261" s="51" t="s">
        <v>568</v>
      </c>
      <c r="B261" s="289">
        <v>1</v>
      </c>
      <c r="C261" s="289"/>
      <c r="D261" s="51" t="s">
        <v>18</v>
      </c>
      <c r="E261" s="51" t="s">
        <v>2</v>
      </c>
      <c r="F261" s="50" t="s">
        <v>476</v>
      </c>
      <c r="G261" s="51" t="s">
        <v>59</v>
      </c>
      <c r="H261" s="51" t="s">
        <v>30</v>
      </c>
      <c r="I261" s="290">
        <v>0</v>
      </c>
      <c r="J261" s="290" t="s">
        <v>31</v>
      </c>
      <c r="K261" s="290" t="s">
        <v>31</v>
      </c>
      <c r="L261" s="290" t="s">
        <v>31</v>
      </c>
      <c r="M261" s="290" t="s">
        <v>31</v>
      </c>
      <c r="N261" s="290" t="s">
        <v>31</v>
      </c>
      <c r="O261" s="51" t="s">
        <v>570</v>
      </c>
    </row>
    <row r="262" spans="1:15" ht="15.6">
      <c r="A262" s="65" t="s">
        <v>555</v>
      </c>
      <c r="B262" s="284">
        <v>1</v>
      </c>
      <c r="D262" s="50" t="s">
        <v>18</v>
      </c>
      <c r="E262" s="50" t="s">
        <v>2</v>
      </c>
      <c r="F262" s="50" t="s">
        <v>476</v>
      </c>
      <c r="G262" s="50" t="s">
        <v>59</v>
      </c>
      <c r="H262" s="50" t="s">
        <v>33</v>
      </c>
      <c r="I262" s="290">
        <v>0</v>
      </c>
      <c r="J262" s="290" t="s">
        <v>31</v>
      </c>
      <c r="K262" s="290" t="s">
        <v>31</v>
      </c>
      <c r="L262" s="290" t="s">
        <v>31</v>
      </c>
      <c r="M262" s="290" t="s">
        <v>31</v>
      </c>
      <c r="N262" s="290" t="s">
        <v>31</v>
      </c>
    </row>
    <row r="263" spans="1:15" ht="15.6">
      <c r="A263" s="51" t="s">
        <v>562</v>
      </c>
      <c r="B263" s="289">
        <v>1</v>
      </c>
      <c r="C263" s="289"/>
      <c r="D263" s="51" t="s">
        <v>18</v>
      </c>
      <c r="E263" s="51" t="s">
        <v>2</v>
      </c>
      <c r="F263" s="50" t="s">
        <v>476</v>
      </c>
      <c r="G263" s="51" t="s">
        <v>59</v>
      </c>
      <c r="H263" s="50" t="s">
        <v>33</v>
      </c>
      <c r="I263" s="290">
        <v>0</v>
      </c>
      <c r="J263" s="290" t="s">
        <v>31</v>
      </c>
      <c r="K263" s="290" t="s">
        <v>31</v>
      </c>
      <c r="L263" s="290" t="s">
        <v>31</v>
      </c>
      <c r="M263" s="290" t="s">
        <v>31</v>
      </c>
      <c r="N263" s="290" t="s">
        <v>31</v>
      </c>
      <c r="O263" s="51"/>
    </row>
    <row r="264" spans="1:15" ht="15.6">
      <c r="A264" s="65" t="s">
        <v>560</v>
      </c>
      <c r="B264" s="284">
        <v>1</v>
      </c>
      <c r="D264" s="51" t="s">
        <v>18</v>
      </c>
      <c r="E264" s="51" t="s">
        <v>2</v>
      </c>
      <c r="F264" s="51" t="s">
        <v>476</v>
      </c>
      <c r="G264" s="51" t="s">
        <v>59</v>
      </c>
      <c r="H264" s="50" t="s">
        <v>33</v>
      </c>
      <c r="I264" s="290">
        <v>0</v>
      </c>
      <c r="J264" s="290" t="s">
        <v>31</v>
      </c>
      <c r="K264" s="290" t="s">
        <v>31</v>
      </c>
      <c r="L264" s="290" t="s">
        <v>31</v>
      </c>
      <c r="M264" s="290" t="s">
        <v>31</v>
      </c>
      <c r="N264" s="290" t="s">
        <v>31</v>
      </c>
    </row>
    <row r="265" spans="1:15" ht="15.6">
      <c r="A265" s="65" t="s">
        <v>564</v>
      </c>
      <c r="B265" s="284">
        <v>1</v>
      </c>
      <c r="D265" s="51" t="s">
        <v>18</v>
      </c>
      <c r="E265" s="51" t="s">
        <v>2</v>
      </c>
      <c r="F265" s="51" t="s">
        <v>476</v>
      </c>
      <c r="G265" s="51" t="s">
        <v>59</v>
      </c>
      <c r="H265" s="50" t="s">
        <v>33</v>
      </c>
      <c r="I265" s="290">
        <v>0</v>
      </c>
      <c r="J265" s="290" t="s">
        <v>31</v>
      </c>
      <c r="K265" s="290" t="s">
        <v>31</v>
      </c>
      <c r="L265" s="290" t="s">
        <v>31</v>
      </c>
      <c r="M265" s="290" t="s">
        <v>31</v>
      </c>
      <c r="N265" s="290" t="s">
        <v>31</v>
      </c>
    </row>
    <row r="266" spans="1:15" ht="15.6">
      <c r="E266" s="65"/>
      <c r="J266" s="290"/>
      <c r="L266" s="290"/>
      <c r="M266" s="290"/>
      <c r="N266" s="290"/>
    </row>
    <row r="267" spans="1:15">
      <c r="E267" s="65"/>
      <c r="O267" s="285"/>
    </row>
    <row r="276" spans="1:15" s="284" customFormat="1">
      <c r="A276" s="50"/>
      <c r="B276" s="304"/>
      <c r="D276" s="50"/>
      <c r="E276" s="50"/>
      <c r="F276" s="50"/>
      <c r="G276" s="50"/>
      <c r="H276" s="50"/>
      <c r="I276" s="285"/>
      <c r="J276" s="285"/>
      <c r="K276" s="285"/>
      <c r="L276" s="285"/>
      <c r="M276" s="285"/>
      <c r="N276" s="285"/>
      <c r="O276" s="50"/>
    </row>
  </sheetData>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570F-DAA7-4AF9-AEC5-6135E2930327}">
  <dimension ref="A1:U130"/>
  <sheetViews>
    <sheetView topLeftCell="A82" zoomScale="70" zoomScaleNormal="70" workbookViewId="0">
      <selection activeCell="O113" sqref="O113"/>
    </sheetView>
  </sheetViews>
  <sheetFormatPr defaultColWidth="8.7109375" defaultRowHeight="14.45"/>
  <cols>
    <col min="1" max="1" width="54.42578125" style="50" customWidth="1"/>
    <col min="2" max="2" width="13.5703125" style="50" customWidth="1"/>
    <col min="3" max="3" width="19.85546875" style="50" customWidth="1"/>
    <col min="4" max="4" width="10.140625" style="50" customWidth="1"/>
    <col min="5" max="5" width="31" style="50" bestFit="1" customWidth="1"/>
    <col min="6" max="6" width="25.5703125" style="50" customWidth="1"/>
    <col min="7" max="14" width="8.7109375" style="50"/>
    <col min="15" max="15" width="40.140625" style="50" bestFit="1" customWidth="1"/>
    <col min="16" max="16384" width="8.7109375" style="50"/>
  </cols>
  <sheetData>
    <row r="1" spans="1:21">
      <c r="A1" s="50" t="s">
        <v>0</v>
      </c>
      <c r="B1" s="50">
        <v>15</v>
      </c>
      <c r="D1" s="66" t="s">
        <v>408</v>
      </c>
    </row>
    <row r="2" spans="1:21" s="54" customFormat="1" ht="15.6">
      <c r="A2" s="291" t="s">
        <v>5</v>
      </c>
      <c r="B2" s="56" t="s">
        <v>571</v>
      </c>
      <c r="C2" s="56"/>
      <c r="D2" s="55" t="s">
        <v>565</v>
      </c>
    </row>
    <row r="3" spans="1:21">
      <c r="A3" s="50" t="s">
        <v>7</v>
      </c>
      <c r="B3" s="50" t="s">
        <v>476</v>
      </c>
    </row>
    <row r="4" spans="1:21">
      <c r="A4" s="50" t="s">
        <v>9</v>
      </c>
      <c r="B4" s="50" t="s">
        <v>572</v>
      </c>
    </row>
    <row r="5" spans="1:21">
      <c r="A5" s="50" t="s">
        <v>11</v>
      </c>
      <c r="B5" s="50" t="s">
        <v>573</v>
      </c>
    </row>
    <row r="6" spans="1:21">
      <c r="A6" s="50" t="s">
        <v>13</v>
      </c>
      <c r="B6" s="50" t="s">
        <v>35</v>
      </c>
    </row>
    <row r="7" spans="1:21">
      <c r="A7" s="50" t="s">
        <v>15</v>
      </c>
      <c r="B7" s="50">
        <v>1</v>
      </c>
    </row>
    <row r="8" spans="1:21">
      <c r="A8" s="50" t="s">
        <v>16</v>
      </c>
      <c r="B8" s="50" t="s">
        <v>17</v>
      </c>
    </row>
    <row r="9" spans="1:21">
      <c r="A9" s="50" t="s">
        <v>18</v>
      </c>
      <c r="B9" s="50" t="s">
        <v>18</v>
      </c>
      <c r="E9" s="50" t="s">
        <v>185</v>
      </c>
    </row>
    <row r="10" spans="1:21" ht="15.6">
      <c r="A10" s="53" t="s">
        <v>19</v>
      </c>
    </row>
    <row r="11" spans="1:21" ht="15.6">
      <c r="A11" s="53" t="s">
        <v>20</v>
      </c>
      <c r="B11" s="53" t="s">
        <v>21</v>
      </c>
      <c r="C11" s="53" t="s">
        <v>186</v>
      </c>
      <c r="D11" s="53" t="s">
        <v>18</v>
      </c>
      <c r="E11" s="53" t="s">
        <v>22</v>
      </c>
      <c r="F11" s="53" t="s">
        <v>7</v>
      </c>
      <c r="G11" s="53" t="s">
        <v>13</v>
      </c>
      <c r="H11" s="53" t="s">
        <v>16</v>
      </c>
      <c r="I11" s="53" t="s">
        <v>23</v>
      </c>
      <c r="J11" s="53" t="s">
        <v>24</v>
      </c>
      <c r="K11" s="53" t="s">
        <v>25</v>
      </c>
      <c r="L11" s="53" t="s">
        <v>26</v>
      </c>
      <c r="M11" s="53" t="s">
        <v>27</v>
      </c>
      <c r="N11" s="53" t="s">
        <v>28</v>
      </c>
      <c r="O11" s="53" t="s">
        <v>11</v>
      </c>
    </row>
    <row r="12" spans="1:21" ht="15.6">
      <c r="A12" s="51" t="str">
        <f>B2</f>
        <v>BMS treatment, SOFC-bat</v>
      </c>
      <c r="B12" s="50">
        <v>1</v>
      </c>
      <c r="D12" s="50" t="s">
        <v>18</v>
      </c>
      <c r="E12" s="51" t="s">
        <v>2</v>
      </c>
      <c r="F12" s="50" t="s">
        <v>476</v>
      </c>
      <c r="G12" s="50" t="s">
        <v>35</v>
      </c>
      <c r="H12" s="50" t="s">
        <v>30</v>
      </c>
      <c r="I12" s="50">
        <v>2</v>
      </c>
      <c r="J12" s="51">
        <f>LN(B12)</f>
        <v>0</v>
      </c>
      <c r="K12" s="50">
        <v>0.22051077071199943</v>
      </c>
      <c r="L12" s="51" t="s">
        <v>31</v>
      </c>
      <c r="M12" s="51" t="s">
        <v>31</v>
      </c>
      <c r="N12" s="51" t="s">
        <v>31</v>
      </c>
      <c r="O12" s="51"/>
    </row>
    <row r="13" spans="1:21" ht="15.6">
      <c r="A13" s="50" t="s">
        <v>194</v>
      </c>
      <c r="B13" s="50">
        <f>-11.93</f>
        <v>-11.93</v>
      </c>
      <c r="D13" s="50" t="s">
        <v>37</v>
      </c>
      <c r="E13" s="65" t="s">
        <v>40</v>
      </c>
      <c r="F13" s="50" t="s">
        <v>29</v>
      </c>
      <c r="G13" s="50" t="s">
        <v>35</v>
      </c>
      <c r="H13" s="50" t="s">
        <v>33</v>
      </c>
      <c r="I13" s="50">
        <v>0</v>
      </c>
      <c r="J13" s="51" t="s">
        <v>31</v>
      </c>
      <c r="K13" s="51" t="s">
        <v>31</v>
      </c>
      <c r="L13" s="51" t="s">
        <v>31</v>
      </c>
      <c r="M13" s="51" t="s">
        <v>31</v>
      </c>
      <c r="N13" s="51" t="s">
        <v>31</v>
      </c>
      <c r="O13" s="50" t="s">
        <v>574</v>
      </c>
    </row>
    <row r="14" spans="1:21" s="54" customFormat="1" ht="15.6">
      <c r="A14" s="291" t="s">
        <v>5</v>
      </c>
      <c r="B14" s="56" t="s">
        <v>575</v>
      </c>
      <c r="C14" s="56"/>
      <c r="D14" s="55" t="s">
        <v>565</v>
      </c>
      <c r="U14" s="50"/>
    </row>
    <row r="15" spans="1:21">
      <c r="A15" s="50" t="s">
        <v>7</v>
      </c>
      <c r="B15" s="50" t="s">
        <v>476</v>
      </c>
    </row>
    <row r="16" spans="1:21">
      <c r="A16" s="50" t="s">
        <v>9</v>
      </c>
      <c r="B16" s="50" t="s">
        <v>576</v>
      </c>
    </row>
    <row r="17" spans="1:21">
      <c r="A17" s="50" t="s">
        <v>11</v>
      </c>
      <c r="B17" s="50" t="s">
        <v>573</v>
      </c>
    </row>
    <row r="18" spans="1:21">
      <c r="A18" s="50" t="s">
        <v>13</v>
      </c>
      <c r="B18" s="50" t="s">
        <v>59</v>
      </c>
    </row>
    <row r="19" spans="1:21">
      <c r="A19" s="50" t="s">
        <v>15</v>
      </c>
      <c r="B19" s="50">
        <v>1</v>
      </c>
    </row>
    <row r="20" spans="1:21">
      <c r="A20" s="50" t="s">
        <v>16</v>
      </c>
      <c r="B20" s="50" t="s">
        <v>17</v>
      </c>
    </row>
    <row r="21" spans="1:21">
      <c r="A21" s="50" t="s">
        <v>18</v>
      </c>
      <c r="B21" s="50" t="s">
        <v>18</v>
      </c>
      <c r="E21" s="50" t="s">
        <v>185</v>
      </c>
    </row>
    <row r="22" spans="1:21" ht="15.6">
      <c r="A22" s="53" t="s">
        <v>19</v>
      </c>
    </row>
    <row r="23" spans="1:21" ht="15.6">
      <c r="A23" s="53" t="s">
        <v>20</v>
      </c>
      <c r="B23" s="53" t="s">
        <v>21</v>
      </c>
      <c r="C23" s="53" t="s">
        <v>186</v>
      </c>
      <c r="D23" s="53" t="s">
        <v>18</v>
      </c>
      <c r="E23" s="53" t="s">
        <v>22</v>
      </c>
      <c r="F23" s="53" t="s">
        <v>7</v>
      </c>
      <c r="G23" s="53" t="s">
        <v>13</v>
      </c>
      <c r="H23" s="53" t="s">
        <v>16</v>
      </c>
      <c r="I23" s="53" t="s">
        <v>23</v>
      </c>
      <c r="J23" s="53" t="s">
        <v>24</v>
      </c>
      <c r="K23" s="53" t="s">
        <v>25</v>
      </c>
      <c r="L23" s="53" t="s">
        <v>26</v>
      </c>
      <c r="M23" s="53" t="s">
        <v>27</v>
      </c>
      <c r="N23" s="53" t="s">
        <v>28</v>
      </c>
      <c r="O23" s="53" t="s">
        <v>11</v>
      </c>
    </row>
    <row r="24" spans="1:21" ht="15.6">
      <c r="A24" s="51" t="str">
        <f>B14</f>
        <v>casing scrap treatment, SOFC-bat</v>
      </c>
      <c r="B24" s="50">
        <v>1</v>
      </c>
      <c r="D24" s="50" t="s">
        <v>18</v>
      </c>
      <c r="E24" s="51" t="s">
        <v>2</v>
      </c>
      <c r="F24" s="50" t="s">
        <v>476</v>
      </c>
      <c r="G24" s="50" t="s">
        <v>59</v>
      </c>
      <c r="H24" s="50" t="s">
        <v>30</v>
      </c>
      <c r="I24" s="50">
        <v>0</v>
      </c>
      <c r="J24" s="51" t="s">
        <v>31</v>
      </c>
      <c r="K24" s="51" t="s">
        <v>31</v>
      </c>
      <c r="L24" s="51" t="s">
        <v>31</v>
      </c>
      <c r="M24" s="51" t="s">
        <v>31</v>
      </c>
      <c r="N24" s="51" t="s">
        <v>31</v>
      </c>
      <c r="O24" s="51" t="s">
        <v>577</v>
      </c>
    </row>
    <row r="25" spans="1:21" ht="15.6">
      <c r="A25" s="50" t="s">
        <v>201</v>
      </c>
      <c r="B25" s="50">
        <v>45.477159999999998</v>
      </c>
      <c r="D25" s="50" t="s">
        <v>37</v>
      </c>
      <c r="E25" s="65" t="s">
        <v>40</v>
      </c>
      <c r="F25" s="50" t="s">
        <v>29</v>
      </c>
      <c r="G25" s="50" t="s">
        <v>35</v>
      </c>
      <c r="H25" s="50" t="s">
        <v>33</v>
      </c>
      <c r="I25" s="50">
        <v>2</v>
      </c>
      <c r="J25" s="51">
        <f>LN(B25)</f>
        <v>3.8172102219017803</v>
      </c>
      <c r="K25" s="50">
        <v>0.22051077071199943</v>
      </c>
      <c r="L25" s="51" t="s">
        <v>31</v>
      </c>
      <c r="M25" s="51" t="s">
        <v>31</v>
      </c>
      <c r="N25" s="51" t="s">
        <v>31</v>
      </c>
      <c r="O25" s="50" t="s">
        <v>578</v>
      </c>
    </row>
    <row r="26" spans="1:21" ht="15.6">
      <c r="A26" s="50" t="s">
        <v>202</v>
      </c>
      <c r="B26" s="50">
        <v>45.477159999999998</v>
      </c>
      <c r="C26" s="58" t="s">
        <v>203</v>
      </c>
      <c r="D26" s="50" t="s">
        <v>37</v>
      </c>
      <c r="E26" s="65" t="s">
        <v>40</v>
      </c>
      <c r="F26" s="50" t="s">
        <v>29</v>
      </c>
      <c r="G26" s="50" t="s">
        <v>35</v>
      </c>
      <c r="H26" s="50" t="s">
        <v>33</v>
      </c>
      <c r="I26" s="50">
        <v>2</v>
      </c>
      <c r="J26" s="51">
        <f>LN(B26)</f>
        <v>3.8172102219017803</v>
      </c>
      <c r="K26" s="50">
        <v>0.22051077071199943</v>
      </c>
      <c r="L26" s="51" t="s">
        <v>31</v>
      </c>
      <c r="M26" s="51" t="s">
        <v>31</v>
      </c>
      <c r="N26" s="51" t="s">
        <v>31</v>
      </c>
      <c r="O26" s="50" t="s">
        <v>204</v>
      </c>
    </row>
    <row r="27" spans="1:21" ht="15.6">
      <c r="A27" s="50" t="s">
        <v>205</v>
      </c>
      <c r="B27" s="50">
        <f>0.95*B26</f>
        <v>43.203301999999994</v>
      </c>
      <c r="D27" s="50" t="s">
        <v>37</v>
      </c>
      <c r="E27" s="65" t="s">
        <v>40</v>
      </c>
      <c r="F27" s="50" t="s">
        <v>29</v>
      </c>
      <c r="G27" s="50" t="s">
        <v>59</v>
      </c>
      <c r="H27" s="50" t="s">
        <v>136</v>
      </c>
      <c r="I27" s="50">
        <v>2</v>
      </c>
      <c r="J27" s="51">
        <f>LN(B27)</f>
        <v>3.7659169275142297</v>
      </c>
      <c r="K27" s="50">
        <v>0.22051077071199943</v>
      </c>
      <c r="L27" s="50" t="s">
        <v>31</v>
      </c>
      <c r="M27" s="50" t="s">
        <v>31</v>
      </c>
      <c r="N27" s="50" t="s">
        <v>31</v>
      </c>
      <c r="O27" s="50" t="s">
        <v>579</v>
      </c>
    </row>
    <row r="28" spans="1:21">
      <c r="A28" s="50" t="s">
        <v>210</v>
      </c>
      <c r="B28" s="50">
        <f>-(0.19088+2.05196+0.05*47.72)</f>
        <v>-4.6288400000000003</v>
      </c>
      <c r="D28" s="50" t="s">
        <v>37</v>
      </c>
      <c r="E28" s="65" t="s">
        <v>40</v>
      </c>
      <c r="F28" s="50" t="s">
        <v>29</v>
      </c>
      <c r="G28" s="50" t="s">
        <v>59</v>
      </c>
      <c r="H28" s="50" t="s">
        <v>33</v>
      </c>
      <c r="I28" s="50">
        <v>0</v>
      </c>
      <c r="J28" s="50" t="s">
        <v>31</v>
      </c>
      <c r="K28" s="50" t="s">
        <v>31</v>
      </c>
      <c r="L28" s="50" t="s">
        <v>31</v>
      </c>
      <c r="M28" s="50" t="s">
        <v>31</v>
      </c>
      <c r="N28" s="50" t="s">
        <v>31</v>
      </c>
      <c r="O28" s="50" t="s">
        <v>580</v>
      </c>
    </row>
    <row r="29" spans="1:21" s="54" customFormat="1" ht="15.6">
      <c r="A29" s="291" t="s">
        <v>5</v>
      </c>
      <c r="B29" s="56" t="s">
        <v>581</v>
      </c>
      <c r="C29" s="56"/>
      <c r="D29" s="55" t="s">
        <v>565</v>
      </c>
      <c r="U29" s="50"/>
    </row>
    <row r="30" spans="1:21">
      <c r="A30" s="50" t="s">
        <v>7</v>
      </c>
      <c r="B30" s="50" t="s">
        <v>476</v>
      </c>
    </row>
    <row r="31" spans="1:21">
      <c r="A31" s="50" t="s">
        <v>9</v>
      </c>
      <c r="B31" s="50" t="s">
        <v>582</v>
      </c>
    </row>
    <row r="32" spans="1:21">
      <c r="A32" s="50" t="s">
        <v>11</v>
      </c>
      <c r="B32" s="50" t="s">
        <v>573</v>
      </c>
    </row>
    <row r="33" spans="1:21">
      <c r="A33" s="50" t="s">
        <v>13</v>
      </c>
      <c r="B33" s="50" t="s">
        <v>35</v>
      </c>
    </row>
    <row r="34" spans="1:21">
      <c r="A34" s="50" t="s">
        <v>15</v>
      </c>
      <c r="B34" s="50">
        <v>1</v>
      </c>
    </row>
    <row r="35" spans="1:21">
      <c r="A35" s="50" t="s">
        <v>16</v>
      </c>
      <c r="B35" s="50" t="s">
        <v>17</v>
      </c>
    </row>
    <row r="36" spans="1:21">
      <c r="A36" s="50" t="s">
        <v>18</v>
      </c>
      <c r="B36" s="50" t="s">
        <v>18</v>
      </c>
      <c r="E36" s="50" t="s">
        <v>185</v>
      </c>
    </row>
    <row r="37" spans="1:21" ht="15.6">
      <c r="A37" s="53" t="s">
        <v>19</v>
      </c>
    </row>
    <row r="38" spans="1:21" ht="15.6">
      <c r="A38" s="53" t="s">
        <v>20</v>
      </c>
      <c r="B38" s="53" t="s">
        <v>21</v>
      </c>
      <c r="C38" s="53" t="s">
        <v>186</v>
      </c>
      <c r="D38" s="53" t="s">
        <v>18</v>
      </c>
      <c r="E38" s="53" t="s">
        <v>22</v>
      </c>
      <c r="F38" s="53" t="s">
        <v>7</v>
      </c>
      <c r="G38" s="53" t="s">
        <v>13</v>
      </c>
      <c r="H38" s="53" t="s">
        <v>16</v>
      </c>
      <c r="I38" s="53" t="s">
        <v>23</v>
      </c>
      <c r="J38" s="53" t="s">
        <v>24</v>
      </c>
      <c r="K38" s="53" t="s">
        <v>25</v>
      </c>
      <c r="L38" s="53" t="s">
        <v>26</v>
      </c>
      <c r="M38" s="53" t="s">
        <v>27</v>
      </c>
      <c r="N38" s="53" t="s">
        <v>28</v>
      </c>
      <c r="O38" s="53" t="s">
        <v>11</v>
      </c>
    </row>
    <row r="39" spans="1:21" ht="15.6">
      <c r="A39" s="51" t="str">
        <f>B29</f>
        <v>packaging treatment, SOFC-bat</v>
      </c>
      <c r="B39" s="50">
        <v>1</v>
      </c>
      <c r="D39" s="50" t="s">
        <v>18</v>
      </c>
      <c r="E39" s="51" t="s">
        <v>2</v>
      </c>
      <c r="F39" s="50" t="s">
        <v>476</v>
      </c>
      <c r="G39" s="50" t="s">
        <v>35</v>
      </c>
      <c r="H39" s="50" t="s">
        <v>30</v>
      </c>
      <c r="I39" s="50">
        <v>0</v>
      </c>
      <c r="J39" s="51" t="s">
        <v>31</v>
      </c>
      <c r="K39" s="51" t="s">
        <v>31</v>
      </c>
      <c r="L39" s="51" t="s">
        <v>31</v>
      </c>
      <c r="M39" s="51" t="s">
        <v>31</v>
      </c>
      <c r="N39" s="51" t="s">
        <v>31</v>
      </c>
      <c r="O39" s="51" t="s">
        <v>478</v>
      </c>
    </row>
    <row r="40" spans="1:21">
      <c r="A40" s="50" t="s">
        <v>583</v>
      </c>
      <c r="B40" s="50">
        <v>-35.92</v>
      </c>
      <c r="D40" s="50" t="s">
        <v>37</v>
      </c>
      <c r="E40" s="65" t="s">
        <v>40</v>
      </c>
      <c r="F40" s="50" t="s">
        <v>29</v>
      </c>
      <c r="G40" s="50" t="s">
        <v>584</v>
      </c>
      <c r="H40" s="50" t="s">
        <v>33</v>
      </c>
      <c r="I40" s="50">
        <v>5</v>
      </c>
      <c r="J40" s="50">
        <f>B40</f>
        <v>-35.92</v>
      </c>
      <c r="K40" s="50" t="s">
        <v>31</v>
      </c>
      <c r="L40" s="50" t="s">
        <v>31</v>
      </c>
      <c r="M40" s="50">
        <f>J40*1.5</f>
        <v>-53.88</v>
      </c>
      <c r="N40" s="50">
        <f>J40*0.95</f>
        <v>-34.124000000000002</v>
      </c>
      <c r="O40" s="50" t="s">
        <v>585</v>
      </c>
    </row>
    <row r="41" spans="1:21">
      <c r="A41" s="50" t="s">
        <v>70</v>
      </c>
      <c r="B41" s="50">
        <f>-2.23*B40/2</f>
        <v>40.050800000000002</v>
      </c>
      <c r="D41" s="50" t="s">
        <v>71</v>
      </c>
      <c r="E41" s="65" t="s">
        <v>40</v>
      </c>
      <c r="F41" s="50" t="s">
        <v>29</v>
      </c>
      <c r="G41" s="50" t="s">
        <v>59</v>
      </c>
      <c r="H41" s="50" t="s">
        <v>136</v>
      </c>
      <c r="I41" s="50">
        <v>5</v>
      </c>
      <c r="J41" s="50">
        <f t="shared" ref="J41:J46" si="0">B41</f>
        <v>40.050800000000002</v>
      </c>
      <c r="K41" s="50" t="s">
        <v>31</v>
      </c>
      <c r="L41" s="50" t="s">
        <v>31</v>
      </c>
      <c r="M41" s="50">
        <f t="shared" ref="M41:M46" si="1">J41*(0.95)</f>
        <v>38.048259999999999</v>
      </c>
      <c r="N41" s="50">
        <f t="shared" ref="N41:N46" si="2">J41*1.05</f>
        <v>42.053340000000006</v>
      </c>
      <c r="O41" s="50" t="s">
        <v>586</v>
      </c>
    </row>
    <row r="42" spans="1:21">
      <c r="A42" s="50" t="s">
        <v>38</v>
      </c>
      <c r="B42" s="50">
        <f>-1.55*B40/2</f>
        <v>27.838000000000001</v>
      </c>
      <c r="D42" s="50" t="s">
        <v>39</v>
      </c>
      <c r="E42" s="65" t="s">
        <v>40</v>
      </c>
      <c r="F42" s="50" t="s">
        <v>29</v>
      </c>
      <c r="G42" s="50" t="s">
        <v>14</v>
      </c>
      <c r="H42" s="50" t="s">
        <v>136</v>
      </c>
      <c r="I42" s="50">
        <v>5</v>
      </c>
      <c r="J42" s="50">
        <f t="shared" si="0"/>
        <v>27.838000000000001</v>
      </c>
      <c r="K42" s="50" t="s">
        <v>31</v>
      </c>
      <c r="L42" s="50" t="s">
        <v>31</v>
      </c>
      <c r="M42" s="50">
        <f t="shared" si="1"/>
        <v>26.446100000000001</v>
      </c>
      <c r="N42" s="50">
        <f t="shared" si="2"/>
        <v>29.229900000000001</v>
      </c>
      <c r="O42" s="50" t="s">
        <v>587</v>
      </c>
    </row>
    <row r="43" spans="1:21">
      <c r="A43" s="50" t="s">
        <v>588</v>
      </c>
      <c r="B43" s="50">
        <f>-B73</f>
        <v>-0.3</v>
      </c>
      <c r="D43" s="50" t="s">
        <v>37</v>
      </c>
      <c r="E43" s="65" t="s">
        <v>40</v>
      </c>
      <c r="F43" s="50" t="s">
        <v>29</v>
      </c>
      <c r="G43" s="50" t="s">
        <v>584</v>
      </c>
      <c r="H43" s="50" t="s">
        <v>33</v>
      </c>
      <c r="I43" s="50">
        <v>5</v>
      </c>
      <c r="J43" s="50">
        <f t="shared" si="0"/>
        <v>-0.3</v>
      </c>
      <c r="K43" s="50" t="s">
        <v>31</v>
      </c>
      <c r="L43" s="50" t="s">
        <v>31</v>
      </c>
      <c r="M43" s="50">
        <f t="shared" ref="M43:M44" si="3">J43*1.5</f>
        <v>-0.44999999999999996</v>
      </c>
      <c r="N43" s="50">
        <f t="shared" ref="N43:N44" si="4">J43*0.95</f>
        <v>-0.28499999999999998</v>
      </c>
      <c r="O43" s="50" t="s">
        <v>589</v>
      </c>
    </row>
    <row r="44" spans="1:21">
      <c r="A44" s="50" t="s">
        <v>588</v>
      </c>
      <c r="B44" s="50">
        <f>-B74</f>
        <v>-0.33500000000000002</v>
      </c>
      <c r="D44" s="50" t="s">
        <v>37</v>
      </c>
      <c r="E44" s="65" t="s">
        <v>40</v>
      </c>
      <c r="F44" s="50" t="s">
        <v>29</v>
      </c>
      <c r="G44" s="50" t="s">
        <v>584</v>
      </c>
      <c r="H44" s="50" t="s">
        <v>33</v>
      </c>
      <c r="I44" s="50">
        <v>5</v>
      </c>
      <c r="J44" s="50">
        <f t="shared" si="0"/>
        <v>-0.33500000000000002</v>
      </c>
      <c r="K44" s="50" t="s">
        <v>31</v>
      </c>
      <c r="L44" s="50" t="s">
        <v>31</v>
      </c>
      <c r="M44" s="50">
        <f t="shared" si="3"/>
        <v>-0.50250000000000006</v>
      </c>
      <c r="N44" s="50">
        <f t="shared" si="4"/>
        <v>-0.31824999999999998</v>
      </c>
      <c r="O44" s="50" t="s">
        <v>589</v>
      </c>
    </row>
    <row r="45" spans="1:21">
      <c r="A45" s="50" t="s">
        <v>38</v>
      </c>
      <c r="B45" s="50">
        <f>-1.54*(B44+B43)/2</f>
        <v>0.48895</v>
      </c>
      <c r="D45" s="50" t="s">
        <v>39</v>
      </c>
      <c r="E45" s="65" t="s">
        <v>40</v>
      </c>
      <c r="F45" s="50" t="s">
        <v>29</v>
      </c>
      <c r="G45" s="50" t="s">
        <v>14</v>
      </c>
      <c r="H45" s="50" t="s">
        <v>136</v>
      </c>
      <c r="I45" s="50">
        <v>5</v>
      </c>
      <c r="J45" s="50">
        <f t="shared" si="0"/>
        <v>0.48895</v>
      </c>
      <c r="K45" s="50" t="s">
        <v>31</v>
      </c>
      <c r="L45" s="50" t="s">
        <v>31</v>
      </c>
      <c r="M45" s="50">
        <f>J45*(0.95)</f>
        <v>0.46450249999999998</v>
      </c>
      <c r="N45" s="50">
        <f t="shared" si="2"/>
        <v>0.51339750000000006</v>
      </c>
      <c r="O45" s="50" t="s">
        <v>590</v>
      </c>
    </row>
    <row r="46" spans="1:21">
      <c r="A46" s="50" t="s">
        <v>70</v>
      </c>
      <c r="B46" s="50">
        <f>-10.7*(B44+B43)</f>
        <v>6.7944999999999993</v>
      </c>
      <c r="D46" s="50" t="s">
        <v>71</v>
      </c>
      <c r="E46" s="65" t="s">
        <v>40</v>
      </c>
      <c r="F46" s="50" t="s">
        <v>29</v>
      </c>
      <c r="G46" s="50" t="s">
        <v>59</v>
      </c>
      <c r="H46" s="50" t="s">
        <v>136</v>
      </c>
      <c r="I46" s="50">
        <v>5</v>
      </c>
      <c r="J46" s="50">
        <f t="shared" si="0"/>
        <v>6.7944999999999993</v>
      </c>
      <c r="K46" s="50" t="s">
        <v>31</v>
      </c>
      <c r="L46" s="50" t="s">
        <v>31</v>
      </c>
      <c r="M46" s="50">
        <f t="shared" si="1"/>
        <v>6.4547749999999988</v>
      </c>
      <c r="N46" s="50">
        <f t="shared" si="2"/>
        <v>7.1342249999999998</v>
      </c>
      <c r="O46" s="50" t="s">
        <v>591</v>
      </c>
    </row>
    <row r="47" spans="1:21" s="54" customFormat="1" ht="15.6">
      <c r="A47" s="291" t="s">
        <v>5</v>
      </c>
      <c r="B47" s="56" t="s">
        <v>592</v>
      </c>
      <c r="C47" s="56"/>
      <c r="D47" s="55" t="s">
        <v>565</v>
      </c>
      <c r="U47" s="50"/>
    </row>
    <row r="48" spans="1:21">
      <c r="A48" s="50" t="s">
        <v>7</v>
      </c>
      <c r="B48" s="50" t="s">
        <v>476</v>
      </c>
    </row>
    <row r="49" spans="1:21">
      <c r="A49" s="50" t="s">
        <v>9</v>
      </c>
      <c r="B49" s="50" t="s">
        <v>593</v>
      </c>
    </row>
    <row r="50" spans="1:21" ht="15.6">
      <c r="A50" s="50" t="s">
        <v>11</v>
      </c>
      <c r="B50" s="51" t="s">
        <v>594</v>
      </c>
    </row>
    <row r="51" spans="1:21">
      <c r="A51" s="50" t="s">
        <v>13</v>
      </c>
      <c r="B51" s="50" t="s">
        <v>59</v>
      </c>
    </row>
    <row r="52" spans="1:21">
      <c r="A52" s="50" t="s">
        <v>15</v>
      </c>
      <c r="B52" s="50">
        <v>1</v>
      </c>
    </row>
    <row r="53" spans="1:21">
      <c r="A53" s="50" t="s">
        <v>16</v>
      </c>
      <c r="B53" s="50" t="s">
        <v>17</v>
      </c>
    </row>
    <row r="54" spans="1:21">
      <c r="A54" s="50" t="s">
        <v>18</v>
      </c>
      <c r="B54" s="50" t="s">
        <v>18</v>
      </c>
      <c r="E54" s="50" t="s">
        <v>185</v>
      </c>
    </row>
    <row r="55" spans="1:21" ht="15.6">
      <c r="A55" s="53" t="s">
        <v>19</v>
      </c>
    </row>
    <row r="56" spans="1:21" ht="15.6">
      <c r="A56" s="53" t="s">
        <v>20</v>
      </c>
      <c r="B56" s="53" t="s">
        <v>21</v>
      </c>
      <c r="C56" s="53" t="s">
        <v>186</v>
      </c>
      <c r="D56" s="53" t="s">
        <v>18</v>
      </c>
      <c r="E56" s="53" t="s">
        <v>22</v>
      </c>
      <c r="F56" s="53" t="s">
        <v>7</v>
      </c>
      <c r="G56" s="53" t="s">
        <v>13</v>
      </c>
      <c r="H56" s="53" t="s">
        <v>16</v>
      </c>
      <c r="I56" s="53" t="s">
        <v>23</v>
      </c>
      <c r="J56" s="53" t="s">
        <v>24</v>
      </c>
      <c r="K56" s="53" t="s">
        <v>25</v>
      </c>
      <c r="L56" s="53" t="s">
        <v>26</v>
      </c>
      <c r="M56" s="53" t="s">
        <v>27</v>
      </c>
      <c r="N56" s="53" t="s">
        <v>28</v>
      </c>
      <c r="O56" s="53" t="s">
        <v>11</v>
      </c>
    </row>
    <row r="57" spans="1:21" ht="15.6">
      <c r="A57" s="51" t="str">
        <f>B47</f>
        <v>compressor treatment, SOFC-bat</v>
      </c>
      <c r="B57" s="50">
        <v>1</v>
      </c>
      <c r="D57" s="50" t="s">
        <v>18</v>
      </c>
      <c r="E57" s="51" t="s">
        <v>2</v>
      </c>
      <c r="F57" s="50" t="s">
        <v>476</v>
      </c>
      <c r="G57" s="50" t="s">
        <v>59</v>
      </c>
      <c r="H57" s="50" t="s">
        <v>30</v>
      </c>
      <c r="I57" s="50">
        <v>0</v>
      </c>
      <c r="J57" s="51" t="s">
        <v>31</v>
      </c>
      <c r="K57" s="51" t="s">
        <v>31</v>
      </c>
      <c r="L57" s="51" t="s">
        <v>31</v>
      </c>
      <c r="M57" s="51" t="s">
        <v>31</v>
      </c>
      <c r="N57" s="51" t="s">
        <v>31</v>
      </c>
      <c r="O57" s="51" t="s">
        <v>595</v>
      </c>
    </row>
    <row r="58" spans="1:21" ht="15.6">
      <c r="A58" t="s">
        <v>135</v>
      </c>
      <c r="B58" s="50">
        <f>-0.6*59.65</f>
        <v>-35.79</v>
      </c>
      <c r="D58" s="50" t="s">
        <v>37</v>
      </c>
      <c r="E58" s="65" t="s">
        <v>40</v>
      </c>
      <c r="F58" s="50" t="s">
        <v>29</v>
      </c>
      <c r="G58" s="50" t="s">
        <v>82</v>
      </c>
      <c r="H58" s="50" t="s">
        <v>33</v>
      </c>
      <c r="I58" s="50">
        <v>0</v>
      </c>
      <c r="J58" s="51" t="s">
        <v>31</v>
      </c>
      <c r="K58" s="51" t="s">
        <v>31</v>
      </c>
      <c r="L58" s="51" t="s">
        <v>31</v>
      </c>
      <c r="M58" s="51" t="s">
        <v>31</v>
      </c>
      <c r="N58" s="51" t="s">
        <v>31</v>
      </c>
      <c r="O58" s="50" t="s">
        <v>596</v>
      </c>
    </row>
    <row r="59" spans="1:21" ht="15.6">
      <c r="A59" s="65" t="s">
        <v>86</v>
      </c>
      <c r="B59" s="50">
        <f>-0.95*B58</f>
        <v>34.000499999999995</v>
      </c>
      <c r="D59" s="50" t="s">
        <v>37</v>
      </c>
      <c r="E59" s="65" t="s">
        <v>40</v>
      </c>
      <c r="F59" s="50" t="s">
        <v>29</v>
      </c>
      <c r="G59" s="50" t="s">
        <v>59</v>
      </c>
      <c r="H59" s="50" t="s">
        <v>136</v>
      </c>
      <c r="I59" s="50">
        <v>2</v>
      </c>
      <c r="J59" s="50">
        <f>LN(B59)</f>
        <v>3.5263752303903839</v>
      </c>
      <c r="K59" s="50">
        <v>0.22051077099999999</v>
      </c>
      <c r="L59" s="51" t="s">
        <v>31</v>
      </c>
      <c r="M59" s="51" t="s">
        <v>31</v>
      </c>
      <c r="N59" s="51" t="s">
        <v>31</v>
      </c>
    </row>
    <row r="60" spans="1:21" ht="15.6">
      <c r="A60" s="50" t="s">
        <v>210</v>
      </c>
      <c r="B60" s="50">
        <f>-(59.648-B59)</f>
        <v>-25.647500000000008</v>
      </c>
      <c r="D60" s="50" t="s">
        <v>37</v>
      </c>
      <c r="E60" s="65" t="s">
        <v>40</v>
      </c>
      <c r="F60" s="50" t="s">
        <v>29</v>
      </c>
      <c r="G60" s="50" t="s">
        <v>59</v>
      </c>
      <c r="H60" s="50" t="s">
        <v>33</v>
      </c>
      <c r="I60" s="50">
        <v>0</v>
      </c>
      <c r="J60" s="51" t="s">
        <v>31</v>
      </c>
      <c r="K60" s="51" t="s">
        <v>31</v>
      </c>
      <c r="L60" s="51" t="s">
        <v>31</v>
      </c>
      <c r="M60" s="51" t="s">
        <v>31</v>
      </c>
      <c r="N60" s="51" t="s">
        <v>31</v>
      </c>
    </row>
    <row r="61" spans="1:21" s="54" customFormat="1" ht="15.6">
      <c r="A61" s="291" t="s">
        <v>5</v>
      </c>
      <c r="B61" s="56" t="s">
        <v>597</v>
      </c>
      <c r="C61" s="56"/>
      <c r="D61" s="55" t="s">
        <v>565</v>
      </c>
      <c r="U61" s="50"/>
    </row>
    <row r="62" spans="1:21">
      <c r="A62" s="50" t="s">
        <v>7</v>
      </c>
      <c r="B62" s="50" t="s">
        <v>476</v>
      </c>
    </row>
    <row r="63" spans="1:21">
      <c r="A63" s="50" t="s">
        <v>9</v>
      </c>
      <c r="B63" s="50" t="s">
        <v>598</v>
      </c>
    </row>
    <row r="64" spans="1:21" ht="15.6">
      <c r="A64" s="50" t="s">
        <v>11</v>
      </c>
      <c r="B64" s="51" t="s">
        <v>599</v>
      </c>
    </row>
    <row r="65" spans="1:15">
      <c r="A65" s="50" t="s">
        <v>13</v>
      </c>
      <c r="B65" s="50" t="s">
        <v>35</v>
      </c>
    </row>
    <row r="66" spans="1:15">
      <c r="A66" s="50" t="s">
        <v>15</v>
      </c>
      <c r="B66" s="50">
        <v>1</v>
      </c>
    </row>
    <row r="67" spans="1:15">
      <c r="A67" s="50" t="s">
        <v>16</v>
      </c>
      <c r="B67" s="50" t="s">
        <v>17</v>
      </c>
    </row>
    <row r="68" spans="1:15">
      <c r="A68" s="50" t="s">
        <v>18</v>
      </c>
      <c r="B68" s="50" t="s">
        <v>18</v>
      </c>
      <c r="E68" s="50" t="s">
        <v>185</v>
      </c>
    </row>
    <row r="69" spans="1:15" ht="15.6">
      <c r="A69" s="53" t="s">
        <v>19</v>
      </c>
    </row>
    <row r="70" spans="1:15" ht="15.6">
      <c r="A70" s="53" t="s">
        <v>20</v>
      </c>
      <c r="B70" s="53" t="s">
        <v>21</v>
      </c>
      <c r="C70" s="53" t="s">
        <v>186</v>
      </c>
      <c r="D70" s="53" t="s">
        <v>18</v>
      </c>
      <c r="E70" s="53" t="s">
        <v>22</v>
      </c>
      <c r="F70" s="53" t="s">
        <v>7</v>
      </c>
      <c r="G70" s="53" t="s">
        <v>13</v>
      </c>
      <c r="H70" s="53" t="s">
        <v>16</v>
      </c>
      <c r="I70" s="53" t="s">
        <v>23</v>
      </c>
      <c r="J70" s="53" t="s">
        <v>24</v>
      </c>
      <c r="K70" s="53" t="s">
        <v>25</v>
      </c>
      <c r="L70" s="53" t="s">
        <v>26</v>
      </c>
      <c r="M70" s="53" t="s">
        <v>27</v>
      </c>
      <c r="N70" s="53" t="s">
        <v>28</v>
      </c>
      <c r="O70" s="53" t="s">
        <v>11</v>
      </c>
    </row>
    <row r="71" spans="1:15" ht="15.6">
      <c r="A71" s="51" t="str">
        <f>B61</f>
        <v>LiO battery pack dismantling, SOFC-bat</v>
      </c>
      <c r="B71" s="51">
        <v>1</v>
      </c>
      <c r="C71" s="51"/>
      <c r="D71" s="51" t="s">
        <v>18</v>
      </c>
      <c r="E71" s="51" t="s">
        <v>2</v>
      </c>
      <c r="F71" s="50" t="s">
        <v>476</v>
      </c>
      <c r="G71" s="50" t="s">
        <v>35</v>
      </c>
      <c r="H71" s="51" t="s">
        <v>30</v>
      </c>
      <c r="I71" s="51">
        <v>0</v>
      </c>
      <c r="J71" s="51" t="s">
        <v>31</v>
      </c>
      <c r="K71" s="51" t="s">
        <v>31</v>
      </c>
      <c r="L71" s="51" t="s">
        <v>31</v>
      </c>
      <c r="M71" s="51" t="s">
        <v>31</v>
      </c>
      <c r="N71" s="51" t="s">
        <v>31</v>
      </c>
      <c r="O71" s="51" t="s">
        <v>599</v>
      </c>
    </row>
    <row r="72" spans="1:15" ht="15.6">
      <c r="A72" s="305" t="s">
        <v>600</v>
      </c>
      <c r="B72" s="305">
        <v>35.92</v>
      </c>
      <c r="C72" s="305"/>
      <c r="D72" s="305" t="s">
        <v>37</v>
      </c>
      <c r="E72" s="305" t="s">
        <v>40</v>
      </c>
      <c r="F72" s="305" t="s">
        <v>29</v>
      </c>
      <c r="G72" s="305" t="s">
        <v>59</v>
      </c>
      <c r="H72" s="306" t="s">
        <v>33</v>
      </c>
      <c r="I72" s="51">
        <v>5</v>
      </c>
      <c r="J72" s="50">
        <f>B72</f>
        <v>35.92</v>
      </c>
      <c r="K72" s="50" t="s">
        <v>31</v>
      </c>
      <c r="L72" s="50" t="s">
        <v>31</v>
      </c>
      <c r="M72" s="50">
        <f>J72*(0.95)</f>
        <v>34.124000000000002</v>
      </c>
      <c r="N72" s="50">
        <f t="shared" ref="N72" si="5">J72*1.05</f>
        <v>37.716000000000001</v>
      </c>
      <c r="O72" s="51" t="s">
        <v>601</v>
      </c>
    </row>
    <row r="73" spans="1:15" ht="15.6">
      <c r="A73" s="50" t="s">
        <v>524</v>
      </c>
      <c r="B73" s="305">
        <v>0.3</v>
      </c>
      <c r="D73" s="50" t="s">
        <v>37</v>
      </c>
      <c r="E73" s="50" t="s">
        <v>40</v>
      </c>
      <c r="F73" s="50" t="s">
        <v>29</v>
      </c>
      <c r="G73" s="50" t="s">
        <v>59</v>
      </c>
      <c r="H73" s="306" t="s">
        <v>33</v>
      </c>
      <c r="I73" s="51">
        <v>5</v>
      </c>
      <c r="J73" s="50">
        <f>B73</f>
        <v>0.3</v>
      </c>
      <c r="K73" s="50" t="s">
        <v>31</v>
      </c>
      <c r="L73" s="50" t="s">
        <v>31</v>
      </c>
      <c r="M73" s="50">
        <f>J73*(0.98)</f>
        <v>0.29399999999999998</v>
      </c>
      <c r="N73" s="50">
        <f>J73*1.02</f>
        <v>0.30599999999999999</v>
      </c>
      <c r="O73" s="51" t="s">
        <v>602</v>
      </c>
    </row>
    <row r="74" spans="1:15" ht="15.6">
      <c r="A74" s="305" t="s">
        <v>603</v>
      </c>
      <c r="B74" s="50">
        <v>0.33500000000000002</v>
      </c>
      <c r="C74" s="305"/>
      <c r="D74" s="305" t="s">
        <v>37</v>
      </c>
      <c r="E74" s="305" t="s">
        <v>40</v>
      </c>
      <c r="F74" s="305" t="s">
        <v>29</v>
      </c>
      <c r="G74" s="305" t="s">
        <v>59</v>
      </c>
      <c r="H74" s="306" t="s">
        <v>33</v>
      </c>
      <c r="I74" s="51">
        <v>5</v>
      </c>
      <c r="J74" s="50">
        <f>B74</f>
        <v>0.33500000000000002</v>
      </c>
      <c r="K74" s="50" t="s">
        <v>31</v>
      </c>
      <c r="L74" s="50" t="s">
        <v>31</v>
      </c>
      <c r="M74" s="50">
        <f>J74*(0.98)</f>
        <v>0.32830000000000004</v>
      </c>
      <c r="N74" s="50">
        <f>J74*1.02</f>
        <v>0.3417</v>
      </c>
      <c r="O74" s="51" t="s">
        <v>604</v>
      </c>
    </row>
    <row r="75" spans="1:15" ht="15.6">
      <c r="A75" s="65" t="s">
        <v>38</v>
      </c>
      <c r="B75" s="302">
        <v>8.7200000000000006</v>
      </c>
      <c r="C75" s="302"/>
      <c r="D75" s="302" t="s">
        <v>39</v>
      </c>
      <c r="E75" s="302" t="s">
        <v>40</v>
      </c>
      <c r="F75" s="302" t="s">
        <v>29</v>
      </c>
      <c r="G75" s="302" t="s">
        <v>14</v>
      </c>
      <c r="H75" s="306" t="s">
        <v>33</v>
      </c>
      <c r="I75" s="51">
        <v>5</v>
      </c>
      <c r="J75" s="50">
        <f>B75</f>
        <v>8.7200000000000006</v>
      </c>
      <c r="K75" s="50" t="s">
        <v>31</v>
      </c>
      <c r="L75" s="50" t="s">
        <v>31</v>
      </c>
      <c r="M75" s="50">
        <f>J75*(0.95)</f>
        <v>8.2840000000000007</v>
      </c>
      <c r="N75" s="50">
        <f t="shared" ref="N75" si="6">J75*1.05</f>
        <v>9.1560000000000006</v>
      </c>
      <c r="O75" s="51" t="s">
        <v>605</v>
      </c>
    </row>
    <row r="76" spans="1:15">
      <c r="A76" s="65" t="s">
        <v>38</v>
      </c>
      <c r="B76" s="50">
        <v>10.73</v>
      </c>
      <c r="D76" s="50" t="s">
        <v>39</v>
      </c>
      <c r="E76" s="65" t="s">
        <v>40</v>
      </c>
      <c r="F76" s="50" t="s">
        <v>29</v>
      </c>
      <c r="G76" s="50" t="s">
        <v>14</v>
      </c>
      <c r="H76" s="50" t="s">
        <v>33</v>
      </c>
      <c r="I76" s="50">
        <v>5</v>
      </c>
      <c r="J76" s="50">
        <f>B76</f>
        <v>10.73</v>
      </c>
      <c r="K76" s="50" t="s">
        <v>31</v>
      </c>
      <c r="L76" s="50" t="s">
        <v>31</v>
      </c>
      <c r="M76" s="50">
        <f>J76*(0.97)</f>
        <v>10.408099999999999</v>
      </c>
      <c r="N76" s="50">
        <f>J76*1.03</f>
        <v>11.051900000000002</v>
      </c>
      <c r="O76" s="50" t="s">
        <v>606</v>
      </c>
    </row>
    <row r="77" spans="1:15">
      <c r="A77" s="65" t="str">
        <f>A12</f>
        <v>BMS treatment, SOFC-bat</v>
      </c>
      <c r="B77" s="50">
        <v>1</v>
      </c>
      <c r="D77" s="50" t="s">
        <v>18</v>
      </c>
      <c r="E77" s="65" t="s">
        <v>2</v>
      </c>
      <c r="F77" s="50" t="s">
        <v>476</v>
      </c>
      <c r="G77" s="50" t="s">
        <v>35</v>
      </c>
      <c r="H77" s="50" t="s">
        <v>33</v>
      </c>
      <c r="I77" s="50">
        <v>1</v>
      </c>
      <c r="J77" s="50" t="s">
        <v>31</v>
      </c>
      <c r="K77" s="50" t="s">
        <v>31</v>
      </c>
      <c r="L77" s="50" t="s">
        <v>31</v>
      </c>
      <c r="M77" s="50" t="s">
        <v>31</v>
      </c>
      <c r="N77" s="50" t="s">
        <v>31</v>
      </c>
    </row>
    <row r="78" spans="1:15">
      <c r="A78" s="302" t="str">
        <f>A24</f>
        <v>casing scrap treatment, SOFC-bat</v>
      </c>
      <c r="B78" s="50">
        <v>1</v>
      </c>
      <c r="D78" s="302" t="s">
        <v>18</v>
      </c>
      <c r="E78" s="302" t="s">
        <v>2</v>
      </c>
      <c r="F78" s="50" t="s">
        <v>476</v>
      </c>
      <c r="G78" s="302" t="s">
        <v>59</v>
      </c>
      <c r="H78" s="50" t="s">
        <v>33</v>
      </c>
      <c r="I78" s="50">
        <v>1</v>
      </c>
      <c r="J78" s="50" t="s">
        <v>31</v>
      </c>
      <c r="K78" s="50" t="s">
        <v>31</v>
      </c>
      <c r="L78" s="50" t="s">
        <v>31</v>
      </c>
      <c r="M78" s="50" t="s">
        <v>31</v>
      </c>
      <c r="N78" s="50" t="s">
        <v>31</v>
      </c>
    </row>
    <row r="79" spans="1:15">
      <c r="A79" s="302" t="str">
        <f>A39</f>
        <v>packaging treatment, SOFC-bat</v>
      </c>
      <c r="B79" s="50">
        <v>1</v>
      </c>
      <c r="D79" s="302" t="s">
        <v>18</v>
      </c>
      <c r="E79" s="302" t="s">
        <v>2</v>
      </c>
      <c r="F79" s="50" t="s">
        <v>476</v>
      </c>
      <c r="G79" s="302" t="s">
        <v>35</v>
      </c>
      <c r="H79" s="50" t="s">
        <v>33</v>
      </c>
      <c r="I79" s="50">
        <v>1</v>
      </c>
      <c r="J79" s="50" t="s">
        <v>31</v>
      </c>
      <c r="K79" s="50" t="s">
        <v>31</v>
      </c>
      <c r="L79" s="50" t="s">
        <v>31</v>
      </c>
      <c r="M79" s="50" t="s">
        <v>31</v>
      </c>
      <c r="N79" s="50" t="s">
        <v>31</v>
      </c>
    </row>
    <row r="80" spans="1:15">
      <c r="A80" s="302" t="s">
        <v>592</v>
      </c>
      <c r="B80" s="50">
        <v>1</v>
      </c>
      <c r="D80" s="302" t="s">
        <v>18</v>
      </c>
      <c r="E80" s="302" t="s">
        <v>2</v>
      </c>
      <c r="F80" s="50" t="s">
        <v>476</v>
      </c>
      <c r="G80" s="302" t="s">
        <v>59</v>
      </c>
      <c r="H80" s="50" t="s">
        <v>33</v>
      </c>
      <c r="I80" s="50">
        <v>1</v>
      </c>
      <c r="J80" s="50" t="s">
        <v>31</v>
      </c>
      <c r="K80" s="50" t="s">
        <v>31</v>
      </c>
      <c r="L80" s="50" t="s">
        <v>31</v>
      </c>
      <c r="M80" s="50" t="s">
        <v>31</v>
      </c>
      <c r="N80" s="50" t="s">
        <v>31</v>
      </c>
    </row>
    <row r="81" spans="1:21" s="54" customFormat="1" ht="15.6">
      <c r="A81" s="291" t="s">
        <v>5</v>
      </c>
      <c r="B81" s="56" t="s">
        <v>607</v>
      </c>
      <c r="C81" s="56"/>
      <c r="D81" s="55"/>
      <c r="U81" s="50"/>
    </row>
    <row r="82" spans="1:21">
      <c r="A82" s="50" t="s">
        <v>7</v>
      </c>
      <c r="B82" s="50" t="s">
        <v>476</v>
      </c>
    </row>
    <row r="83" spans="1:21">
      <c r="A83" s="50" t="s">
        <v>9</v>
      </c>
      <c r="B83" s="50" t="s">
        <v>608</v>
      </c>
    </row>
    <row r="84" spans="1:21" ht="15.75" customHeight="1">
      <c r="A84" s="50" t="s">
        <v>11</v>
      </c>
      <c r="B84" s="50" t="s">
        <v>609</v>
      </c>
    </row>
    <row r="85" spans="1:21">
      <c r="A85" s="50" t="s">
        <v>13</v>
      </c>
      <c r="B85" s="50" t="s">
        <v>35</v>
      </c>
    </row>
    <row r="86" spans="1:21">
      <c r="A86" s="50" t="s">
        <v>15</v>
      </c>
      <c r="B86" s="50">
        <v>1</v>
      </c>
    </row>
    <row r="87" spans="1:21">
      <c r="A87" s="50" t="s">
        <v>16</v>
      </c>
      <c r="B87" s="50" t="s">
        <v>17</v>
      </c>
    </row>
    <row r="88" spans="1:21">
      <c r="A88" s="50" t="s">
        <v>18</v>
      </c>
      <c r="B88" s="50" t="s">
        <v>18</v>
      </c>
      <c r="E88" s="50" t="s">
        <v>185</v>
      </c>
    </row>
    <row r="89" spans="1:21" ht="15.6">
      <c r="A89" s="53" t="s">
        <v>19</v>
      </c>
    </row>
    <row r="90" spans="1:21" ht="15.6">
      <c r="A90" s="53" t="s">
        <v>20</v>
      </c>
      <c r="B90" s="53" t="s">
        <v>21</v>
      </c>
      <c r="C90" s="53" t="s">
        <v>186</v>
      </c>
      <c r="D90" s="53" t="s">
        <v>18</v>
      </c>
      <c r="E90" s="53" t="s">
        <v>22</v>
      </c>
      <c r="F90" s="53" t="s">
        <v>7</v>
      </c>
      <c r="G90" s="53" t="s">
        <v>13</v>
      </c>
      <c r="H90" s="53" t="s">
        <v>16</v>
      </c>
      <c r="I90" s="53" t="s">
        <v>23</v>
      </c>
      <c r="J90" s="53" t="s">
        <v>24</v>
      </c>
      <c r="K90" s="53" t="s">
        <v>25</v>
      </c>
      <c r="L90" s="53" t="s">
        <v>26</v>
      </c>
      <c r="M90" s="53" t="s">
        <v>27</v>
      </c>
      <c r="N90" s="53" t="s">
        <v>28</v>
      </c>
      <c r="O90" s="53" t="s">
        <v>11</v>
      </c>
    </row>
    <row r="91" spans="1:21" ht="15.6">
      <c r="A91" s="51" t="str">
        <f>B81</f>
        <v>Multi-step mechanical treatment of pyrolysed modules, LiO, SOFC-bat</v>
      </c>
      <c r="B91" s="51">
        <v>1</v>
      </c>
      <c r="C91" s="51"/>
      <c r="D91" s="51" t="s">
        <v>18</v>
      </c>
      <c r="E91" s="50" t="s">
        <v>2</v>
      </c>
      <c r="F91" s="50" t="s">
        <v>476</v>
      </c>
      <c r="G91" s="50" t="s">
        <v>35</v>
      </c>
      <c r="H91" s="50" t="s">
        <v>30</v>
      </c>
      <c r="I91" s="50">
        <v>0</v>
      </c>
      <c r="J91" s="51" t="s">
        <v>31</v>
      </c>
      <c r="K91" s="51" t="s">
        <v>31</v>
      </c>
      <c r="L91" s="51" t="s">
        <v>31</v>
      </c>
      <c r="M91" s="51" t="s">
        <v>31</v>
      </c>
      <c r="N91" s="51" t="s">
        <v>31</v>
      </c>
      <c r="O91" s="50" t="s">
        <v>609</v>
      </c>
    </row>
    <row r="92" spans="1:21" ht="15.6">
      <c r="A92" s="307" t="s">
        <v>38</v>
      </c>
      <c r="B92" s="50">
        <v>1.02</v>
      </c>
      <c r="D92" s="307" t="s">
        <v>39</v>
      </c>
      <c r="E92" s="307" t="s">
        <v>40</v>
      </c>
      <c r="F92" s="50" t="s">
        <v>29</v>
      </c>
      <c r="G92" s="307" t="s">
        <v>14</v>
      </c>
      <c r="H92" s="50" t="s">
        <v>33</v>
      </c>
      <c r="I92" s="51">
        <v>5</v>
      </c>
      <c r="J92" s="50">
        <f>B92</f>
        <v>1.02</v>
      </c>
      <c r="K92" s="50" t="s">
        <v>31</v>
      </c>
      <c r="L92" s="50" t="s">
        <v>31</v>
      </c>
      <c r="M92" s="50">
        <f>J92*(0.97)</f>
        <v>0.98939999999999995</v>
      </c>
      <c r="N92" s="50">
        <f>J92*1.03</f>
        <v>1.0506</v>
      </c>
      <c r="O92" s="50" t="s">
        <v>606</v>
      </c>
    </row>
    <row r="93" spans="1:21" ht="15.6">
      <c r="A93" s="302" t="s">
        <v>38</v>
      </c>
      <c r="B93" s="50">
        <v>54.262999999999998</v>
      </c>
      <c r="D93" s="302" t="s">
        <v>39</v>
      </c>
      <c r="E93" s="302" t="s">
        <v>40</v>
      </c>
      <c r="F93" s="50" t="s">
        <v>29</v>
      </c>
      <c r="G93" s="302" t="s">
        <v>14</v>
      </c>
      <c r="H93" s="50" t="s">
        <v>33</v>
      </c>
      <c r="I93" s="51">
        <v>5</v>
      </c>
      <c r="J93" s="50">
        <f>B93</f>
        <v>54.262999999999998</v>
      </c>
      <c r="K93" s="50" t="s">
        <v>31</v>
      </c>
      <c r="L93" s="50" t="s">
        <v>31</v>
      </c>
      <c r="M93" s="50">
        <f>J93*(0.95)</f>
        <v>51.549849999999999</v>
      </c>
      <c r="N93" s="50">
        <f t="shared" ref="N93" si="7">J93*1.05</f>
        <v>56.976149999999997</v>
      </c>
      <c r="O93" s="50" t="s">
        <v>610</v>
      </c>
    </row>
    <row r="94" spans="1:21" s="54" customFormat="1" ht="15.6">
      <c r="A94" s="291" t="s">
        <v>5</v>
      </c>
      <c r="B94" s="308" t="s">
        <v>611</v>
      </c>
      <c r="C94" s="56"/>
      <c r="D94" s="55"/>
      <c r="U94" s="50"/>
    </row>
    <row r="95" spans="1:21">
      <c r="A95" s="50" t="s">
        <v>7</v>
      </c>
      <c r="B95" s="50" t="s">
        <v>476</v>
      </c>
    </row>
    <row r="96" spans="1:21">
      <c r="A96" s="50" t="s">
        <v>9</v>
      </c>
      <c r="B96" s="50" t="s">
        <v>612</v>
      </c>
    </row>
    <row r="97" spans="1:21" ht="15.75" customHeight="1">
      <c r="A97" s="50" t="s">
        <v>11</v>
      </c>
      <c r="B97" s="50" t="s">
        <v>613</v>
      </c>
    </row>
    <row r="98" spans="1:21">
      <c r="A98" s="50" t="s">
        <v>13</v>
      </c>
      <c r="B98" s="50" t="s">
        <v>59</v>
      </c>
    </row>
    <row r="99" spans="1:21">
      <c r="A99" s="50" t="s">
        <v>15</v>
      </c>
      <c r="B99" s="50">
        <v>1</v>
      </c>
    </row>
    <row r="100" spans="1:21">
      <c r="A100" s="50" t="s">
        <v>16</v>
      </c>
      <c r="B100" s="50" t="s">
        <v>17</v>
      </c>
    </row>
    <row r="101" spans="1:21">
      <c r="A101" s="50" t="s">
        <v>18</v>
      </c>
      <c r="B101" s="50" t="s">
        <v>18</v>
      </c>
      <c r="E101" s="50" t="s">
        <v>185</v>
      </c>
    </row>
    <row r="102" spans="1:21" ht="15.6">
      <c r="A102" s="53" t="s">
        <v>19</v>
      </c>
    </row>
    <row r="103" spans="1:21" ht="15.6">
      <c r="A103" s="53" t="s">
        <v>20</v>
      </c>
      <c r="B103" s="53" t="s">
        <v>21</v>
      </c>
      <c r="C103" s="53" t="s">
        <v>186</v>
      </c>
      <c r="D103" s="53" t="s">
        <v>18</v>
      </c>
      <c r="E103" s="53" t="s">
        <v>22</v>
      </c>
      <c r="F103" s="53" t="s">
        <v>7</v>
      </c>
      <c r="G103" s="53" t="s">
        <v>13</v>
      </c>
      <c r="H103" s="53" t="s">
        <v>16</v>
      </c>
      <c r="I103" s="53" t="s">
        <v>23</v>
      </c>
      <c r="J103" s="53" t="s">
        <v>24</v>
      </c>
      <c r="K103" s="53" t="s">
        <v>25</v>
      </c>
      <c r="L103" s="53" t="s">
        <v>26</v>
      </c>
      <c r="M103" s="53" t="s">
        <v>27</v>
      </c>
      <c r="N103" s="53" t="s">
        <v>28</v>
      </c>
      <c r="O103" s="53" t="s">
        <v>11</v>
      </c>
    </row>
    <row r="104" spans="1:21" ht="15.6">
      <c r="A104" s="51" t="str">
        <f>B94</f>
        <v>active material and cu/al fractions treatment, LiO, SOFC-bat</v>
      </c>
      <c r="B104" s="51">
        <v>1</v>
      </c>
      <c r="C104" s="51"/>
      <c r="D104" s="51" t="s">
        <v>18</v>
      </c>
      <c r="E104" s="50" t="s">
        <v>2</v>
      </c>
      <c r="F104" s="50" t="s">
        <v>476</v>
      </c>
      <c r="G104" s="51" t="s">
        <v>59</v>
      </c>
      <c r="H104" s="50" t="s">
        <v>30</v>
      </c>
      <c r="I104" s="50">
        <v>0</v>
      </c>
      <c r="J104" s="51" t="s">
        <v>31</v>
      </c>
      <c r="K104" s="51" t="s">
        <v>31</v>
      </c>
      <c r="L104" s="51" t="s">
        <v>31</v>
      </c>
      <c r="M104" s="51" t="s">
        <v>31</v>
      </c>
      <c r="N104" s="51" t="s">
        <v>31</v>
      </c>
      <c r="O104" s="50" t="s">
        <v>613</v>
      </c>
    </row>
    <row r="105" spans="1:21" ht="15.6">
      <c r="A105" s="51" t="s">
        <v>614</v>
      </c>
      <c r="B105" s="51">
        <f>-1293.98*(6.75*0.198/(6.75*0.198+0.34*26.517))</f>
        <v>-167.05539939027923</v>
      </c>
      <c r="C105" s="294" t="s">
        <v>615</v>
      </c>
      <c r="D105" s="50" t="s">
        <v>37</v>
      </c>
      <c r="E105" s="302" t="s">
        <v>40</v>
      </c>
      <c r="F105" s="50" t="s">
        <v>29</v>
      </c>
      <c r="G105" s="51" t="s">
        <v>59</v>
      </c>
      <c r="H105" s="50" t="s">
        <v>33</v>
      </c>
      <c r="I105" s="50">
        <v>5</v>
      </c>
      <c r="J105" s="50">
        <f>B105</f>
        <v>-167.05539939027923</v>
      </c>
      <c r="K105" s="50" t="s">
        <v>31</v>
      </c>
      <c r="L105" s="50" t="s">
        <v>31</v>
      </c>
      <c r="M105" s="50">
        <f>J105*1.5</f>
        <v>-250.58309908541884</v>
      </c>
      <c r="N105" s="50">
        <f>J105*0.95</f>
        <v>-158.70262942076528</v>
      </c>
      <c r="O105" s="50" t="s">
        <v>616</v>
      </c>
    </row>
    <row r="106" spans="1:21">
      <c r="A106" t="s">
        <v>507</v>
      </c>
      <c r="B106" s="50">
        <f>0.95*517.59</f>
        <v>491.71050000000002</v>
      </c>
      <c r="D106" s="50" t="s">
        <v>37</v>
      </c>
      <c r="E106" s="302" t="s">
        <v>40</v>
      </c>
      <c r="F106" s="50" t="s">
        <v>29</v>
      </c>
      <c r="G106" s="302" t="s">
        <v>59</v>
      </c>
      <c r="H106" s="50" t="s">
        <v>136</v>
      </c>
      <c r="I106" s="50">
        <v>5</v>
      </c>
      <c r="J106" s="50">
        <f>B106</f>
        <v>491.71050000000002</v>
      </c>
      <c r="K106" s="50" t="s">
        <v>31</v>
      </c>
      <c r="L106" s="50" t="s">
        <v>31</v>
      </c>
      <c r="M106" s="50">
        <f>J106*(0.95)</f>
        <v>467.12497500000001</v>
      </c>
      <c r="N106" s="50">
        <f>J106*1.05</f>
        <v>516.2960250000001</v>
      </c>
      <c r="O106" s="50" t="s">
        <v>617</v>
      </c>
    </row>
    <row r="107" spans="1:21" ht="29.1">
      <c r="A107" s="309" t="s">
        <v>207</v>
      </c>
      <c r="B107" s="50">
        <v>972.65</v>
      </c>
      <c r="C107" s="294" t="s">
        <v>208</v>
      </c>
      <c r="D107" s="50" t="s">
        <v>37</v>
      </c>
      <c r="E107" s="302" t="s">
        <v>40</v>
      </c>
      <c r="F107" s="50" t="s">
        <v>29</v>
      </c>
      <c r="G107" s="302" t="s">
        <v>82</v>
      </c>
      <c r="H107" s="50" t="s">
        <v>33</v>
      </c>
      <c r="I107" s="51">
        <v>5</v>
      </c>
      <c r="J107" s="50">
        <f>B107</f>
        <v>972.65</v>
      </c>
      <c r="K107" s="50" t="s">
        <v>31</v>
      </c>
      <c r="L107" s="50" t="s">
        <v>31</v>
      </c>
      <c r="M107" s="50">
        <f>J107*(0.95)</f>
        <v>924.01749999999993</v>
      </c>
      <c r="N107" s="50">
        <f>J107*1.05</f>
        <v>1021.2825</v>
      </c>
      <c r="O107" s="50" t="s">
        <v>618</v>
      </c>
    </row>
    <row r="108" spans="1:21">
      <c r="A108" s="302" t="s">
        <v>205</v>
      </c>
      <c r="B108" s="50">
        <f>0.7*0.32*972.65</f>
        <v>217.87359999999998</v>
      </c>
      <c r="C108" s="294" t="s">
        <v>203</v>
      </c>
      <c r="D108" s="50" t="s">
        <v>37</v>
      </c>
      <c r="E108" s="302" t="s">
        <v>40</v>
      </c>
      <c r="F108" s="50" t="s">
        <v>29</v>
      </c>
      <c r="G108" s="302" t="s">
        <v>59</v>
      </c>
      <c r="H108" s="50" t="s">
        <v>136</v>
      </c>
      <c r="I108" s="50">
        <v>5</v>
      </c>
      <c r="J108" s="50">
        <v>21.584</v>
      </c>
      <c r="K108" s="50" t="s">
        <v>31</v>
      </c>
      <c r="L108" s="50" t="s">
        <v>31</v>
      </c>
      <c r="M108" s="50">
        <v>20.504799999999999</v>
      </c>
      <c r="N108" s="50">
        <v>22.6632</v>
      </c>
      <c r="O108" s="50" t="s">
        <v>619</v>
      </c>
    </row>
    <row r="109" spans="1:21">
      <c r="A109" s="302" t="s">
        <v>120</v>
      </c>
      <c r="B109" s="50">
        <f>0.98*0.49*972.65</f>
        <v>467.06652999999994</v>
      </c>
      <c r="C109" s="294" t="s">
        <v>620</v>
      </c>
      <c r="D109" s="50" t="s">
        <v>37</v>
      </c>
      <c r="E109" s="302" t="s">
        <v>40</v>
      </c>
      <c r="F109" s="50" t="s">
        <v>29</v>
      </c>
      <c r="G109" s="302" t="s">
        <v>59</v>
      </c>
      <c r="H109" s="50" t="s">
        <v>136</v>
      </c>
      <c r="I109" s="50">
        <v>5</v>
      </c>
      <c r="J109" s="50">
        <v>250.81139999999999</v>
      </c>
      <c r="K109" s="50" t="s">
        <v>31</v>
      </c>
      <c r="L109" s="50" t="s">
        <v>31</v>
      </c>
      <c r="M109" s="50">
        <v>238.27082999999999</v>
      </c>
      <c r="N109" s="50">
        <v>263.35196999999999</v>
      </c>
      <c r="O109" s="50" t="s">
        <v>621</v>
      </c>
    </row>
    <row r="110" spans="1:21">
      <c r="A110" s="302" t="s">
        <v>622</v>
      </c>
      <c r="B110" s="310">
        <f>-(972.65-B109-B108+1293.98-B106-194.1)</f>
        <v>-895.87936999999999</v>
      </c>
      <c r="C110" s="294" t="s">
        <v>623</v>
      </c>
      <c r="D110" s="50" t="s">
        <v>37</v>
      </c>
      <c r="E110" s="302" t="s">
        <v>40</v>
      </c>
      <c r="F110" s="50" t="s">
        <v>29</v>
      </c>
      <c r="G110" s="302" t="s">
        <v>82</v>
      </c>
      <c r="H110" s="50" t="s">
        <v>33</v>
      </c>
      <c r="I110" s="50">
        <v>5</v>
      </c>
      <c r="J110" s="310">
        <v>-252.98399999999998</v>
      </c>
      <c r="K110" s="50" t="s">
        <v>31</v>
      </c>
      <c r="L110" s="50" t="s">
        <v>31</v>
      </c>
      <c r="M110" s="50">
        <v>-265.63319999999999</v>
      </c>
      <c r="N110" s="50">
        <v>-240.33479999999997</v>
      </c>
      <c r="O110" s="50" t="s">
        <v>624</v>
      </c>
    </row>
    <row r="111" spans="1:21" s="54" customFormat="1" ht="15.6">
      <c r="A111" s="291" t="s">
        <v>5</v>
      </c>
      <c r="B111" s="56" t="s">
        <v>625</v>
      </c>
      <c r="C111" s="56"/>
      <c r="D111" s="55"/>
      <c r="U111" s="50"/>
    </row>
    <row r="112" spans="1:21">
      <c r="A112" s="50" t="s">
        <v>7</v>
      </c>
      <c r="B112" s="50" t="s">
        <v>476</v>
      </c>
    </row>
    <row r="113" spans="1:21">
      <c r="A113" s="50" t="s">
        <v>9</v>
      </c>
      <c r="B113" s="50" t="s">
        <v>626</v>
      </c>
    </row>
    <row r="114" spans="1:21" ht="15.75" customHeight="1">
      <c r="A114" s="50" t="s">
        <v>11</v>
      </c>
      <c r="B114" s="50" t="s">
        <v>573</v>
      </c>
    </row>
    <row r="115" spans="1:21">
      <c r="A115" s="50" t="s">
        <v>13</v>
      </c>
      <c r="B115" s="50" t="s">
        <v>59</v>
      </c>
    </row>
    <row r="116" spans="1:21">
      <c r="A116" s="50" t="s">
        <v>15</v>
      </c>
      <c r="B116" s="50">
        <v>1</v>
      </c>
    </row>
    <row r="117" spans="1:21">
      <c r="A117" s="50" t="s">
        <v>16</v>
      </c>
      <c r="B117" s="50" t="s">
        <v>17</v>
      </c>
    </row>
    <row r="118" spans="1:21">
      <c r="A118" s="50" t="s">
        <v>18</v>
      </c>
      <c r="B118" s="50" t="s">
        <v>18</v>
      </c>
      <c r="E118" s="50" t="s">
        <v>185</v>
      </c>
    </row>
    <row r="119" spans="1:21" ht="15.6">
      <c r="A119" s="53" t="s">
        <v>19</v>
      </c>
    </row>
    <row r="120" spans="1:21" ht="15.6">
      <c r="A120" s="53" t="s">
        <v>20</v>
      </c>
      <c r="B120" s="53" t="s">
        <v>21</v>
      </c>
      <c r="C120" s="53" t="s">
        <v>186</v>
      </c>
      <c r="D120" s="53" t="s">
        <v>18</v>
      </c>
      <c r="E120" s="53" t="s">
        <v>22</v>
      </c>
      <c r="F120" s="53" t="s">
        <v>7</v>
      </c>
      <c r="G120" s="53" t="s">
        <v>13</v>
      </c>
      <c r="H120" s="53" t="s">
        <v>16</v>
      </c>
      <c r="I120" s="53" t="s">
        <v>23</v>
      </c>
      <c r="J120" s="53" t="s">
        <v>24</v>
      </c>
      <c r="K120" s="53" t="s">
        <v>25</v>
      </c>
      <c r="L120" s="53" t="s">
        <v>26</v>
      </c>
      <c r="M120" s="53" t="s">
        <v>27</v>
      </c>
      <c r="N120" s="53" t="s">
        <v>28</v>
      </c>
      <c r="O120" s="53" t="s">
        <v>11</v>
      </c>
    </row>
    <row r="121" spans="1:21" ht="15.6">
      <c r="A121" s="51" t="str">
        <f>B111</f>
        <v>treatment of battery LiO, SOFC-bat</v>
      </c>
      <c r="B121" s="51">
        <v>1</v>
      </c>
      <c r="C121" s="51"/>
      <c r="D121" s="51" t="s">
        <v>18</v>
      </c>
      <c r="E121" s="50" t="s">
        <v>2</v>
      </c>
      <c r="F121" s="50" t="s">
        <v>476</v>
      </c>
      <c r="G121" s="51" t="s">
        <v>59</v>
      </c>
      <c r="H121" s="50" t="s">
        <v>30</v>
      </c>
      <c r="I121" s="50">
        <v>0</v>
      </c>
      <c r="J121" s="51" t="s">
        <v>31</v>
      </c>
      <c r="K121" s="51" t="s">
        <v>31</v>
      </c>
      <c r="L121" s="51" t="s">
        <v>31</v>
      </c>
      <c r="M121" s="51" t="s">
        <v>31</v>
      </c>
      <c r="N121" s="51" t="s">
        <v>31</v>
      </c>
      <c r="O121" s="50" t="s">
        <v>627</v>
      </c>
    </row>
    <row r="122" spans="1:21" ht="15.6">
      <c r="A122" s="51" t="str">
        <f>A71</f>
        <v>LiO battery pack dismantling, SOFC-bat</v>
      </c>
      <c r="B122" s="51">
        <v>1</v>
      </c>
      <c r="C122" s="51"/>
      <c r="D122" s="51" t="s">
        <v>18</v>
      </c>
      <c r="E122" s="51" t="s">
        <v>2</v>
      </c>
      <c r="F122" s="50" t="s">
        <v>476</v>
      </c>
      <c r="G122" s="51" t="s">
        <v>35</v>
      </c>
      <c r="H122" s="50" t="s">
        <v>33</v>
      </c>
      <c r="I122" s="50">
        <v>1</v>
      </c>
      <c r="J122" s="51" t="s">
        <v>31</v>
      </c>
      <c r="K122" s="51" t="s">
        <v>31</v>
      </c>
      <c r="L122" s="51" t="s">
        <v>31</v>
      </c>
      <c r="M122" s="51" t="s">
        <v>31</v>
      </c>
      <c r="N122" s="51" t="s">
        <v>31</v>
      </c>
      <c r="O122" s="50" t="s">
        <v>628</v>
      </c>
    </row>
    <row r="123" spans="1:21" ht="15.6">
      <c r="A123" s="51" t="str">
        <f>A91</f>
        <v>Multi-step mechanical treatment of pyrolysed modules, LiO, SOFC-bat</v>
      </c>
      <c r="B123" s="51">
        <v>1</v>
      </c>
      <c r="C123" s="51"/>
      <c r="D123" s="51" t="s">
        <v>18</v>
      </c>
      <c r="E123" s="50" t="s">
        <v>2</v>
      </c>
      <c r="F123" s="50" t="s">
        <v>476</v>
      </c>
      <c r="G123" s="51" t="s">
        <v>35</v>
      </c>
      <c r="H123" s="50" t="s">
        <v>33</v>
      </c>
      <c r="I123" s="50">
        <v>1</v>
      </c>
      <c r="J123" s="51" t="s">
        <v>31</v>
      </c>
      <c r="K123" s="51" t="s">
        <v>31</v>
      </c>
      <c r="L123" s="51" t="s">
        <v>31</v>
      </c>
      <c r="M123" s="51" t="s">
        <v>31</v>
      </c>
      <c r="N123" s="51" t="s">
        <v>31</v>
      </c>
    </row>
    <row r="124" spans="1:21" s="306" customFormat="1" ht="15.6">
      <c r="A124" s="51" t="str">
        <f>A104</f>
        <v>active material and cu/al fractions treatment, LiO, SOFC-bat</v>
      </c>
      <c r="B124" s="51">
        <v>1</v>
      </c>
      <c r="C124" s="51"/>
      <c r="D124" s="51" t="s">
        <v>18</v>
      </c>
      <c r="E124" s="51" t="s">
        <v>2</v>
      </c>
      <c r="F124" s="51" t="s">
        <v>476</v>
      </c>
      <c r="G124" s="51" t="s">
        <v>59</v>
      </c>
      <c r="H124" s="50" t="s">
        <v>33</v>
      </c>
      <c r="I124" s="50">
        <v>1</v>
      </c>
      <c r="J124" s="51" t="s">
        <v>31</v>
      </c>
      <c r="K124" s="51" t="s">
        <v>31</v>
      </c>
      <c r="L124" s="51" t="s">
        <v>31</v>
      </c>
      <c r="M124" s="51" t="s">
        <v>31</v>
      </c>
      <c r="N124" s="51" t="s">
        <v>31</v>
      </c>
      <c r="O124" s="306" t="s">
        <v>629</v>
      </c>
      <c r="U124" s="50"/>
    </row>
    <row r="125" spans="1:21" ht="15.6">
      <c r="B125" s="305"/>
      <c r="C125" s="305"/>
      <c r="D125" s="305"/>
      <c r="E125" s="305"/>
      <c r="F125" s="305"/>
      <c r="G125" s="305"/>
      <c r="H125" s="306"/>
      <c r="I125" s="311"/>
      <c r="J125" s="311"/>
      <c r="K125" s="311"/>
      <c r="L125" s="311"/>
      <c r="M125" s="306"/>
      <c r="N125" s="306"/>
    </row>
    <row r="126" spans="1:21">
      <c r="H126" s="306"/>
    </row>
    <row r="127" spans="1:21">
      <c r="B127" s="302"/>
      <c r="C127" s="302"/>
      <c r="D127" s="302"/>
      <c r="E127" s="302"/>
      <c r="F127" s="302"/>
      <c r="G127" s="302"/>
      <c r="H127" s="306"/>
    </row>
    <row r="128" spans="1:21">
      <c r="G128" s="312"/>
    </row>
    <row r="129" spans="7:9">
      <c r="G129" s="312"/>
    </row>
    <row r="130" spans="7:9">
      <c r="G130" s="313"/>
      <c r="H130" s="313"/>
      <c r="I130" s="313"/>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C579-5841-468E-8589-95550A31300B}">
  <dimension ref="A1:U239"/>
  <sheetViews>
    <sheetView zoomScale="70" zoomScaleNormal="70" workbookViewId="0">
      <selection activeCell="A12" sqref="A12"/>
    </sheetView>
  </sheetViews>
  <sheetFormatPr defaultColWidth="8.7109375" defaultRowHeight="14.45"/>
  <cols>
    <col min="1" max="1" width="86.7109375" style="50" customWidth="1"/>
    <col min="2" max="3" width="19.85546875" style="284" customWidth="1"/>
    <col min="4" max="4" width="10.140625" style="50" customWidth="1"/>
    <col min="5" max="5" width="31" style="50" bestFit="1" customWidth="1"/>
    <col min="6" max="6" width="25.5703125" style="50" customWidth="1"/>
    <col min="7" max="8" width="8.7109375" style="50"/>
    <col min="9" max="9" width="8.7109375" style="285"/>
    <col min="10" max="10" width="10.42578125" style="285" customWidth="1"/>
    <col min="11" max="12" width="8.7109375" style="285"/>
    <col min="13" max="14" width="11.85546875" style="285" bestFit="1" customWidth="1"/>
    <col min="15" max="15" width="40.140625" style="50" bestFit="1" customWidth="1"/>
    <col min="16" max="16" width="8.7109375" style="50"/>
    <col min="17" max="17" width="16.5703125" style="50" customWidth="1"/>
    <col min="18" max="16384" width="8.7109375" style="50"/>
  </cols>
  <sheetData>
    <row r="1" spans="1:15">
      <c r="A1" s="50" t="s">
        <v>0</v>
      </c>
      <c r="B1" s="284">
        <v>14</v>
      </c>
      <c r="D1" s="66" t="s">
        <v>408</v>
      </c>
    </row>
    <row r="2" spans="1:15" s="54" customFormat="1" ht="15.6">
      <c r="A2" s="56" t="s">
        <v>5</v>
      </c>
      <c r="B2" s="56" t="s">
        <v>435</v>
      </c>
      <c r="C2" s="56"/>
      <c r="D2" s="55"/>
    </row>
    <row r="3" spans="1:15">
      <c r="A3" s="50" t="s">
        <v>7</v>
      </c>
      <c r="B3" s="50" t="s">
        <v>630</v>
      </c>
      <c r="C3" s="50"/>
      <c r="I3" s="50"/>
      <c r="J3" s="50"/>
      <c r="K3" s="50"/>
      <c r="L3" s="50"/>
      <c r="M3" s="50"/>
      <c r="N3" s="50"/>
    </row>
    <row r="4" spans="1:15">
      <c r="A4" s="50" t="s">
        <v>9</v>
      </c>
      <c r="B4" s="50" t="s">
        <v>631</v>
      </c>
      <c r="C4" s="50"/>
      <c r="I4" s="50"/>
      <c r="J4" s="50"/>
      <c r="K4" s="50"/>
      <c r="L4" s="50"/>
      <c r="M4" s="50"/>
      <c r="N4" s="50"/>
    </row>
    <row r="5" spans="1:15">
      <c r="A5" s="50" t="s">
        <v>11</v>
      </c>
      <c r="B5" s="50" t="s">
        <v>632</v>
      </c>
      <c r="C5" s="50"/>
      <c r="I5" s="50"/>
      <c r="J5" s="50"/>
      <c r="K5" s="50"/>
      <c r="L5" s="50"/>
      <c r="M5" s="50"/>
      <c r="N5" s="50"/>
    </row>
    <row r="6" spans="1:15">
      <c r="A6" s="50" t="s">
        <v>13</v>
      </c>
      <c r="B6" s="284" t="s">
        <v>59</v>
      </c>
    </row>
    <row r="7" spans="1:15">
      <c r="A7" s="50" t="s">
        <v>15</v>
      </c>
      <c r="B7" s="50">
        <v>1</v>
      </c>
      <c r="C7" s="50"/>
    </row>
    <row r="8" spans="1:15">
      <c r="A8" s="50" t="s">
        <v>16</v>
      </c>
      <c r="B8" s="50" t="s">
        <v>17</v>
      </c>
      <c r="C8" s="50"/>
    </row>
    <row r="9" spans="1:15">
      <c r="A9" s="50" t="s">
        <v>18</v>
      </c>
      <c r="B9" s="50" t="s">
        <v>18</v>
      </c>
      <c r="C9" s="50"/>
    </row>
    <row r="10" spans="1:15" ht="15.6">
      <c r="A10" s="53" t="s">
        <v>19</v>
      </c>
      <c r="B10" s="50"/>
      <c r="C10" s="50"/>
    </row>
    <row r="11" spans="1:15" ht="15.6">
      <c r="A11" s="53" t="s">
        <v>20</v>
      </c>
      <c r="B11" s="286" t="s">
        <v>21</v>
      </c>
      <c r="C11" s="286" t="s">
        <v>186</v>
      </c>
      <c r="D11" s="53" t="s">
        <v>18</v>
      </c>
      <c r="E11" s="53" t="s">
        <v>22</v>
      </c>
      <c r="F11" s="53" t="s">
        <v>7</v>
      </c>
      <c r="G11" s="53" t="s">
        <v>13</v>
      </c>
      <c r="H11" s="53" t="s">
        <v>16</v>
      </c>
      <c r="I11" s="287" t="s">
        <v>23</v>
      </c>
      <c r="J11" s="287" t="s">
        <v>24</v>
      </c>
      <c r="K11" s="287" t="s">
        <v>25</v>
      </c>
      <c r="L11" s="287" t="s">
        <v>26</v>
      </c>
      <c r="M11" s="287" t="s">
        <v>27</v>
      </c>
      <c r="N11" s="287" t="s">
        <v>28</v>
      </c>
      <c r="O11" s="53" t="s">
        <v>11</v>
      </c>
    </row>
    <row r="12" spans="1:15" ht="15.6">
      <c r="A12" s="51" t="str">
        <f>B2</f>
        <v>production of SOFC plant</v>
      </c>
      <c r="B12" s="289">
        <v>1</v>
      </c>
      <c r="C12" s="289"/>
      <c r="D12" s="50" t="str">
        <f>B9</f>
        <v>unit</v>
      </c>
      <c r="E12" s="51" t="s">
        <v>2</v>
      </c>
      <c r="F12" s="50" t="str">
        <f>B3</f>
        <v>fuel cell</v>
      </c>
      <c r="G12" s="51" t="s">
        <v>59</v>
      </c>
      <c r="H12" s="51" t="s">
        <v>30</v>
      </c>
      <c r="I12" s="290">
        <v>0</v>
      </c>
      <c r="J12" s="290" t="s">
        <v>31</v>
      </c>
      <c r="K12" s="290" t="s">
        <v>31</v>
      </c>
      <c r="L12" s="290" t="s">
        <v>31</v>
      </c>
      <c r="M12" s="290" t="s">
        <v>31</v>
      </c>
      <c r="N12" s="290" t="s">
        <v>31</v>
      </c>
      <c r="O12" s="51" t="s">
        <v>478</v>
      </c>
    </row>
    <row r="13" spans="1:15" ht="15.6">
      <c r="A13" s="51" t="s">
        <v>633</v>
      </c>
      <c r="B13" s="289">
        <v>1</v>
      </c>
      <c r="C13" s="289"/>
      <c r="D13" s="50" t="s">
        <v>18</v>
      </c>
      <c r="E13" s="51" t="s">
        <v>2</v>
      </c>
      <c r="F13" s="50" t="s">
        <v>630</v>
      </c>
      <c r="G13" s="51" t="s">
        <v>59</v>
      </c>
      <c r="H13" s="51" t="s">
        <v>33</v>
      </c>
      <c r="I13" s="290">
        <v>0</v>
      </c>
      <c r="J13" s="290" t="s">
        <v>31</v>
      </c>
      <c r="K13" s="290" t="s">
        <v>31</v>
      </c>
      <c r="L13" s="290" t="s">
        <v>31</v>
      </c>
      <c r="M13" s="290" t="s">
        <v>31</v>
      </c>
      <c r="N13" s="290" t="s">
        <v>31</v>
      </c>
      <c r="O13" s="51"/>
    </row>
    <row r="14" spans="1:15" ht="15.6">
      <c r="A14" s="51" t="s">
        <v>634</v>
      </c>
      <c r="B14" s="289">
        <v>1</v>
      </c>
      <c r="C14" s="289"/>
      <c r="D14" s="50" t="s">
        <v>18</v>
      </c>
      <c r="E14" s="51" t="s">
        <v>2</v>
      </c>
      <c r="F14" s="50" t="s">
        <v>630</v>
      </c>
      <c r="G14" s="51" t="s">
        <v>59</v>
      </c>
      <c r="H14" s="51" t="s">
        <v>33</v>
      </c>
      <c r="I14" s="290">
        <v>0</v>
      </c>
      <c r="J14" s="290" t="s">
        <v>31</v>
      </c>
      <c r="K14" s="290" t="s">
        <v>31</v>
      </c>
      <c r="L14" s="290" t="s">
        <v>31</v>
      </c>
      <c r="M14" s="290" t="s">
        <v>31</v>
      </c>
      <c r="N14" s="290" t="s">
        <v>31</v>
      </c>
      <c r="O14" s="51"/>
    </row>
    <row r="15" spans="1:15" ht="15.6">
      <c r="A15" s="51" t="s">
        <v>635</v>
      </c>
      <c r="B15" s="289">
        <v>1</v>
      </c>
      <c r="C15" s="289"/>
      <c r="D15" s="50" t="s">
        <v>18</v>
      </c>
      <c r="E15" s="51" t="s">
        <v>2</v>
      </c>
      <c r="F15" s="50" t="s">
        <v>630</v>
      </c>
      <c r="G15" s="51" t="s">
        <v>59</v>
      </c>
      <c r="H15" s="51" t="s">
        <v>33</v>
      </c>
      <c r="I15" s="290">
        <v>0</v>
      </c>
      <c r="J15" s="290" t="s">
        <v>31</v>
      </c>
      <c r="K15" s="290" t="s">
        <v>31</v>
      </c>
      <c r="L15" s="290" t="s">
        <v>31</v>
      </c>
      <c r="M15" s="290" t="s">
        <v>31</v>
      </c>
      <c r="N15" s="290" t="s">
        <v>31</v>
      </c>
      <c r="O15" s="51"/>
    </row>
    <row r="16" spans="1:15" ht="15.6">
      <c r="A16" s="51" t="s">
        <v>636</v>
      </c>
      <c r="B16" s="289">
        <v>1</v>
      </c>
      <c r="C16" s="289"/>
      <c r="D16" s="50" t="s">
        <v>18</v>
      </c>
      <c r="E16" s="51" t="s">
        <v>2</v>
      </c>
      <c r="F16" s="50" t="s">
        <v>630</v>
      </c>
      <c r="G16" s="51" t="s">
        <v>59</v>
      </c>
      <c r="H16" s="51" t="s">
        <v>33</v>
      </c>
      <c r="I16" s="290">
        <v>0</v>
      </c>
      <c r="J16" s="290" t="s">
        <v>31</v>
      </c>
      <c r="K16" s="290" t="s">
        <v>31</v>
      </c>
      <c r="L16" s="290" t="s">
        <v>31</v>
      </c>
      <c r="M16" s="290" t="s">
        <v>31</v>
      </c>
      <c r="N16" s="290" t="s">
        <v>31</v>
      </c>
      <c r="O16" s="51"/>
    </row>
    <row r="17" spans="1:15" ht="15.6">
      <c r="A17" s="51" t="s">
        <v>265</v>
      </c>
      <c r="B17" s="284">
        <v>2823.1632</v>
      </c>
      <c r="D17" s="50" t="s">
        <v>39</v>
      </c>
      <c r="E17" s="65" t="s">
        <v>40</v>
      </c>
      <c r="F17" s="50" t="s">
        <v>29</v>
      </c>
      <c r="G17" s="51" t="s">
        <v>59</v>
      </c>
      <c r="H17" s="51" t="s">
        <v>33</v>
      </c>
      <c r="I17" s="290">
        <v>5</v>
      </c>
      <c r="J17" s="290">
        <f>B17</f>
        <v>2823.1632</v>
      </c>
      <c r="K17" s="290" t="s">
        <v>31</v>
      </c>
      <c r="L17" s="290" t="s">
        <v>31</v>
      </c>
      <c r="M17" s="290">
        <f>J17*0.5</f>
        <v>1411.5816</v>
      </c>
      <c r="N17" s="290">
        <f>B17*1.5</f>
        <v>4234.7448000000004</v>
      </c>
      <c r="O17" s="51"/>
    </row>
    <row r="18" spans="1:15" ht="15.6">
      <c r="A18" s="51" t="s">
        <v>75</v>
      </c>
      <c r="B18" s="284">
        <v>556.64793599999996</v>
      </c>
      <c r="D18" s="50" t="s">
        <v>37</v>
      </c>
      <c r="E18" s="65" t="s">
        <v>40</v>
      </c>
      <c r="F18" s="50" t="s">
        <v>29</v>
      </c>
      <c r="G18" s="51" t="s">
        <v>59</v>
      </c>
      <c r="H18" s="50" t="s">
        <v>33</v>
      </c>
      <c r="I18" s="290">
        <v>5</v>
      </c>
      <c r="J18" s="290">
        <f>B18</f>
        <v>556.64793599999996</v>
      </c>
      <c r="K18" s="290" t="s">
        <v>31</v>
      </c>
      <c r="L18" s="290" t="s">
        <v>31</v>
      </c>
      <c r="M18" s="290">
        <f>J18*0.5</f>
        <v>278.32396799999998</v>
      </c>
      <c r="N18" s="290">
        <f>B18*1.5</f>
        <v>834.97190399999999</v>
      </c>
      <c r="O18" s="51" t="s">
        <v>637</v>
      </c>
    </row>
    <row r="19" spans="1:15" s="54" customFormat="1" ht="15.6">
      <c r="A19" s="56" t="s">
        <v>5</v>
      </c>
      <c r="B19" s="56" t="s">
        <v>633</v>
      </c>
      <c r="C19" s="56"/>
      <c r="D19" s="55"/>
    </row>
    <row r="20" spans="1:15">
      <c r="A20" s="50" t="s">
        <v>7</v>
      </c>
      <c r="B20" s="50" t="s">
        <v>630</v>
      </c>
      <c r="C20" s="50"/>
      <c r="I20" s="50"/>
      <c r="J20" s="50"/>
      <c r="K20" s="50"/>
      <c r="L20" s="50"/>
      <c r="M20" s="50"/>
      <c r="N20" s="50"/>
    </row>
    <row r="21" spans="1:15">
      <c r="A21" s="50" t="s">
        <v>9</v>
      </c>
      <c r="B21" s="50" t="s">
        <v>638</v>
      </c>
      <c r="C21" s="50"/>
      <c r="I21" s="50"/>
      <c r="J21" s="50"/>
      <c r="K21" s="50"/>
      <c r="L21" s="50"/>
      <c r="M21" s="50"/>
      <c r="N21" s="50"/>
    </row>
    <row r="22" spans="1:15">
      <c r="A22" s="50" t="s">
        <v>11</v>
      </c>
      <c r="B22" s="50" t="s">
        <v>639</v>
      </c>
      <c r="C22" s="50"/>
      <c r="I22" s="50"/>
      <c r="J22" s="50"/>
      <c r="K22" s="50"/>
      <c r="L22" s="50"/>
      <c r="M22" s="50"/>
      <c r="N22" s="50"/>
    </row>
    <row r="23" spans="1:15">
      <c r="A23" s="50" t="s">
        <v>13</v>
      </c>
      <c r="B23" s="284" t="s">
        <v>59</v>
      </c>
    </row>
    <row r="24" spans="1:15">
      <c r="A24" s="50" t="s">
        <v>15</v>
      </c>
      <c r="B24" s="50">
        <v>1</v>
      </c>
      <c r="C24" s="50"/>
    </row>
    <row r="25" spans="1:15">
      <c r="A25" s="50" t="s">
        <v>16</v>
      </c>
      <c r="B25" s="50" t="s">
        <v>17</v>
      </c>
      <c r="C25" s="50"/>
    </row>
    <row r="26" spans="1:15">
      <c r="A26" s="50" t="s">
        <v>18</v>
      </c>
      <c r="B26" s="50" t="s">
        <v>18</v>
      </c>
      <c r="C26" s="50"/>
    </row>
    <row r="27" spans="1:15" ht="15.6">
      <c r="A27" s="53" t="s">
        <v>19</v>
      </c>
      <c r="B27" s="50"/>
      <c r="C27" s="50"/>
    </row>
    <row r="28" spans="1:15" ht="15.6">
      <c r="A28" s="53" t="s">
        <v>20</v>
      </c>
      <c r="B28" s="286" t="s">
        <v>21</v>
      </c>
      <c r="C28" s="286" t="s">
        <v>186</v>
      </c>
      <c r="D28" s="53" t="s">
        <v>18</v>
      </c>
      <c r="E28" s="53" t="s">
        <v>22</v>
      </c>
      <c r="F28" s="53" t="s">
        <v>7</v>
      </c>
      <c r="G28" s="53" t="s">
        <v>13</v>
      </c>
      <c r="H28" s="53" t="s">
        <v>16</v>
      </c>
      <c r="I28" s="287" t="s">
        <v>23</v>
      </c>
      <c r="J28" s="287" t="s">
        <v>24</v>
      </c>
      <c r="K28" s="287" t="s">
        <v>25</v>
      </c>
      <c r="L28" s="287" t="s">
        <v>26</v>
      </c>
      <c r="M28" s="287" t="s">
        <v>27</v>
      </c>
      <c r="N28" s="287" t="s">
        <v>28</v>
      </c>
      <c r="O28" s="53" t="s">
        <v>11</v>
      </c>
    </row>
    <row r="29" spans="1:15" ht="15.6">
      <c r="A29" s="51" t="str">
        <f>B19</f>
        <v>production of fuel cell stack</v>
      </c>
      <c r="B29" s="289">
        <v>1</v>
      </c>
      <c r="C29" s="289"/>
      <c r="D29" s="50" t="str">
        <f>B26</f>
        <v>unit</v>
      </c>
      <c r="E29" s="51" t="s">
        <v>2</v>
      </c>
      <c r="F29" s="50" t="str">
        <f>B20</f>
        <v>fuel cell</v>
      </c>
      <c r="G29" s="51" t="s">
        <v>59</v>
      </c>
      <c r="H29" s="51" t="s">
        <v>30</v>
      </c>
      <c r="I29" s="290">
        <v>0</v>
      </c>
      <c r="J29" s="290" t="s">
        <v>31</v>
      </c>
      <c r="K29" s="290" t="s">
        <v>31</v>
      </c>
      <c r="L29" s="290" t="s">
        <v>31</v>
      </c>
      <c r="M29" s="290" t="s">
        <v>31</v>
      </c>
      <c r="N29" s="290" t="s">
        <v>31</v>
      </c>
      <c r="O29" s="51" t="s">
        <v>478</v>
      </c>
    </row>
    <row r="30" spans="1:15" ht="15.6">
      <c r="A30" s="289" t="str">
        <f>A167</f>
        <v>production of fuel cells</v>
      </c>
      <c r="B30" s="289">
        <v>1</v>
      </c>
      <c r="C30" s="289"/>
      <c r="D30" s="50" t="s">
        <v>18</v>
      </c>
      <c r="E30" s="51" t="s">
        <v>2</v>
      </c>
      <c r="F30" s="50" t="s">
        <v>630</v>
      </c>
      <c r="G30" s="51" t="s">
        <v>59</v>
      </c>
      <c r="H30" s="51" t="s">
        <v>33</v>
      </c>
      <c r="I30" s="290">
        <v>0</v>
      </c>
      <c r="J30" s="290" t="s">
        <v>31</v>
      </c>
      <c r="K30" s="290" t="s">
        <v>31</v>
      </c>
      <c r="L30" s="290" t="s">
        <v>31</v>
      </c>
      <c r="M30" s="290" t="s">
        <v>31</v>
      </c>
      <c r="N30" s="290" t="s">
        <v>31</v>
      </c>
      <c r="O30" s="51"/>
    </row>
    <row r="31" spans="1:15" ht="15.6">
      <c r="A31" s="289" t="s">
        <v>640</v>
      </c>
      <c r="B31" s="289">
        <f>1</f>
        <v>1</v>
      </c>
      <c r="C31" s="289"/>
      <c r="D31" s="50" t="s">
        <v>18</v>
      </c>
      <c r="E31" s="51" t="s">
        <v>2</v>
      </c>
      <c r="F31" s="50" t="s">
        <v>630</v>
      </c>
      <c r="G31" s="51" t="s">
        <v>59</v>
      </c>
      <c r="H31" s="51" t="s">
        <v>33</v>
      </c>
      <c r="I31" s="290">
        <v>0</v>
      </c>
      <c r="J31" s="290" t="s">
        <v>31</v>
      </c>
      <c r="K31" s="290" t="s">
        <v>31</v>
      </c>
      <c r="L31" s="290" t="s">
        <v>31</v>
      </c>
      <c r="M31" s="290" t="s">
        <v>31</v>
      </c>
      <c r="N31" s="290" t="s">
        <v>31</v>
      </c>
      <c r="O31" s="51"/>
    </row>
    <row r="32" spans="1:15" ht="15.6">
      <c r="A32" s="51" t="s">
        <v>641</v>
      </c>
      <c r="B32" s="289">
        <v>1</v>
      </c>
      <c r="C32" s="289"/>
      <c r="D32" s="51" t="s">
        <v>18</v>
      </c>
      <c r="E32" s="51" t="s">
        <v>2</v>
      </c>
      <c r="F32" s="50" t="s">
        <v>630</v>
      </c>
      <c r="G32" s="51" t="s">
        <v>59</v>
      </c>
      <c r="H32" s="51" t="s">
        <v>33</v>
      </c>
      <c r="I32" s="290">
        <v>0</v>
      </c>
      <c r="J32" s="290" t="s">
        <v>31</v>
      </c>
      <c r="K32" s="290" t="s">
        <v>31</v>
      </c>
      <c r="L32" s="290" t="s">
        <v>31</v>
      </c>
      <c r="M32" s="290" t="s">
        <v>31</v>
      </c>
      <c r="N32" s="290" t="s">
        <v>31</v>
      </c>
      <c r="O32" s="51"/>
    </row>
    <row r="33" spans="1:15" s="54" customFormat="1" ht="15.6">
      <c r="A33" s="314" t="s">
        <v>5</v>
      </c>
      <c r="B33" s="292" t="s">
        <v>642</v>
      </c>
      <c r="C33" s="292"/>
      <c r="D33" s="55"/>
      <c r="I33" s="293"/>
      <c r="J33" s="293"/>
      <c r="K33" s="293"/>
      <c r="L33" s="293"/>
      <c r="M33" s="293"/>
      <c r="N33" s="293"/>
    </row>
    <row r="34" spans="1:15">
      <c r="A34" s="50" t="s">
        <v>7</v>
      </c>
      <c r="B34" s="50" t="s">
        <v>630</v>
      </c>
    </row>
    <row r="35" spans="1:15">
      <c r="A35" s="50" t="s">
        <v>9</v>
      </c>
      <c r="B35" s="50" t="s">
        <v>643</v>
      </c>
    </row>
    <row r="36" spans="1:15">
      <c r="A36" s="50" t="s">
        <v>11</v>
      </c>
      <c r="B36" s="284" t="s">
        <v>644</v>
      </c>
    </row>
    <row r="37" spans="1:15">
      <c r="A37" s="50" t="s">
        <v>13</v>
      </c>
      <c r="B37" s="284" t="s">
        <v>59</v>
      </c>
    </row>
    <row r="38" spans="1:15">
      <c r="A38" s="50" t="s">
        <v>15</v>
      </c>
      <c r="B38" s="284">
        <v>1</v>
      </c>
    </row>
    <row r="39" spans="1:15">
      <c r="A39" s="50" t="s">
        <v>16</v>
      </c>
      <c r="B39" s="284" t="s">
        <v>17</v>
      </c>
    </row>
    <row r="40" spans="1:15">
      <c r="A40" s="50" t="s">
        <v>18</v>
      </c>
      <c r="B40" s="284" t="s">
        <v>18</v>
      </c>
    </row>
    <row r="41" spans="1:15" ht="15.6">
      <c r="A41" s="53" t="s">
        <v>19</v>
      </c>
    </row>
    <row r="42" spans="1:15" ht="15.6">
      <c r="A42" s="53" t="s">
        <v>20</v>
      </c>
      <c r="B42" s="286" t="s">
        <v>21</v>
      </c>
      <c r="C42" s="286" t="s">
        <v>186</v>
      </c>
      <c r="D42" s="53" t="s">
        <v>18</v>
      </c>
      <c r="E42" s="53" t="s">
        <v>22</v>
      </c>
      <c r="F42" s="53" t="s">
        <v>7</v>
      </c>
      <c r="G42" s="53" t="s">
        <v>13</v>
      </c>
      <c r="H42" s="53" t="s">
        <v>16</v>
      </c>
      <c r="I42" s="287" t="s">
        <v>23</v>
      </c>
      <c r="J42" s="287" t="s">
        <v>24</v>
      </c>
      <c r="K42" s="287" t="s">
        <v>25</v>
      </c>
      <c r="L42" s="287" t="s">
        <v>26</v>
      </c>
      <c r="M42" s="287" t="s">
        <v>27</v>
      </c>
      <c r="N42" s="287" t="s">
        <v>28</v>
      </c>
      <c r="O42" s="53" t="s">
        <v>11</v>
      </c>
    </row>
    <row r="43" spans="1:15" ht="15.6">
      <c r="A43" s="51" t="str">
        <f>B33</f>
        <v>production of SOFC anode and electrolyte</v>
      </c>
      <c r="B43" s="289">
        <v>1</v>
      </c>
      <c r="C43" s="289"/>
      <c r="D43" s="50" t="str">
        <f>B40</f>
        <v>unit</v>
      </c>
      <c r="E43" s="51" t="s">
        <v>2</v>
      </c>
      <c r="F43" s="50" t="s">
        <v>630</v>
      </c>
      <c r="G43" s="51" t="s">
        <v>59</v>
      </c>
      <c r="H43" s="51" t="s">
        <v>30</v>
      </c>
      <c r="I43" s="290">
        <v>0</v>
      </c>
      <c r="J43" s="290" t="s">
        <v>31</v>
      </c>
      <c r="K43" s="290" t="s">
        <v>31</v>
      </c>
      <c r="L43" s="290" t="s">
        <v>31</v>
      </c>
      <c r="M43" s="290" t="s">
        <v>31</v>
      </c>
      <c r="N43" s="290" t="s">
        <v>31</v>
      </c>
      <c r="O43" s="51" t="s">
        <v>478</v>
      </c>
    </row>
    <row r="44" spans="1:15" ht="15.6">
      <c r="A44" s="51" t="s">
        <v>292</v>
      </c>
      <c r="B44" s="289">
        <f>2742*0.004</f>
        <v>10.968</v>
      </c>
      <c r="C44" s="289"/>
      <c r="D44" s="50" t="s">
        <v>37</v>
      </c>
      <c r="E44" s="65" t="s">
        <v>40</v>
      </c>
      <c r="F44" s="50" t="s">
        <v>29</v>
      </c>
      <c r="G44" s="51" t="s">
        <v>59</v>
      </c>
      <c r="H44" s="51" t="s">
        <v>33</v>
      </c>
      <c r="I44" s="290">
        <v>2</v>
      </c>
      <c r="J44" s="290">
        <f>LN(B44)</f>
        <v>2.3949819422600132</v>
      </c>
      <c r="K44" s="290">
        <v>2.6457512999999998E-2</v>
      </c>
      <c r="L44" s="290" t="s">
        <v>31</v>
      </c>
      <c r="M44" s="290" t="s">
        <v>31</v>
      </c>
      <c r="N44" s="290" t="s">
        <v>31</v>
      </c>
      <c r="O44" s="51"/>
    </row>
    <row r="45" spans="1:15" ht="15.6">
      <c r="A45" s="289" t="str">
        <f>A62</f>
        <v>production of yttria stabilized zirconia, proxy</v>
      </c>
      <c r="B45" s="289">
        <f>2742*0.002</f>
        <v>5.484</v>
      </c>
      <c r="C45" s="289"/>
      <c r="D45" s="50" t="s">
        <v>37</v>
      </c>
      <c r="E45" s="65" t="s">
        <v>2</v>
      </c>
      <c r="F45" s="50" t="s">
        <v>630</v>
      </c>
      <c r="G45" s="51" t="s">
        <v>59</v>
      </c>
      <c r="H45" s="51" t="s">
        <v>33</v>
      </c>
      <c r="I45" s="290">
        <v>2</v>
      </c>
      <c r="J45" s="290">
        <f t="shared" ref="J45:J51" si="0">LN(B45)</f>
        <v>1.701834761700068</v>
      </c>
      <c r="K45" s="290">
        <v>2.6457512999999998E-2</v>
      </c>
      <c r="L45" s="290" t="s">
        <v>31</v>
      </c>
      <c r="M45" s="290" t="s">
        <v>31</v>
      </c>
      <c r="N45" s="290" t="s">
        <v>31</v>
      </c>
      <c r="O45" s="51"/>
    </row>
    <row r="46" spans="1:15" ht="15.6">
      <c r="A46" s="51" t="s">
        <v>645</v>
      </c>
      <c r="B46" s="289">
        <f>2742*0.033</f>
        <v>90.486000000000004</v>
      </c>
      <c r="C46" s="289"/>
      <c r="D46" s="50" t="s">
        <v>37</v>
      </c>
      <c r="E46" s="65" t="s">
        <v>40</v>
      </c>
      <c r="F46" s="50" t="s">
        <v>29</v>
      </c>
      <c r="G46" s="51" t="s">
        <v>59</v>
      </c>
      <c r="H46" s="51" t="s">
        <v>33</v>
      </c>
      <c r="I46" s="290">
        <v>2</v>
      </c>
      <c r="J46" s="290">
        <f t="shared" si="0"/>
        <v>4.5051951426066026</v>
      </c>
      <c r="K46" s="290">
        <v>2.6457512999999998E-2</v>
      </c>
      <c r="L46" s="290" t="s">
        <v>31</v>
      </c>
      <c r="M46" s="290" t="s">
        <v>31</v>
      </c>
      <c r="N46" s="290" t="s">
        <v>31</v>
      </c>
      <c r="O46" s="51"/>
    </row>
    <row r="47" spans="1:15" ht="15.6">
      <c r="A47" s="51" t="s">
        <v>292</v>
      </c>
      <c r="B47" s="289">
        <f>2742*0.001</f>
        <v>2.742</v>
      </c>
      <c r="C47" s="289"/>
      <c r="D47" s="50" t="s">
        <v>37</v>
      </c>
      <c r="E47" s="65" t="s">
        <v>40</v>
      </c>
      <c r="F47" s="50" t="s">
        <v>29</v>
      </c>
      <c r="G47" s="51" t="s">
        <v>59</v>
      </c>
      <c r="H47" s="51" t="s">
        <v>33</v>
      </c>
      <c r="I47" s="290">
        <v>2</v>
      </c>
      <c r="J47" s="290">
        <f t="shared" si="0"/>
        <v>1.0086875811401226</v>
      </c>
      <c r="K47" s="290">
        <v>2.6457512999999998E-2</v>
      </c>
      <c r="L47" s="290" t="s">
        <v>31</v>
      </c>
      <c r="M47" s="290" t="s">
        <v>31</v>
      </c>
      <c r="N47" s="290" t="s">
        <v>31</v>
      </c>
      <c r="O47" s="51"/>
    </row>
    <row r="48" spans="1:15" ht="15.6">
      <c r="A48" s="51" t="s">
        <v>646</v>
      </c>
      <c r="B48" s="289">
        <f>2742*0.006</f>
        <v>16.452000000000002</v>
      </c>
      <c r="C48" s="289"/>
      <c r="D48" s="50" t="s">
        <v>37</v>
      </c>
      <c r="E48" s="65" t="s">
        <v>40</v>
      </c>
      <c r="F48" s="50" t="s">
        <v>29</v>
      </c>
      <c r="G48" s="51" t="s">
        <v>59</v>
      </c>
      <c r="H48" s="51" t="s">
        <v>33</v>
      </c>
      <c r="I48" s="290">
        <v>2</v>
      </c>
      <c r="J48" s="290">
        <f t="shared" si="0"/>
        <v>2.8004470503681778</v>
      </c>
      <c r="K48" s="290">
        <v>2.6457512999999998E-2</v>
      </c>
      <c r="L48" s="290" t="s">
        <v>31</v>
      </c>
      <c r="M48" s="290" t="s">
        <v>31</v>
      </c>
      <c r="N48" s="290" t="s">
        <v>31</v>
      </c>
      <c r="O48" s="51"/>
    </row>
    <row r="49" spans="1:15" ht="15.6">
      <c r="A49" s="51" t="s">
        <v>524</v>
      </c>
      <c r="B49" s="289">
        <f>2742*0.001</f>
        <v>2.742</v>
      </c>
      <c r="C49" s="289"/>
      <c r="D49" s="50" t="s">
        <v>37</v>
      </c>
      <c r="E49" s="65" t="s">
        <v>40</v>
      </c>
      <c r="F49" s="50" t="s">
        <v>29</v>
      </c>
      <c r="G49" s="51" t="s">
        <v>59</v>
      </c>
      <c r="H49" s="51" t="s">
        <v>33</v>
      </c>
      <c r="I49" s="290">
        <v>2</v>
      </c>
      <c r="J49" s="290">
        <f t="shared" si="0"/>
        <v>1.0086875811401226</v>
      </c>
      <c r="K49" s="290">
        <v>2.6457512999999998E-2</v>
      </c>
      <c r="L49" s="290" t="s">
        <v>31</v>
      </c>
      <c r="M49" s="290" t="s">
        <v>31</v>
      </c>
      <c r="N49" s="290" t="s">
        <v>31</v>
      </c>
      <c r="O49" s="51" t="s">
        <v>647</v>
      </c>
    </row>
    <row r="50" spans="1:15" ht="15.6">
      <c r="A50" s="315" t="s">
        <v>648</v>
      </c>
      <c r="B50" s="289">
        <f>2742*0.001</f>
        <v>2.742</v>
      </c>
      <c r="C50" s="289"/>
      <c r="D50" s="50" t="s">
        <v>37</v>
      </c>
      <c r="E50" s="65" t="s">
        <v>40</v>
      </c>
      <c r="F50" s="50" t="s">
        <v>29</v>
      </c>
      <c r="G50" s="51" t="s">
        <v>35</v>
      </c>
      <c r="H50" s="51" t="s">
        <v>33</v>
      </c>
      <c r="I50" s="290">
        <v>2</v>
      </c>
      <c r="J50" s="290">
        <f t="shared" si="0"/>
        <v>1.0086875811401226</v>
      </c>
      <c r="K50" s="290">
        <v>2.6457512999999998E-2</v>
      </c>
      <c r="L50" s="290" t="s">
        <v>31</v>
      </c>
      <c r="M50" s="290" t="s">
        <v>31</v>
      </c>
      <c r="N50" s="290" t="s">
        <v>31</v>
      </c>
      <c r="O50" s="51" t="s">
        <v>649</v>
      </c>
    </row>
    <row r="51" spans="1:15" ht="15.6">
      <c r="A51" s="51" t="s">
        <v>650</v>
      </c>
      <c r="B51" s="289">
        <f>2742*0.013</f>
        <v>35.646000000000001</v>
      </c>
      <c r="C51" s="289"/>
      <c r="D51" s="50" t="s">
        <v>37</v>
      </c>
      <c r="E51" s="65" t="s">
        <v>40</v>
      </c>
      <c r="F51" s="50" t="s">
        <v>29</v>
      </c>
      <c r="G51" s="51" t="s">
        <v>59</v>
      </c>
      <c r="H51" s="51" t="s">
        <v>33</v>
      </c>
      <c r="I51" s="290">
        <v>2</v>
      </c>
      <c r="J51" s="290">
        <f t="shared" si="0"/>
        <v>3.5736369386016595</v>
      </c>
      <c r="K51" s="290">
        <v>2.6457512999999998E-2</v>
      </c>
      <c r="L51" s="290" t="s">
        <v>31</v>
      </c>
      <c r="M51" s="290" t="s">
        <v>31</v>
      </c>
      <c r="N51" s="290" t="s">
        <v>31</v>
      </c>
      <c r="O51" s="51"/>
    </row>
    <row r="52" spans="1:15" s="54" customFormat="1" ht="15.6">
      <c r="A52" s="56" t="s">
        <v>5</v>
      </c>
      <c r="B52" s="292" t="s">
        <v>651</v>
      </c>
      <c r="C52" s="292"/>
      <c r="D52" s="55"/>
      <c r="I52" s="293"/>
      <c r="J52" s="293"/>
      <c r="K52" s="293"/>
      <c r="L52" s="293"/>
      <c r="M52" s="293"/>
      <c r="N52" s="293"/>
    </row>
    <row r="53" spans="1:15">
      <c r="A53" s="50" t="s">
        <v>7</v>
      </c>
      <c r="B53" s="50" t="s">
        <v>630</v>
      </c>
    </row>
    <row r="54" spans="1:15">
      <c r="A54" s="50" t="s">
        <v>9</v>
      </c>
      <c r="B54" s="50" t="s">
        <v>652</v>
      </c>
    </row>
    <row r="55" spans="1:15">
      <c r="A55" s="50" t="s">
        <v>11</v>
      </c>
      <c r="B55" s="284" t="s">
        <v>653</v>
      </c>
    </row>
    <row r="56" spans="1:15">
      <c r="A56" s="50" t="s">
        <v>13</v>
      </c>
      <c r="B56" s="284" t="s">
        <v>59</v>
      </c>
    </row>
    <row r="57" spans="1:15">
      <c r="A57" s="50" t="s">
        <v>15</v>
      </c>
      <c r="B57" s="284">
        <v>1</v>
      </c>
    </row>
    <row r="58" spans="1:15">
      <c r="A58" s="50" t="s">
        <v>16</v>
      </c>
      <c r="B58" s="284" t="s">
        <v>17</v>
      </c>
    </row>
    <row r="59" spans="1:15">
      <c r="A59" s="50" t="s">
        <v>18</v>
      </c>
      <c r="B59" s="284" t="s">
        <v>37</v>
      </c>
    </row>
    <row r="60" spans="1:15" ht="15.6">
      <c r="A60" s="53" t="s">
        <v>19</v>
      </c>
    </row>
    <row r="61" spans="1:15" ht="15.6">
      <c r="A61" s="53" t="s">
        <v>20</v>
      </c>
      <c r="B61" s="286" t="s">
        <v>21</v>
      </c>
      <c r="C61" s="286" t="s">
        <v>186</v>
      </c>
      <c r="D61" s="53" t="s">
        <v>18</v>
      </c>
      <c r="E61" s="53" t="s">
        <v>22</v>
      </c>
      <c r="F61" s="53" t="s">
        <v>7</v>
      </c>
      <c r="G61" s="53" t="s">
        <v>13</v>
      </c>
      <c r="H61" s="53" t="s">
        <v>16</v>
      </c>
      <c r="I61" s="287" t="s">
        <v>23</v>
      </c>
      <c r="J61" s="287" t="s">
        <v>24</v>
      </c>
      <c r="K61" s="287" t="s">
        <v>25</v>
      </c>
      <c r="L61" s="287" t="s">
        <v>26</v>
      </c>
      <c r="M61" s="287" t="s">
        <v>27</v>
      </c>
      <c r="N61" s="287" t="s">
        <v>28</v>
      </c>
      <c r="O61" s="53" t="s">
        <v>11</v>
      </c>
    </row>
    <row r="62" spans="1:15" ht="15.6">
      <c r="A62" s="289" t="str">
        <f>B52</f>
        <v>production of yttria stabilized zirconia, proxy</v>
      </c>
      <c r="B62" s="289">
        <v>1</v>
      </c>
      <c r="C62" s="289"/>
      <c r="D62" s="289" t="str">
        <f>B59</f>
        <v>kilogram</v>
      </c>
      <c r="E62" s="51" t="s">
        <v>2</v>
      </c>
      <c r="F62" s="50" t="str">
        <f>B53</f>
        <v>fuel cell</v>
      </c>
      <c r="G62" s="51" t="s">
        <v>59</v>
      </c>
      <c r="H62" s="51" t="s">
        <v>30</v>
      </c>
      <c r="I62" s="290">
        <v>0</v>
      </c>
      <c r="J62" s="290" t="s">
        <v>31</v>
      </c>
      <c r="K62" s="290" t="s">
        <v>31</v>
      </c>
      <c r="L62" s="290" t="s">
        <v>31</v>
      </c>
      <c r="M62" s="290" t="s">
        <v>31</v>
      </c>
      <c r="N62" s="290" t="s">
        <v>31</v>
      </c>
      <c r="O62" s="51" t="s">
        <v>478</v>
      </c>
    </row>
    <row r="63" spans="1:15" ht="15.6">
      <c r="A63" s="51" t="s">
        <v>645</v>
      </c>
      <c r="B63" s="289">
        <v>0.97</v>
      </c>
      <c r="C63" s="289"/>
      <c r="D63" s="50" t="s">
        <v>37</v>
      </c>
      <c r="E63" s="65" t="s">
        <v>40</v>
      </c>
      <c r="F63" s="50" t="s">
        <v>29</v>
      </c>
      <c r="G63" s="51" t="s">
        <v>59</v>
      </c>
      <c r="H63" s="51" t="s">
        <v>33</v>
      </c>
      <c r="I63" s="290">
        <v>0</v>
      </c>
      <c r="J63" s="290" t="s">
        <v>31</v>
      </c>
      <c r="K63" s="290" t="s">
        <v>31</v>
      </c>
      <c r="L63" s="290" t="s">
        <v>31</v>
      </c>
      <c r="M63" s="290" t="s">
        <v>31</v>
      </c>
      <c r="N63" s="290" t="s">
        <v>31</v>
      </c>
      <c r="O63" s="51"/>
    </row>
    <row r="64" spans="1:15" ht="15.6">
      <c r="A64" s="289" t="s">
        <v>654</v>
      </c>
      <c r="B64" s="289">
        <v>0.03</v>
      </c>
      <c r="C64" s="289"/>
      <c r="D64" s="51" t="s">
        <v>37</v>
      </c>
      <c r="E64" s="65" t="s">
        <v>40</v>
      </c>
      <c r="F64" s="50" t="s">
        <v>630</v>
      </c>
      <c r="G64" s="51" t="s">
        <v>59</v>
      </c>
      <c r="H64" s="51" t="s">
        <v>33</v>
      </c>
      <c r="I64" s="290">
        <v>0</v>
      </c>
      <c r="J64" s="290" t="s">
        <v>31</v>
      </c>
      <c r="K64" s="290" t="s">
        <v>31</v>
      </c>
      <c r="L64" s="290" t="s">
        <v>31</v>
      </c>
      <c r="M64" s="290" t="s">
        <v>31</v>
      </c>
      <c r="N64" s="290" t="s">
        <v>31</v>
      </c>
      <c r="O64" s="51"/>
    </row>
    <row r="65" spans="1:15" ht="15.6">
      <c r="A65" t="s">
        <v>655</v>
      </c>
      <c r="B65" s="289">
        <v>6.9999999999999999E-4</v>
      </c>
      <c r="C65" s="289"/>
      <c r="D65" s="50" t="s">
        <v>37</v>
      </c>
      <c r="E65" s="65" t="s">
        <v>40</v>
      </c>
      <c r="F65" s="50" t="s">
        <v>29</v>
      </c>
      <c r="G65" s="51" t="s">
        <v>82</v>
      </c>
      <c r="H65" s="51" t="s">
        <v>33</v>
      </c>
      <c r="I65" s="290">
        <v>5</v>
      </c>
      <c r="J65" s="290">
        <f>B65</f>
        <v>6.9999999999999999E-4</v>
      </c>
      <c r="K65" s="290" t="s">
        <v>31</v>
      </c>
      <c r="L65" s="290" t="s">
        <v>31</v>
      </c>
      <c r="M65" s="290">
        <f>J65*0.98</f>
        <v>6.8599999999999998E-4</v>
      </c>
      <c r="N65" s="290">
        <f>J65*1.02</f>
        <v>7.1400000000000001E-4</v>
      </c>
      <c r="O65" s="51"/>
    </row>
    <row r="66" spans="1:15" ht="15.6">
      <c r="A66" t="s">
        <v>656</v>
      </c>
      <c r="B66" s="289">
        <v>4</v>
      </c>
      <c r="C66" s="289"/>
      <c r="D66" s="50" t="s">
        <v>37</v>
      </c>
      <c r="E66" s="65" t="s">
        <v>40</v>
      </c>
      <c r="F66" s="50" t="s">
        <v>29</v>
      </c>
      <c r="G66" s="51" t="s">
        <v>82</v>
      </c>
      <c r="H66" s="51" t="s">
        <v>33</v>
      </c>
      <c r="I66" s="290">
        <v>5</v>
      </c>
      <c r="J66" s="290">
        <f t="shared" ref="J66:J67" si="1">B66</f>
        <v>4</v>
      </c>
      <c r="K66" s="290" t="s">
        <v>31</v>
      </c>
      <c r="L66" s="290" t="s">
        <v>31</v>
      </c>
      <c r="M66" s="290">
        <f>J66*0.98</f>
        <v>3.92</v>
      </c>
      <c r="N66" s="290">
        <f>J66*1.02</f>
        <v>4.08</v>
      </c>
      <c r="O66" s="51"/>
    </row>
    <row r="67" spans="1:15" ht="15.6">
      <c r="A67" s="51" t="s">
        <v>265</v>
      </c>
      <c r="B67" s="284">
        <v>0.95</v>
      </c>
      <c r="D67" s="50" t="s">
        <v>39</v>
      </c>
      <c r="E67" s="65" t="s">
        <v>40</v>
      </c>
      <c r="F67" s="50" t="s">
        <v>29</v>
      </c>
      <c r="G67" s="51" t="s">
        <v>59</v>
      </c>
      <c r="H67" s="51" t="s">
        <v>33</v>
      </c>
      <c r="I67" s="290">
        <v>5</v>
      </c>
      <c r="J67" s="290">
        <f t="shared" si="1"/>
        <v>0.95</v>
      </c>
      <c r="K67" s="290" t="s">
        <v>31</v>
      </c>
      <c r="L67" s="290" t="s">
        <v>31</v>
      </c>
      <c r="M67" s="290">
        <f>J67*0.98</f>
        <v>0.93099999999999994</v>
      </c>
      <c r="N67" s="290">
        <f>J67*1.02</f>
        <v>0.96899999999999997</v>
      </c>
      <c r="O67" s="51"/>
    </row>
    <row r="68" spans="1:15" s="54" customFormat="1" ht="15.6">
      <c r="A68" s="56" t="s">
        <v>5</v>
      </c>
      <c r="B68" s="292" t="s">
        <v>657</v>
      </c>
      <c r="C68" s="292"/>
      <c r="D68" s="55"/>
      <c r="I68" s="293"/>
      <c r="J68" s="293"/>
      <c r="K68" s="293"/>
      <c r="L68" s="293"/>
      <c r="M68" s="293"/>
      <c r="N68" s="293"/>
    </row>
    <row r="69" spans="1:15">
      <c r="A69" s="50" t="s">
        <v>7</v>
      </c>
      <c r="B69" s="50" t="s">
        <v>630</v>
      </c>
    </row>
    <row r="70" spans="1:15">
      <c r="A70" s="50" t="s">
        <v>9</v>
      </c>
      <c r="B70" s="50" t="s">
        <v>658</v>
      </c>
    </row>
    <row r="71" spans="1:15">
      <c r="A71" s="50" t="s">
        <v>11</v>
      </c>
      <c r="B71" s="284" t="s">
        <v>659</v>
      </c>
    </row>
    <row r="72" spans="1:15">
      <c r="A72" s="50" t="s">
        <v>13</v>
      </c>
      <c r="B72" s="284" t="s">
        <v>59</v>
      </c>
    </row>
    <row r="73" spans="1:15">
      <c r="A73" s="50" t="s">
        <v>15</v>
      </c>
      <c r="B73" s="284">
        <v>1</v>
      </c>
    </row>
    <row r="74" spans="1:15">
      <c r="A74" s="50" t="s">
        <v>16</v>
      </c>
      <c r="B74" s="284" t="s">
        <v>17</v>
      </c>
    </row>
    <row r="75" spans="1:15">
      <c r="A75" s="50" t="s">
        <v>18</v>
      </c>
      <c r="B75" s="284" t="s">
        <v>18</v>
      </c>
    </row>
    <row r="76" spans="1:15" ht="15.6">
      <c r="A76" s="53" t="s">
        <v>19</v>
      </c>
    </row>
    <row r="77" spans="1:15" ht="15.6">
      <c r="A77" s="53" t="s">
        <v>20</v>
      </c>
      <c r="B77" s="286" t="s">
        <v>21</v>
      </c>
      <c r="C77" s="286" t="s">
        <v>186</v>
      </c>
      <c r="D77" s="53" t="s">
        <v>18</v>
      </c>
      <c r="E77" s="53" t="s">
        <v>22</v>
      </c>
      <c r="F77" s="53" t="s">
        <v>7</v>
      </c>
      <c r="G77" s="53" t="s">
        <v>13</v>
      </c>
      <c r="H77" s="53" t="s">
        <v>16</v>
      </c>
      <c r="I77" s="287" t="s">
        <v>23</v>
      </c>
      <c r="J77" s="287" t="s">
        <v>24</v>
      </c>
      <c r="K77" s="287" t="s">
        <v>25</v>
      </c>
      <c r="L77" s="287" t="s">
        <v>26</v>
      </c>
      <c r="M77" s="287" t="s">
        <v>27</v>
      </c>
      <c r="N77" s="287" t="s">
        <v>28</v>
      </c>
      <c r="O77" s="53" t="s">
        <v>11</v>
      </c>
    </row>
    <row r="78" spans="1:15" ht="15.6">
      <c r="A78" s="289" t="str">
        <f>B68</f>
        <v>production of SOFC cathode</v>
      </c>
      <c r="B78" s="289">
        <v>1</v>
      </c>
      <c r="C78" s="289"/>
      <c r="D78" s="51" t="s">
        <v>18</v>
      </c>
      <c r="E78" s="51" t="s">
        <v>2</v>
      </c>
      <c r="F78" s="50" t="s">
        <v>630</v>
      </c>
      <c r="G78" s="51" t="s">
        <v>59</v>
      </c>
      <c r="H78" s="51" t="s">
        <v>30</v>
      </c>
      <c r="I78" s="290">
        <v>0</v>
      </c>
      <c r="J78" s="290" t="s">
        <v>31</v>
      </c>
      <c r="K78" s="290" t="s">
        <v>31</v>
      </c>
      <c r="L78" s="290" t="s">
        <v>31</v>
      </c>
      <c r="M78" s="290" t="s">
        <v>31</v>
      </c>
      <c r="N78" s="290" t="s">
        <v>31</v>
      </c>
      <c r="O78" s="51" t="s">
        <v>478</v>
      </c>
    </row>
    <row r="79" spans="1:15" ht="15.6">
      <c r="A79" s="316" t="s">
        <v>660</v>
      </c>
      <c r="B79" s="289">
        <f>2742*0.003</f>
        <v>8.2260000000000009</v>
      </c>
      <c r="C79" s="289"/>
      <c r="D79" s="51" t="s">
        <v>37</v>
      </c>
      <c r="E79" s="51" t="s">
        <v>2</v>
      </c>
      <c r="F79" s="50" t="s">
        <v>630</v>
      </c>
      <c r="G79" s="51" t="s">
        <v>59</v>
      </c>
      <c r="H79" s="51" t="s">
        <v>33</v>
      </c>
      <c r="I79" s="290">
        <v>2</v>
      </c>
      <c r="J79" s="290">
        <f t="shared" ref="J79:J80" si="2">LN(B79)</f>
        <v>2.1072998698082324</v>
      </c>
      <c r="K79" s="290">
        <v>2.6457512999999998E-2</v>
      </c>
      <c r="L79" s="290" t="s">
        <v>31</v>
      </c>
      <c r="M79" s="290" t="s">
        <v>31</v>
      </c>
      <c r="N79" s="290" t="s">
        <v>31</v>
      </c>
      <c r="O79" s="51"/>
    </row>
    <row r="80" spans="1:15" ht="15.6">
      <c r="A80" s="316" t="s">
        <v>661</v>
      </c>
      <c r="B80" s="289">
        <f>2742*0.001</f>
        <v>2.742</v>
      </c>
      <c r="C80" s="289"/>
      <c r="D80" s="51" t="s">
        <v>37</v>
      </c>
      <c r="E80" s="51" t="s">
        <v>2</v>
      </c>
      <c r="F80" s="50" t="s">
        <v>630</v>
      </c>
      <c r="G80" s="51" t="s">
        <v>59</v>
      </c>
      <c r="H80" s="51" t="s">
        <v>33</v>
      </c>
      <c r="I80" s="290">
        <v>2</v>
      </c>
      <c r="J80" s="290">
        <f t="shared" si="2"/>
        <v>1.0086875811401226</v>
      </c>
      <c r="K80" s="290">
        <v>2.6457512999999998E-2</v>
      </c>
      <c r="L80" s="290" t="s">
        <v>31</v>
      </c>
      <c r="M80" s="290" t="s">
        <v>31</v>
      </c>
      <c r="N80" s="290" t="s">
        <v>31</v>
      </c>
      <c r="O80" s="51"/>
    </row>
    <row r="81" spans="1:17" s="54" customFormat="1" ht="15.6">
      <c r="A81" s="75" t="s">
        <v>5</v>
      </c>
      <c r="B81" s="292" t="s">
        <v>660</v>
      </c>
      <c r="C81" s="292"/>
      <c r="D81" s="55"/>
      <c r="I81" s="293"/>
      <c r="J81" s="293"/>
      <c r="K81" s="293"/>
      <c r="L81" s="293"/>
      <c r="M81" s="293"/>
      <c r="N81" s="293"/>
    </row>
    <row r="82" spans="1:17">
      <c r="A82" s="50" t="s">
        <v>7</v>
      </c>
      <c r="B82" s="284" t="s">
        <v>630</v>
      </c>
    </row>
    <row r="83" spans="1:17">
      <c r="A83" s="50" t="s">
        <v>9</v>
      </c>
      <c r="B83" s="50" t="s">
        <v>662</v>
      </c>
    </row>
    <row r="84" spans="1:17">
      <c r="A84" s="50" t="s">
        <v>11</v>
      </c>
      <c r="B84" s="284" t="s">
        <v>663</v>
      </c>
      <c r="Q84" s="57" t="s">
        <v>664</v>
      </c>
    </row>
    <row r="85" spans="1:17">
      <c r="A85" s="50" t="s">
        <v>13</v>
      </c>
      <c r="B85" s="284" t="s">
        <v>59</v>
      </c>
      <c r="Q85" s="57" t="s">
        <v>665</v>
      </c>
    </row>
    <row r="86" spans="1:17">
      <c r="A86" s="50" t="s">
        <v>15</v>
      </c>
      <c r="B86" s="284">
        <v>1</v>
      </c>
      <c r="Q86" s="57" t="s">
        <v>666</v>
      </c>
    </row>
    <row r="87" spans="1:17">
      <c r="A87" s="50" t="s">
        <v>16</v>
      </c>
      <c r="B87" s="284" t="s">
        <v>17</v>
      </c>
      <c r="Q87" s="57" t="s">
        <v>667</v>
      </c>
    </row>
    <row r="88" spans="1:17">
      <c r="A88" s="50" t="s">
        <v>18</v>
      </c>
      <c r="B88" s="284" t="s">
        <v>37</v>
      </c>
      <c r="Q88" s="57" t="s">
        <v>665</v>
      </c>
    </row>
    <row r="89" spans="1:17" ht="15.6">
      <c r="A89" s="53" t="s">
        <v>19</v>
      </c>
      <c r="Q89" s="57" t="s">
        <v>668</v>
      </c>
    </row>
    <row r="90" spans="1:17" ht="15.6">
      <c r="A90" s="53" t="s">
        <v>20</v>
      </c>
      <c r="B90" s="286" t="s">
        <v>21</v>
      </c>
      <c r="C90" s="286" t="s">
        <v>186</v>
      </c>
      <c r="D90" s="53" t="s">
        <v>18</v>
      </c>
      <c r="E90" s="53" t="s">
        <v>22</v>
      </c>
      <c r="F90" s="53" t="s">
        <v>7</v>
      </c>
      <c r="G90" s="53" t="s">
        <v>13</v>
      </c>
      <c r="H90" s="53" t="s">
        <v>16</v>
      </c>
      <c r="I90" s="287" t="s">
        <v>23</v>
      </c>
      <c r="J90" s="287" t="s">
        <v>24</v>
      </c>
      <c r="K90" s="287" t="s">
        <v>25</v>
      </c>
      <c r="L90" s="287" t="s">
        <v>26</v>
      </c>
      <c r="M90" s="287" t="s">
        <v>27</v>
      </c>
      <c r="N90" s="287" t="s">
        <v>28</v>
      </c>
      <c r="O90" s="53" t="s">
        <v>11</v>
      </c>
      <c r="Q90" s="57" t="s">
        <v>669</v>
      </c>
    </row>
    <row r="91" spans="1:17" ht="15.6">
      <c r="A91" s="289" t="str">
        <f>B81</f>
        <v>production of Lanthanum Strontium Manganite</v>
      </c>
      <c r="B91" s="289">
        <v>1</v>
      </c>
      <c r="C91" s="289"/>
      <c r="D91" s="289" t="str">
        <f>B88</f>
        <v>kilogram</v>
      </c>
      <c r="E91" s="51" t="s">
        <v>2</v>
      </c>
      <c r="F91" s="50" t="s">
        <v>630</v>
      </c>
      <c r="G91" s="51" t="s">
        <v>59</v>
      </c>
      <c r="H91" s="51" t="s">
        <v>30</v>
      </c>
      <c r="I91" s="290">
        <v>0</v>
      </c>
      <c r="J91" s="290" t="s">
        <v>31</v>
      </c>
      <c r="K91" s="290" t="s">
        <v>31</v>
      </c>
      <c r="L91" s="290" t="s">
        <v>31</v>
      </c>
      <c r="M91" s="290" t="s">
        <v>31</v>
      </c>
      <c r="N91" s="290" t="s">
        <v>31</v>
      </c>
      <c r="O91" s="51" t="s">
        <v>478</v>
      </c>
      <c r="Q91" s="57" t="s">
        <v>670</v>
      </c>
    </row>
    <row r="92" spans="1:17" ht="15.6">
      <c r="A92" s="289" t="s">
        <v>671</v>
      </c>
      <c r="B92" s="289">
        <v>1.0044</v>
      </c>
      <c r="C92" s="289"/>
      <c r="D92" s="51" t="s">
        <v>37</v>
      </c>
      <c r="E92" s="51" t="s">
        <v>2</v>
      </c>
      <c r="F92" s="50" t="s">
        <v>630</v>
      </c>
      <c r="G92" s="51" t="s">
        <v>59</v>
      </c>
      <c r="H92" s="51" t="s">
        <v>33</v>
      </c>
      <c r="I92" s="290">
        <v>0</v>
      </c>
      <c r="J92" s="290" t="s">
        <v>31</v>
      </c>
      <c r="K92" s="290" t="s">
        <v>31</v>
      </c>
      <c r="L92" s="290" t="s">
        <v>31</v>
      </c>
      <c r="M92" s="290" t="s">
        <v>31</v>
      </c>
      <c r="N92" s="290" t="s">
        <v>31</v>
      </c>
      <c r="O92" s="51"/>
      <c r="Q92" s="57" t="s">
        <v>672</v>
      </c>
    </row>
    <row r="93" spans="1:17" ht="15.6">
      <c r="A93" s="289" t="s">
        <v>673</v>
      </c>
      <c r="B93" s="289">
        <v>0.79020000000000001</v>
      </c>
      <c r="C93" s="289"/>
      <c r="D93" s="51" t="s">
        <v>37</v>
      </c>
      <c r="E93" s="51" t="s">
        <v>2</v>
      </c>
      <c r="F93" s="50" t="s">
        <v>630</v>
      </c>
      <c r="G93" s="51" t="s">
        <v>59</v>
      </c>
      <c r="H93" s="51" t="s">
        <v>33</v>
      </c>
      <c r="I93" s="290">
        <v>0</v>
      </c>
      <c r="J93" s="290" t="s">
        <v>31</v>
      </c>
      <c r="K93" s="290" t="s">
        <v>31</v>
      </c>
      <c r="L93" s="290" t="s">
        <v>31</v>
      </c>
      <c r="M93" s="290" t="s">
        <v>31</v>
      </c>
      <c r="N93" s="290" t="s">
        <v>31</v>
      </c>
      <c r="O93" s="51"/>
      <c r="Q93" s="57" t="s">
        <v>674</v>
      </c>
    </row>
    <row r="94" spans="1:17" ht="15.6">
      <c r="A94" s="289" t="s">
        <v>675</v>
      </c>
      <c r="B94" s="289">
        <v>0.28050000000000003</v>
      </c>
      <c r="C94" s="289"/>
      <c r="D94" s="51" t="s">
        <v>37</v>
      </c>
      <c r="E94" s="51" t="str">
        <f>E78</f>
        <v>GENESIS_2050_SOFC-bat_Base</v>
      </c>
      <c r="F94" s="50" t="s">
        <v>630</v>
      </c>
      <c r="G94" s="51" t="s">
        <v>59</v>
      </c>
      <c r="H94" s="51" t="s">
        <v>33</v>
      </c>
      <c r="I94" s="290">
        <v>0</v>
      </c>
      <c r="J94" s="290" t="s">
        <v>31</v>
      </c>
      <c r="K94" s="290" t="s">
        <v>31</v>
      </c>
      <c r="L94" s="290" t="s">
        <v>31</v>
      </c>
      <c r="M94" s="290" t="s">
        <v>31</v>
      </c>
      <c r="N94" s="290" t="s">
        <v>31</v>
      </c>
      <c r="O94" s="51"/>
      <c r="Q94" s="57" t="s">
        <v>676</v>
      </c>
    </row>
    <row r="95" spans="1:17" ht="15.6">
      <c r="A95" t="s">
        <v>677</v>
      </c>
      <c r="B95" s="284">
        <v>1.3250999999999999</v>
      </c>
      <c r="D95" s="50" t="s">
        <v>37</v>
      </c>
      <c r="E95" s="65" t="s">
        <v>40</v>
      </c>
      <c r="F95" s="50" t="s">
        <v>29</v>
      </c>
      <c r="G95" s="50" t="s">
        <v>59</v>
      </c>
      <c r="H95" s="51" t="s">
        <v>33</v>
      </c>
      <c r="I95" s="285">
        <v>0</v>
      </c>
      <c r="J95" s="285" t="s">
        <v>31</v>
      </c>
      <c r="K95" s="285" t="s">
        <v>31</v>
      </c>
      <c r="L95" s="290" t="s">
        <v>31</v>
      </c>
      <c r="M95" s="290" t="s">
        <v>31</v>
      </c>
      <c r="N95" s="290" t="s">
        <v>31</v>
      </c>
      <c r="O95" s="50" t="s">
        <v>678</v>
      </c>
    </row>
    <row r="96" spans="1:17" ht="15.6">
      <c r="A96" s="289" t="s">
        <v>656</v>
      </c>
      <c r="B96" s="289">
        <f>8.8339</f>
        <v>8.8338999999999999</v>
      </c>
      <c r="C96" s="289"/>
      <c r="D96" s="51" t="s">
        <v>37</v>
      </c>
      <c r="E96" s="51" t="s">
        <v>40</v>
      </c>
      <c r="F96" s="50" t="s">
        <v>29</v>
      </c>
      <c r="G96" s="51" t="s">
        <v>82</v>
      </c>
      <c r="H96" s="51" t="s">
        <v>33</v>
      </c>
      <c r="I96" s="290">
        <v>0</v>
      </c>
      <c r="J96" s="290" t="s">
        <v>31</v>
      </c>
      <c r="K96" s="290" t="s">
        <v>31</v>
      </c>
      <c r="L96" s="290" t="s">
        <v>31</v>
      </c>
      <c r="M96" s="290" t="s">
        <v>31</v>
      </c>
      <c r="N96" s="290" t="s">
        <v>31</v>
      </c>
      <c r="O96" s="51"/>
    </row>
    <row r="97" spans="1:21" ht="15.6">
      <c r="A97" s="51" t="s">
        <v>265</v>
      </c>
      <c r="B97" s="284">
        <f>15.6802</f>
        <v>15.680199999999999</v>
      </c>
      <c r="D97" s="50" t="s">
        <v>39</v>
      </c>
      <c r="E97" s="65" t="s">
        <v>40</v>
      </c>
      <c r="F97" s="50" t="s">
        <v>29</v>
      </c>
      <c r="G97" s="51" t="s">
        <v>59</v>
      </c>
      <c r="H97" s="51" t="s">
        <v>33</v>
      </c>
      <c r="I97" s="290">
        <v>0</v>
      </c>
      <c r="J97" s="290" t="s">
        <v>31</v>
      </c>
      <c r="K97" s="290" t="s">
        <v>31</v>
      </c>
      <c r="L97" s="290" t="s">
        <v>31</v>
      </c>
      <c r="M97" s="290" t="s">
        <v>31</v>
      </c>
      <c r="N97" s="290" t="s">
        <v>31</v>
      </c>
      <c r="O97" s="51"/>
    </row>
    <row r="98" spans="1:21" s="54" customFormat="1" ht="15.6">
      <c r="A98" s="56" t="s">
        <v>5</v>
      </c>
      <c r="B98" s="292" t="s">
        <v>671</v>
      </c>
      <c r="C98" s="292"/>
      <c r="D98" s="55"/>
      <c r="I98" s="293"/>
      <c r="J98" s="293"/>
      <c r="K98" s="293"/>
      <c r="L98" s="293"/>
      <c r="M98" s="293"/>
      <c r="N98" s="293"/>
    </row>
    <row r="99" spans="1:21">
      <c r="A99" s="50" t="s">
        <v>7</v>
      </c>
      <c r="B99" s="284" t="s">
        <v>630</v>
      </c>
    </row>
    <row r="100" spans="1:21">
      <c r="A100" s="50" t="s">
        <v>9</v>
      </c>
      <c r="B100" s="50" t="s">
        <v>679</v>
      </c>
    </row>
    <row r="101" spans="1:21">
      <c r="A101" s="50" t="s">
        <v>11</v>
      </c>
      <c r="B101" s="284" t="s">
        <v>680</v>
      </c>
      <c r="R101" s="50" t="s">
        <v>681</v>
      </c>
      <c r="T101" s="50" t="s">
        <v>682</v>
      </c>
    </row>
    <row r="102" spans="1:21">
      <c r="A102" s="50" t="s">
        <v>13</v>
      </c>
      <c r="B102" s="284" t="s">
        <v>59</v>
      </c>
      <c r="Q102" s="50" t="s">
        <v>683</v>
      </c>
      <c r="R102" s="50">
        <v>0.03</v>
      </c>
      <c r="S102" s="50" t="s">
        <v>275</v>
      </c>
      <c r="T102" s="50">
        <v>2.23</v>
      </c>
      <c r="U102" s="50" t="s">
        <v>684</v>
      </c>
    </row>
    <row r="103" spans="1:21">
      <c r="A103" s="50" t="s">
        <v>15</v>
      </c>
      <c r="B103" s="284">
        <v>1</v>
      </c>
      <c r="Q103" s="50" t="s">
        <v>685</v>
      </c>
      <c r="R103" s="50">
        <v>5.9249000000000003E-3</v>
      </c>
      <c r="S103" s="50" t="s">
        <v>275</v>
      </c>
      <c r="T103" s="50">
        <v>0.51256999999999997</v>
      </c>
      <c r="U103" s="50" t="s">
        <v>684</v>
      </c>
    </row>
    <row r="104" spans="1:21">
      <c r="A104" s="50" t="s">
        <v>16</v>
      </c>
      <c r="B104" s="284" t="s">
        <v>17</v>
      </c>
      <c r="Q104" s="50" t="s">
        <v>686</v>
      </c>
      <c r="R104" s="50">
        <v>0.27211000000000002</v>
      </c>
      <c r="S104" s="50" t="s">
        <v>275</v>
      </c>
      <c r="T104" s="50">
        <v>6.82</v>
      </c>
      <c r="U104" s="50" t="s">
        <v>684</v>
      </c>
    </row>
    <row r="105" spans="1:21">
      <c r="A105" s="50" t="s">
        <v>18</v>
      </c>
      <c r="B105" s="284" t="s">
        <v>37</v>
      </c>
      <c r="Q105" s="50" t="s">
        <v>687</v>
      </c>
      <c r="R105" s="50">
        <v>0.22059999999999999</v>
      </c>
      <c r="S105" s="50" t="s">
        <v>275</v>
      </c>
      <c r="T105" s="50">
        <v>11.4</v>
      </c>
      <c r="U105" s="50" t="s">
        <v>684</v>
      </c>
    </row>
    <row r="106" spans="1:21" ht="15.6">
      <c r="A106" s="53" t="s">
        <v>19</v>
      </c>
      <c r="Q106" s="50" t="s">
        <v>688</v>
      </c>
      <c r="R106" s="50">
        <v>4.8003999999999998E-2</v>
      </c>
      <c r="S106" s="50" t="s">
        <v>275</v>
      </c>
      <c r="T106" s="50">
        <v>5.1256999999999997E-2</v>
      </c>
      <c r="U106" s="50" t="s">
        <v>684</v>
      </c>
    </row>
    <row r="107" spans="1:21" ht="15.6">
      <c r="A107" s="53" t="s">
        <v>20</v>
      </c>
      <c r="B107" s="286" t="s">
        <v>21</v>
      </c>
      <c r="C107" s="286" t="s">
        <v>186</v>
      </c>
      <c r="D107" s="53" t="s">
        <v>18</v>
      </c>
      <c r="E107" s="53" t="s">
        <v>22</v>
      </c>
      <c r="F107" s="53" t="s">
        <v>7</v>
      </c>
      <c r="G107" s="53" t="s">
        <v>13</v>
      </c>
      <c r="H107" s="53" t="s">
        <v>16</v>
      </c>
      <c r="I107" s="287" t="s">
        <v>23</v>
      </c>
      <c r="J107" s="287" t="s">
        <v>24</v>
      </c>
      <c r="K107" s="287" t="s">
        <v>25</v>
      </c>
      <c r="L107" s="287" t="s">
        <v>26</v>
      </c>
      <c r="M107" s="287" t="s">
        <v>27</v>
      </c>
      <c r="N107" s="287" t="s">
        <v>28</v>
      </c>
      <c r="O107" s="53" t="s">
        <v>11</v>
      </c>
      <c r="Q107" s="50" t="s">
        <v>689</v>
      </c>
      <c r="R107" s="50">
        <v>1.7833000000000002E-2</v>
      </c>
      <c r="S107" s="50" t="s">
        <v>275</v>
      </c>
      <c r="T107" s="50">
        <v>35.6</v>
      </c>
      <c r="U107" s="50" t="s">
        <v>684</v>
      </c>
    </row>
    <row r="108" spans="1:21" ht="15.6">
      <c r="A108" s="289" t="str">
        <f>B98</f>
        <v>production of Lanthanum nitrate - La(NO3)2</v>
      </c>
      <c r="B108" s="289">
        <v>1</v>
      </c>
      <c r="C108" s="289"/>
      <c r="D108" s="289" t="str">
        <f>B105</f>
        <v>kilogram</v>
      </c>
      <c r="E108" s="51" t="s">
        <v>2</v>
      </c>
      <c r="F108" s="50" t="s">
        <v>630</v>
      </c>
      <c r="G108" s="51" t="s">
        <v>59</v>
      </c>
      <c r="H108" s="51" t="s">
        <v>30</v>
      </c>
      <c r="I108" s="290">
        <v>0</v>
      </c>
      <c r="J108" s="290" t="s">
        <v>31</v>
      </c>
      <c r="K108" s="290" t="s">
        <v>31</v>
      </c>
      <c r="L108" s="290" t="s">
        <v>31</v>
      </c>
      <c r="M108" s="290" t="s">
        <v>31</v>
      </c>
      <c r="N108" s="290" t="s">
        <v>31</v>
      </c>
      <c r="O108" s="51" t="s">
        <v>478</v>
      </c>
      <c r="Q108" s="50" t="s">
        <v>690</v>
      </c>
      <c r="R108" s="50">
        <v>0.22781999999999999</v>
      </c>
      <c r="S108" s="50" t="s">
        <v>275</v>
      </c>
      <c r="T108" s="50">
        <v>2.6238999999999999</v>
      </c>
      <c r="U108" s="50" t="s">
        <v>684</v>
      </c>
    </row>
    <row r="109" spans="1:21" ht="15.6">
      <c r="A109" s="50" t="s">
        <v>691</v>
      </c>
      <c r="B109" s="284">
        <v>0.50129999999999997</v>
      </c>
      <c r="D109" s="50" t="s">
        <v>37</v>
      </c>
      <c r="E109" s="65" t="s">
        <v>40</v>
      </c>
      <c r="F109" s="50" t="s">
        <v>29</v>
      </c>
      <c r="G109" s="50" t="s">
        <v>59</v>
      </c>
      <c r="H109" s="50" t="s">
        <v>33</v>
      </c>
      <c r="I109" s="285">
        <v>0</v>
      </c>
      <c r="J109" s="285" t="s">
        <v>31</v>
      </c>
      <c r="K109" s="285" t="s">
        <v>31</v>
      </c>
      <c r="L109" s="290" t="s">
        <v>31</v>
      </c>
      <c r="M109" s="290" t="s">
        <v>31</v>
      </c>
      <c r="N109" s="290" t="s">
        <v>31</v>
      </c>
      <c r="O109" s="50" t="s">
        <v>678</v>
      </c>
    </row>
    <row r="110" spans="1:21" ht="15.6">
      <c r="A110" s="50" t="s">
        <v>692</v>
      </c>
      <c r="B110" s="284">
        <v>0.58160000000000001</v>
      </c>
      <c r="D110" s="50" t="s">
        <v>37</v>
      </c>
      <c r="E110" s="65" t="s">
        <v>40</v>
      </c>
      <c r="F110" s="50" t="s">
        <v>29</v>
      </c>
      <c r="G110" s="50" t="s">
        <v>82</v>
      </c>
      <c r="H110" s="50" t="s">
        <v>33</v>
      </c>
      <c r="I110" s="285">
        <v>0</v>
      </c>
      <c r="J110" s="285" t="s">
        <v>31</v>
      </c>
      <c r="K110" s="285" t="s">
        <v>31</v>
      </c>
      <c r="L110" s="290" t="s">
        <v>31</v>
      </c>
      <c r="M110" s="290" t="s">
        <v>31</v>
      </c>
      <c r="N110" s="290" t="s">
        <v>31</v>
      </c>
    </row>
    <row r="111" spans="1:21" ht="15.6">
      <c r="A111" s="50" t="s">
        <v>76</v>
      </c>
      <c r="B111" s="317">
        <f>-0.0831/1000</f>
        <v>-8.3099999999999987E-5</v>
      </c>
      <c r="D111" s="284" t="s">
        <v>42</v>
      </c>
      <c r="E111" s="65" t="s">
        <v>40</v>
      </c>
      <c r="F111" s="50" t="s">
        <v>29</v>
      </c>
      <c r="G111" s="50" t="s">
        <v>82</v>
      </c>
      <c r="H111" s="50" t="s">
        <v>33</v>
      </c>
      <c r="I111" s="285">
        <v>0</v>
      </c>
      <c r="J111" s="285" t="s">
        <v>31</v>
      </c>
      <c r="K111" s="285" t="s">
        <v>31</v>
      </c>
      <c r="L111" s="290" t="s">
        <v>31</v>
      </c>
      <c r="M111" s="290" t="s">
        <v>31</v>
      </c>
      <c r="N111" s="290" t="s">
        <v>31</v>
      </c>
      <c r="O111" s="50" t="s">
        <v>693</v>
      </c>
    </row>
    <row r="112" spans="1:21" s="54" customFormat="1" ht="15.6">
      <c r="A112" s="56" t="s">
        <v>5</v>
      </c>
      <c r="B112" s="292" t="s">
        <v>673</v>
      </c>
      <c r="C112" s="292"/>
      <c r="D112" s="55"/>
      <c r="I112" s="293"/>
      <c r="J112" s="293"/>
      <c r="K112" s="293"/>
      <c r="L112" s="293"/>
      <c r="M112" s="293"/>
      <c r="N112" s="293"/>
    </row>
    <row r="113" spans="1:21">
      <c r="A113" s="50" t="s">
        <v>7</v>
      </c>
      <c r="B113" s="284" t="s">
        <v>630</v>
      </c>
    </row>
    <row r="114" spans="1:21">
      <c r="A114" s="50" t="s">
        <v>9</v>
      </c>
      <c r="B114" s="50" t="s">
        <v>694</v>
      </c>
    </row>
    <row r="115" spans="1:21">
      <c r="A115" s="50" t="s">
        <v>11</v>
      </c>
      <c r="B115" s="284" t="s">
        <v>680</v>
      </c>
    </row>
    <row r="116" spans="1:21">
      <c r="A116" s="50" t="s">
        <v>13</v>
      </c>
      <c r="B116" s="284" t="s">
        <v>59</v>
      </c>
    </row>
    <row r="117" spans="1:21">
      <c r="A117" s="50" t="s">
        <v>15</v>
      </c>
      <c r="B117" s="284">
        <v>1</v>
      </c>
    </row>
    <row r="118" spans="1:21">
      <c r="A118" s="50" t="s">
        <v>16</v>
      </c>
      <c r="B118" s="284" t="s">
        <v>17</v>
      </c>
    </row>
    <row r="119" spans="1:21">
      <c r="A119" s="50" t="s">
        <v>18</v>
      </c>
      <c r="B119" s="284" t="s">
        <v>37</v>
      </c>
    </row>
    <row r="120" spans="1:21" ht="15.6">
      <c r="A120" s="53" t="s">
        <v>19</v>
      </c>
    </row>
    <row r="121" spans="1:21" ht="15.6">
      <c r="A121" s="53" t="s">
        <v>20</v>
      </c>
      <c r="B121" s="286" t="s">
        <v>21</v>
      </c>
      <c r="C121" s="286" t="s">
        <v>186</v>
      </c>
      <c r="D121" s="53" t="s">
        <v>18</v>
      </c>
      <c r="E121" s="53" t="s">
        <v>22</v>
      </c>
      <c r="F121" s="53" t="s">
        <v>7</v>
      </c>
      <c r="G121" s="53" t="s">
        <v>13</v>
      </c>
      <c r="H121" s="53" t="s">
        <v>16</v>
      </c>
      <c r="I121" s="287" t="s">
        <v>23</v>
      </c>
      <c r="J121" s="287" t="s">
        <v>24</v>
      </c>
      <c r="K121" s="287" t="s">
        <v>25</v>
      </c>
      <c r="L121" s="287" t="s">
        <v>26</v>
      </c>
      <c r="M121" s="287" t="s">
        <v>27</v>
      </c>
      <c r="N121" s="287" t="s">
        <v>28</v>
      </c>
      <c r="O121" s="53" t="s">
        <v>11</v>
      </c>
      <c r="R121" s="50" t="s">
        <v>695</v>
      </c>
      <c r="T121" s="50" t="s">
        <v>682</v>
      </c>
    </row>
    <row r="122" spans="1:21" ht="15.6">
      <c r="A122" s="289" t="str">
        <f>B112</f>
        <v>production of Strontium nitrate - Sr(NO3)2</v>
      </c>
      <c r="B122" s="289">
        <v>1</v>
      </c>
      <c r="C122" s="289"/>
      <c r="D122" s="289" t="str">
        <f>B119</f>
        <v>kilogram</v>
      </c>
      <c r="E122" s="51" t="s">
        <v>2</v>
      </c>
      <c r="F122" s="50" t="s">
        <v>630</v>
      </c>
      <c r="G122" s="51" t="s">
        <v>59</v>
      </c>
      <c r="H122" s="51" t="s">
        <v>30</v>
      </c>
      <c r="I122" s="290">
        <v>0</v>
      </c>
      <c r="J122" s="290" t="s">
        <v>31</v>
      </c>
      <c r="K122" s="290" t="s">
        <v>31</v>
      </c>
      <c r="L122" s="290" t="s">
        <v>31</v>
      </c>
      <c r="M122" s="290" t="s">
        <v>31</v>
      </c>
      <c r="N122" s="290" t="s">
        <v>31</v>
      </c>
      <c r="O122" s="51" t="s">
        <v>478</v>
      </c>
      <c r="Q122" s="50" t="s">
        <v>696</v>
      </c>
      <c r="R122" s="50">
        <v>1</v>
      </c>
      <c r="S122" s="50" t="s">
        <v>275</v>
      </c>
      <c r="T122" s="50">
        <v>0.37</v>
      </c>
      <c r="U122" s="50" t="s">
        <v>684</v>
      </c>
    </row>
    <row r="123" spans="1:21" ht="15.6">
      <c r="A123" t="s">
        <v>697</v>
      </c>
      <c r="B123" s="289">
        <v>0.7</v>
      </c>
      <c r="C123" s="289"/>
      <c r="D123" s="50" t="s">
        <v>37</v>
      </c>
      <c r="E123" s="65" t="s">
        <v>40</v>
      </c>
      <c r="F123" s="50" t="s">
        <v>29</v>
      </c>
      <c r="G123" s="50" t="s">
        <v>59</v>
      </c>
      <c r="H123" s="50" t="s">
        <v>33</v>
      </c>
      <c r="I123" s="285">
        <v>0</v>
      </c>
      <c r="J123" s="285" t="s">
        <v>31</v>
      </c>
      <c r="K123" s="285" t="s">
        <v>31</v>
      </c>
      <c r="L123" s="290" t="s">
        <v>31</v>
      </c>
      <c r="M123" s="290" t="s">
        <v>31</v>
      </c>
      <c r="N123" s="290" t="s">
        <v>31</v>
      </c>
      <c r="O123" s="51" t="s">
        <v>678</v>
      </c>
      <c r="Q123" s="50" t="s">
        <v>698</v>
      </c>
      <c r="R123" s="50">
        <v>0.52900000000000003</v>
      </c>
      <c r="S123" s="50" t="s">
        <v>275</v>
      </c>
      <c r="T123" s="50">
        <v>0.52800000000000002</v>
      </c>
      <c r="U123" s="50" t="s">
        <v>684</v>
      </c>
    </row>
    <row r="124" spans="1:21" ht="15.6">
      <c r="A124" s="50" t="s">
        <v>692</v>
      </c>
      <c r="B124" s="284">
        <v>0.6</v>
      </c>
      <c r="D124" s="50" t="s">
        <v>37</v>
      </c>
      <c r="E124" s="65" t="s">
        <v>40</v>
      </c>
      <c r="F124" s="50" t="s">
        <v>29</v>
      </c>
      <c r="G124" s="50" t="s">
        <v>82</v>
      </c>
      <c r="H124" s="50" t="s">
        <v>33</v>
      </c>
      <c r="I124" s="285">
        <v>0</v>
      </c>
      <c r="J124" s="285" t="s">
        <v>31</v>
      </c>
      <c r="K124" s="285" t="s">
        <v>31</v>
      </c>
      <c r="L124" s="290" t="s">
        <v>31</v>
      </c>
      <c r="M124" s="290" t="s">
        <v>31</v>
      </c>
      <c r="N124" s="290" t="s">
        <v>31</v>
      </c>
    </row>
    <row r="125" spans="1:21" ht="15.6">
      <c r="A125" s="50" t="s">
        <v>77</v>
      </c>
      <c r="B125" s="284">
        <v>0.21</v>
      </c>
      <c r="D125" s="50" t="s">
        <v>37</v>
      </c>
      <c r="E125" s="65" t="s">
        <v>43</v>
      </c>
      <c r="F125" s="50" t="s">
        <v>44</v>
      </c>
      <c r="G125" s="50" t="s">
        <v>29</v>
      </c>
      <c r="H125" s="50" t="s">
        <v>45</v>
      </c>
      <c r="I125" s="285">
        <v>0</v>
      </c>
      <c r="J125" s="285" t="s">
        <v>31</v>
      </c>
      <c r="K125" s="285" t="s">
        <v>31</v>
      </c>
      <c r="L125" s="290" t="s">
        <v>31</v>
      </c>
      <c r="M125" s="290" t="s">
        <v>31</v>
      </c>
      <c r="N125" s="290" t="s">
        <v>31</v>
      </c>
    </row>
    <row r="126" spans="1:21" ht="15.6">
      <c r="A126" s="50" t="s">
        <v>76</v>
      </c>
      <c r="B126" s="284">
        <f>-0.09/1000</f>
        <v>-8.9999999999999992E-5</v>
      </c>
      <c r="D126" s="284" t="s">
        <v>42</v>
      </c>
      <c r="E126" s="65" t="s">
        <v>40</v>
      </c>
      <c r="F126" s="50" t="s">
        <v>29</v>
      </c>
      <c r="G126" s="50" t="s">
        <v>82</v>
      </c>
      <c r="H126" s="50" t="s">
        <v>33</v>
      </c>
      <c r="I126" s="285">
        <v>0</v>
      </c>
      <c r="J126" s="285" t="s">
        <v>31</v>
      </c>
      <c r="K126" s="285" t="s">
        <v>31</v>
      </c>
      <c r="L126" s="290" t="s">
        <v>31</v>
      </c>
      <c r="M126" s="290" t="s">
        <v>31</v>
      </c>
      <c r="N126" s="290" t="s">
        <v>31</v>
      </c>
      <c r="O126" s="50" t="s">
        <v>693</v>
      </c>
    </row>
    <row r="127" spans="1:21" s="54" customFormat="1" ht="15.6">
      <c r="A127" s="56" t="s">
        <v>5</v>
      </c>
      <c r="B127" s="292" t="s">
        <v>675</v>
      </c>
      <c r="C127" s="292"/>
      <c r="D127" s="55"/>
      <c r="I127" s="293"/>
      <c r="J127" s="293"/>
      <c r="K127" s="293"/>
      <c r="L127" s="293"/>
      <c r="M127" s="293"/>
      <c r="N127" s="293"/>
    </row>
    <row r="128" spans="1:21">
      <c r="A128" s="50" t="s">
        <v>7</v>
      </c>
      <c r="B128" s="284" t="s">
        <v>630</v>
      </c>
    </row>
    <row r="129" spans="1:15">
      <c r="A129" s="50" t="s">
        <v>9</v>
      </c>
      <c r="B129" s="50" t="s">
        <v>699</v>
      </c>
    </row>
    <row r="130" spans="1:15">
      <c r="A130" s="50" t="s">
        <v>11</v>
      </c>
      <c r="B130" s="284" t="s">
        <v>680</v>
      </c>
    </row>
    <row r="131" spans="1:15">
      <c r="A131" s="50" t="s">
        <v>13</v>
      </c>
      <c r="B131" s="284" t="s">
        <v>59</v>
      </c>
    </row>
    <row r="132" spans="1:15">
      <c r="A132" s="50" t="s">
        <v>15</v>
      </c>
      <c r="B132" s="284">
        <v>1</v>
      </c>
    </row>
    <row r="133" spans="1:15">
      <c r="A133" s="50" t="s">
        <v>16</v>
      </c>
      <c r="B133" s="284" t="s">
        <v>17</v>
      </c>
    </row>
    <row r="134" spans="1:15">
      <c r="A134" s="50" t="s">
        <v>18</v>
      </c>
      <c r="B134" s="284" t="s">
        <v>37</v>
      </c>
    </row>
    <row r="135" spans="1:15" ht="15.6">
      <c r="A135" s="53" t="s">
        <v>19</v>
      </c>
    </row>
    <row r="136" spans="1:15" ht="15.6">
      <c r="A136" s="53" t="s">
        <v>20</v>
      </c>
      <c r="B136" s="286" t="s">
        <v>21</v>
      </c>
      <c r="C136" s="286" t="s">
        <v>186</v>
      </c>
      <c r="D136" s="53" t="s">
        <v>18</v>
      </c>
      <c r="E136" s="53" t="s">
        <v>22</v>
      </c>
      <c r="F136" s="53" t="s">
        <v>7</v>
      </c>
      <c r="G136" s="53" t="s">
        <v>13</v>
      </c>
      <c r="H136" s="53" t="s">
        <v>16</v>
      </c>
      <c r="I136" s="287" t="s">
        <v>23</v>
      </c>
      <c r="J136" s="287" t="s">
        <v>24</v>
      </c>
      <c r="K136" s="287" t="s">
        <v>25</v>
      </c>
      <c r="L136" s="287" t="s">
        <v>26</v>
      </c>
      <c r="M136" s="287" t="s">
        <v>27</v>
      </c>
      <c r="N136" s="287" t="s">
        <v>28</v>
      </c>
      <c r="O136" s="53" t="s">
        <v>11</v>
      </c>
    </row>
    <row r="137" spans="1:15" ht="15.6">
      <c r="A137" s="289" t="str">
        <f>B127</f>
        <v>production of Manganese (II) nitrate - Mn(NO3)2</v>
      </c>
      <c r="B137" s="289">
        <v>1</v>
      </c>
      <c r="C137" s="289"/>
      <c r="D137" s="289" t="str">
        <f>B134</f>
        <v>kilogram</v>
      </c>
      <c r="E137" s="51" t="s">
        <v>2</v>
      </c>
      <c r="F137" s="50" t="s">
        <v>630</v>
      </c>
      <c r="G137" s="51" t="s">
        <v>59</v>
      </c>
      <c r="H137" s="51" t="s">
        <v>30</v>
      </c>
      <c r="I137" s="290">
        <v>0</v>
      </c>
      <c r="J137" s="290" t="s">
        <v>31</v>
      </c>
      <c r="K137" s="290" t="s">
        <v>31</v>
      </c>
      <c r="L137" s="290" t="s">
        <v>31</v>
      </c>
      <c r="M137" s="290" t="s">
        <v>31</v>
      </c>
      <c r="N137" s="290" t="s">
        <v>31</v>
      </c>
      <c r="O137" s="51" t="s">
        <v>478</v>
      </c>
    </row>
    <row r="138" spans="1:15" ht="15.6">
      <c r="A138" s="50" t="s">
        <v>700</v>
      </c>
      <c r="B138" s="284">
        <v>0.307</v>
      </c>
      <c r="D138" s="289" t="s">
        <v>37</v>
      </c>
      <c r="E138" s="65" t="s">
        <v>40</v>
      </c>
      <c r="F138" s="50" t="s">
        <v>29</v>
      </c>
      <c r="G138" s="50" t="s">
        <v>59</v>
      </c>
      <c r="H138" s="50" t="s">
        <v>33</v>
      </c>
      <c r="I138" s="285">
        <v>0</v>
      </c>
      <c r="J138" s="285" t="s">
        <v>31</v>
      </c>
      <c r="K138" s="285" t="s">
        <v>31</v>
      </c>
      <c r="L138" s="290" t="s">
        <v>31</v>
      </c>
      <c r="M138" s="290" t="s">
        <v>31</v>
      </c>
      <c r="N138" s="290" t="s">
        <v>31</v>
      </c>
      <c r="O138" s="50" t="s">
        <v>678</v>
      </c>
    </row>
    <row r="139" spans="1:15" ht="15.6">
      <c r="A139" s="50" t="s">
        <v>692</v>
      </c>
      <c r="B139" s="284">
        <v>0.70409999999999995</v>
      </c>
      <c r="D139" s="289" t="s">
        <v>37</v>
      </c>
      <c r="E139" s="65" t="s">
        <v>40</v>
      </c>
      <c r="F139" s="50" t="s">
        <v>29</v>
      </c>
      <c r="G139" s="50" t="s">
        <v>82</v>
      </c>
      <c r="H139" s="50" t="s">
        <v>33</v>
      </c>
      <c r="I139" s="285">
        <v>0</v>
      </c>
      <c r="J139" s="285" t="s">
        <v>31</v>
      </c>
      <c r="K139" s="285" t="s">
        <v>31</v>
      </c>
      <c r="L139" s="290" t="s">
        <v>31</v>
      </c>
      <c r="M139" s="290" t="s">
        <v>31</v>
      </c>
      <c r="N139" s="290" t="s">
        <v>31</v>
      </c>
    </row>
    <row r="140" spans="1:15" ht="15.6">
      <c r="A140" s="50" t="s">
        <v>701</v>
      </c>
      <c r="B140" s="284">
        <v>1.12E-2</v>
      </c>
      <c r="D140" s="289" t="s">
        <v>37</v>
      </c>
      <c r="E140" s="65" t="s">
        <v>43</v>
      </c>
      <c r="F140" s="50" t="s">
        <v>44</v>
      </c>
      <c r="G140" s="50" t="s">
        <v>29</v>
      </c>
      <c r="H140" s="50" t="s">
        <v>45</v>
      </c>
      <c r="I140" s="285">
        <v>0</v>
      </c>
      <c r="J140" s="285" t="s">
        <v>31</v>
      </c>
      <c r="K140" s="285" t="s">
        <v>31</v>
      </c>
      <c r="L140" s="285" t="s">
        <v>31</v>
      </c>
      <c r="M140" s="285" t="s">
        <v>31</v>
      </c>
      <c r="N140" s="285" t="s">
        <v>31</v>
      </c>
    </row>
    <row r="141" spans="1:15" s="54" customFormat="1" ht="15.6">
      <c r="A141" s="314" t="s">
        <v>5</v>
      </c>
      <c r="B141" s="292" t="s">
        <v>661</v>
      </c>
      <c r="C141" s="292"/>
      <c r="D141" s="55"/>
      <c r="I141" s="293"/>
      <c r="J141" s="293"/>
      <c r="K141" s="293"/>
      <c r="L141" s="293"/>
      <c r="M141" s="293"/>
      <c r="N141" s="293"/>
    </row>
    <row r="142" spans="1:15">
      <c r="A142" s="50" t="s">
        <v>7</v>
      </c>
      <c r="B142" s="284" t="s">
        <v>630</v>
      </c>
    </row>
    <row r="143" spans="1:15">
      <c r="A143" s="50" t="s">
        <v>9</v>
      </c>
      <c r="B143" s="50" t="s">
        <v>702</v>
      </c>
    </row>
    <row r="144" spans="1:15">
      <c r="A144" s="50" t="s">
        <v>11</v>
      </c>
      <c r="B144" s="284" t="s">
        <v>680</v>
      </c>
    </row>
    <row r="145" spans="1:15">
      <c r="A145" s="50" t="s">
        <v>13</v>
      </c>
      <c r="B145" s="284" t="s">
        <v>59</v>
      </c>
    </row>
    <row r="146" spans="1:15">
      <c r="A146" s="50" t="s">
        <v>15</v>
      </c>
      <c r="B146" s="284">
        <v>1</v>
      </c>
    </row>
    <row r="147" spans="1:15">
      <c r="A147" s="50" t="s">
        <v>16</v>
      </c>
      <c r="B147" s="284" t="s">
        <v>17</v>
      </c>
    </row>
    <row r="148" spans="1:15">
      <c r="A148" s="50" t="s">
        <v>18</v>
      </c>
      <c r="B148" s="284" t="s">
        <v>37</v>
      </c>
    </row>
    <row r="149" spans="1:15" ht="15.6">
      <c r="A149" s="53" t="s">
        <v>19</v>
      </c>
    </row>
    <row r="150" spans="1:15" ht="15.6">
      <c r="A150" s="53" t="s">
        <v>20</v>
      </c>
      <c r="B150" s="286" t="s">
        <v>21</v>
      </c>
      <c r="C150" s="286" t="s">
        <v>186</v>
      </c>
      <c r="D150" s="53" t="s">
        <v>18</v>
      </c>
      <c r="E150" s="53" t="s">
        <v>22</v>
      </c>
      <c r="F150" s="53" t="s">
        <v>7</v>
      </c>
      <c r="G150" s="53" t="s">
        <v>13</v>
      </c>
      <c r="H150" s="53" t="s">
        <v>16</v>
      </c>
      <c r="I150" s="287" t="s">
        <v>23</v>
      </c>
      <c r="J150" s="287" t="s">
        <v>24</v>
      </c>
      <c r="K150" s="287" t="s">
        <v>25</v>
      </c>
      <c r="L150" s="287" t="s">
        <v>26</v>
      </c>
      <c r="M150" s="287" t="s">
        <v>27</v>
      </c>
      <c r="N150" s="287" t="s">
        <v>28</v>
      </c>
      <c r="O150" s="53" t="s">
        <v>11</v>
      </c>
    </row>
    <row r="151" spans="1:15" ht="15.6">
      <c r="A151" s="289" t="str">
        <f>B141</f>
        <v>production of Lanthanum manganite, LaMnO₃ powder</v>
      </c>
      <c r="B151" s="289">
        <v>1</v>
      </c>
      <c r="C151" s="289"/>
      <c r="D151" s="289" t="str">
        <f>B148</f>
        <v>kilogram</v>
      </c>
      <c r="E151" s="51" t="s">
        <v>2</v>
      </c>
      <c r="F151" s="50" t="s">
        <v>630</v>
      </c>
      <c r="G151" s="51" t="s">
        <v>59</v>
      </c>
      <c r="H151" s="51" t="s">
        <v>30</v>
      </c>
      <c r="I151" s="290">
        <v>0</v>
      </c>
      <c r="J151" s="290" t="s">
        <v>31</v>
      </c>
      <c r="K151" s="290" t="s">
        <v>31</v>
      </c>
      <c r="L151" s="290" t="s">
        <v>31</v>
      </c>
      <c r="M151" s="290" t="s">
        <v>31</v>
      </c>
      <c r="N151" s="290" t="s">
        <v>31</v>
      </c>
      <c r="O151" s="51" t="s">
        <v>478</v>
      </c>
    </row>
    <row r="152" spans="1:15" ht="15.6">
      <c r="A152" s="284" t="str">
        <f>A108</f>
        <v>production of Lanthanum nitrate - La(NO3)2</v>
      </c>
      <c r="B152" s="284">
        <v>1.3440000000000001</v>
      </c>
      <c r="D152" s="289" t="s">
        <v>37</v>
      </c>
      <c r="E152" s="65" t="s">
        <v>2</v>
      </c>
      <c r="F152" s="50" t="s">
        <v>630</v>
      </c>
      <c r="G152" s="50" t="s">
        <v>59</v>
      </c>
      <c r="H152" s="50" t="s">
        <v>33</v>
      </c>
      <c r="I152" s="285">
        <v>0</v>
      </c>
      <c r="J152" s="285" t="s">
        <v>31</v>
      </c>
      <c r="K152" s="285" t="s">
        <v>31</v>
      </c>
      <c r="L152" s="290" t="s">
        <v>31</v>
      </c>
      <c r="M152" s="290" t="s">
        <v>31</v>
      </c>
      <c r="N152" s="290" t="s">
        <v>31</v>
      </c>
      <c r="O152" s="50" t="s">
        <v>678</v>
      </c>
    </row>
    <row r="153" spans="1:15" ht="15.6">
      <c r="A153" s="284" t="str">
        <f>A137</f>
        <v>production of Manganese (II) nitrate - Mn(NO3)2</v>
      </c>
      <c r="B153" s="284">
        <v>0.74</v>
      </c>
      <c r="D153" s="289" t="s">
        <v>37</v>
      </c>
      <c r="E153" s="50" t="s">
        <v>2</v>
      </c>
      <c r="F153" s="50" t="s">
        <v>630</v>
      </c>
      <c r="G153" s="50" t="s">
        <v>59</v>
      </c>
      <c r="H153" s="50" t="s">
        <v>33</v>
      </c>
      <c r="I153" s="285">
        <v>0</v>
      </c>
      <c r="J153" s="285" t="s">
        <v>31</v>
      </c>
      <c r="K153" s="285" t="s">
        <v>31</v>
      </c>
      <c r="L153" s="290" t="s">
        <v>31</v>
      </c>
      <c r="M153" s="290" t="s">
        <v>31</v>
      </c>
      <c r="N153" s="290" t="s">
        <v>31</v>
      </c>
    </row>
    <row r="154" spans="1:15" ht="15.6">
      <c r="A154" s="50" t="s">
        <v>703</v>
      </c>
      <c r="B154" s="284">
        <v>1.589</v>
      </c>
      <c r="D154" s="289" t="s">
        <v>37</v>
      </c>
      <c r="E154" s="65" t="s">
        <v>40</v>
      </c>
      <c r="F154" s="50" t="s">
        <v>29</v>
      </c>
      <c r="G154" s="50" t="s">
        <v>59</v>
      </c>
      <c r="H154" s="50" t="s">
        <v>33</v>
      </c>
      <c r="I154" s="285">
        <v>0</v>
      </c>
      <c r="J154" s="285" t="s">
        <v>31</v>
      </c>
      <c r="K154" s="285" t="s">
        <v>31</v>
      </c>
      <c r="L154" s="290" t="s">
        <v>31</v>
      </c>
      <c r="M154" s="290" t="s">
        <v>31</v>
      </c>
      <c r="N154" s="290" t="s">
        <v>31</v>
      </c>
    </row>
    <row r="155" spans="1:15" ht="15.6">
      <c r="A155" s="289" t="s">
        <v>656</v>
      </c>
      <c r="B155" s="289">
        <v>50</v>
      </c>
      <c r="C155" s="289"/>
      <c r="D155" s="51" t="s">
        <v>37</v>
      </c>
      <c r="E155" s="51" t="s">
        <v>40</v>
      </c>
      <c r="F155" s="50" t="s">
        <v>29</v>
      </c>
      <c r="G155" s="51" t="s">
        <v>82</v>
      </c>
      <c r="H155" s="51" t="s">
        <v>33</v>
      </c>
      <c r="I155" s="290">
        <v>0</v>
      </c>
      <c r="J155" s="290" t="s">
        <v>31</v>
      </c>
      <c r="K155" s="290" t="s">
        <v>31</v>
      </c>
      <c r="L155" s="290" t="s">
        <v>31</v>
      </c>
      <c r="M155" s="290" t="s">
        <v>31</v>
      </c>
      <c r="N155" s="290" t="s">
        <v>31</v>
      </c>
      <c r="O155" s="51"/>
    </row>
    <row r="156" spans="1:15" ht="15.6">
      <c r="A156" s="50" t="s">
        <v>76</v>
      </c>
      <c r="B156" s="317">
        <f>-50/1000</f>
        <v>-0.05</v>
      </c>
      <c r="D156" s="284" t="s">
        <v>42</v>
      </c>
      <c r="E156" s="65" t="s">
        <v>40</v>
      </c>
      <c r="F156" s="50" t="s">
        <v>29</v>
      </c>
      <c r="G156" s="50" t="s">
        <v>82</v>
      </c>
      <c r="H156" s="50" t="s">
        <v>33</v>
      </c>
      <c r="I156" s="285">
        <v>0</v>
      </c>
      <c r="J156" s="285" t="s">
        <v>31</v>
      </c>
      <c r="K156" s="285" t="s">
        <v>31</v>
      </c>
      <c r="L156" s="290" t="s">
        <v>31</v>
      </c>
      <c r="M156" s="290" t="s">
        <v>31</v>
      </c>
      <c r="N156" s="290" t="s">
        <v>31</v>
      </c>
      <c r="O156" s="50" t="s">
        <v>693</v>
      </c>
    </row>
    <row r="157" spans="1:15" s="54" customFormat="1" ht="15.6">
      <c r="A157" s="56" t="s">
        <v>5</v>
      </c>
      <c r="B157" s="292" t="s">
        <v>704</v>
      </c>
      <c r="C157" s="292"/>
      <c r="D157" s="55"/>
      <c r="I157" s="293"/>
      <c r="J157" s="293"/>
      <c r="K157" s="293"/>
      <c r="L157" s="293"/>
      <c r="M157" s="293"/>
      <c r="N157" s="293"/>
    </row>
    <row r="158" spans="1:15">
      <c r="A158" s="50" t="s">
        <v>7</v>
      </c>
      <c r="B158" s="50" t="s">
        <v>630</v>
      </c>
    </row>
    <row r="159" spans="1:15">
      <c r="A159" s="50" t="s">
        <v>9</v>
      </c>
      <c r="B159" s="50" t="s">
        <v>705</v>
      </c>
    </row>
    <row r="160" spans="1:15">
      <c r="A160" s="50" t="s">
        <v>11</v>
      </c>
      <c r="B160" s="50" t="s">
        <v>706</v>
      </c>
    </row>
    <row r="161" spans="1:17">
      <c r="A161" s="50" t="s">
        <v>13</v>
      </c>
      <c r="B161" s="284" t="s">
        <v>59</v>
      </c>
    </row>
    <row r="162" spans="1:17">
      <c r="A162" s="50" t="s">
        <v>15</v>
      </c>
      <c r="B162" s="284">
        <v>1</v>
      </c>
    </row>
    <row r="163" spans="1:17">
      <c r="A163" s="50" t="s">
        <v>16</v>
      </c>
      <c r="B163" s="284" t="s">
        <v>17</v>
      </c>
    </row>
    <row r="164" spans="1:17">
      <c r="A164" s="50" t="s">
        <v>18</v>
      </c>
      <c r="B164" s="284" t="s">
        <v>18</v>
      </c>
    </row>
    <row r="165" spans="1:17" ht="15.6">
      <c r="A165" s="53" t="s">
        <v>19</v>
      </c>
    </row>
    <row r="166" spans="1:17" ht="15.6">
      <c r="A166" s="53" t="s">
        <v>20</v>
      </c>
      <c r="B166" s="286" t="s">
        <v>21</v>
      </c>
      <c r="C166" s="286" t="s">
        <v>186</v>
      </c>
      <c r="D166" s="53" t="s">
        <v>18</v>
      </c>
      <c r="E166" s="53" t="s">
        <v>22</v>
      </c>
      <c r="F166" s="53" t="s">
        <v>7</v>
      </c>
      <c r="G166" s="53" t="s">
        <v>13</v>
      </c>
      <c r="H166" s="53" t="s">
        <v>16</v>
      </c>
      <c r="I166" s="287" t="s">
        <v>23</v>
      </c>
      <c r="J166" s="287" t="s">
        <v>24</v>
      </c>
      <c r="K166" s="287" t="s">
        <v>25</v>
      </c>
      <c r="L166" s="287" t="s">
        <v>26</v>
      </c>
      <c r="M166" s="287" t="s">
        <v>27</v>
      </c>
      <c r="N166" s="287" t="s">
        <v>28</v>
      </c>
      <c r="O166" s="53" t="s">
        <v>11</v>
      </c>
    </row>
    <row r="167" spans="1:17" ht="15.6">
      <c r="A167" s="17" t="str">
        <f>B157</f>
        <v>production of fuel cells</v>
      </c>
      <c r="B167" s="289">
        <v>1</v>
      </c>
      <c r="C167" s="289"/>
      <c r="D167" s="50" t="str">
        <f>B164</f>
        <v>unit</v>
      </c>
      <c r="E167" s="51" t="s">
        <v>2</v>
      </c>
      <c r="F167" s="50" t="s">
        <v>630</v>
      </c>
      <c r="G167" s="51" t="s">
        <v>59</v>
      </c>
      <c r="H167" s="51" t="s">
        <v>30</v>
      </c>
      <c r="I167" s="290">
        <v>0</v>
      </c>
      <c r="J167" s="290" t="s">
        <v>31</v>
      </c>
      <c r="K167" s="290" t="s">
        <v>31</v>
      </c>
      <c r="L167" s="290" t="s">
        <v>31</v>
      </c>
      <c r="M167" s="290" t="s">
        <v>31</v>
      </c>
      <c r="N167" s="290" t="s">
        <v>31</v>
      </c>
      <c r="O167" s="51" t="s">
        <v>478</v>
      </c>
    </row>
    <row r="168" spans="1:17" ht="15.6">
      <c r="A168" s="294" t="s">
        <v>642</v>
      </c>
      <c r="B168" s="284">
        <v>1</v>
      </c>
      <c r="D168" s="50" t="s">
        <v>18</v>
      </c>
      <c r="E168" s="51" t="s">
        <v>2</v>
      </c>
      <c r="F168" s="50" t="s">
        <v>630</v>
      </c>
      <c r="G168" s="51" t="s">
        <v>59</v>
      </c>
      <c r="H168" s="51" t="s">
        <v>33</v>
      </c>
      <c r="I168" s="290">
        <v>0</v>
      </c>
      <c r="J168" s="290" t="s">
        <v>31</v>
      </c>
      <c r="K168" s="290" t="s">
        <v>31</v>
      </c>
      <c r="L168" s="290" t="s">
        <v>31</v>
      </c>
      <c r="M168" s="290" t="s">
        <v>31</v>
      </c>
      <c r="N168" s="290" t="s">
        <v>31</v>
      </c>
    </row>
    <row r="169" spans="1:17" ht="15.6">
      <c r="A169" s="318" t="str">
        <f>A78</f>
        <v>production of SOFC cathode</v>
      </c>
      <c r="B169" s="284">
        <v>1</v>
      </c>
      <c r="D169" s="50" t="s">
        <v>18</v>
      </c>
      <c r="E169" s="51" t="s">
        <v>2</v>
      </c>
      <c r="F169" s="50" t="s">
        <v>630</v>
      </c>
      <c r="G169" s="51" t="s">
        <v>59</v>
      </c>
      <c r="H169" s="51" t="s">
        <v>33</v>
      </c>
      <c r="I169" s="290">
        <v>0</v>
      </c>
      <c r="J169" s="290" t="s">
        <v>31</v>
      </c>
      <c r="K169" s="290" t="s">
        <v>31</v>
      </c>
      <c r="L169" s="290" t="s">
        <v>31</v>
      </c>
      <c r="M169" s="290" t="s">
        <v>31</v>
      </c>
      <c r="N169" s="290" t="s">
        <v>31</v>
      </c>
    </row>
    <row r="170" spans="1:17" s="54" customFormat="1" ht="15.6">
      <c r="A170" s="56" t="s">
        <v>5</v>
      </c>
      <c r="B170" s="292" t="s">
        <v>640</v>
      </c>
      <c r="C170" s="292"/>
      <c r="D170" s="55"/>
      <c r="I170" s="293"/>
      <c r="J170" s="293"/>
      <c r="K170" s="293"/>
      <c r="L170" s="293"/>
      <c r="M170" s="293"/>
      <c r="N170" s="293"/>
    </row>
    <row r="171" spans="1:17">
      <c r="A171" s="50" t="s">
        <v>7</v>
      </c>
      <c r="B171" s="284" t="s">
        <v>630</v>
      </c>
    </row>
    <row r="172" spans="1:17">
      <c r="A172" s="50" t="s">
        <v>9</v>
      </c>
      <c r="B172" s="50" t="s">
        <v>707</v>
      </c>
    </row>
    <row r="173" spans="1:17">
      <c r="A173" s="50" t="s">
        <v>11</v>
      </c>
      <c r="B173" s="284" t="s">
        <v>708</v>
      </c>
    </row>
    <row r="174" spans="1:17">
      <c r="A174" s="50" t="s">
        <v>13</v>
      </c>
      <c r="B174" s="284" t="s">
        <v>59</v>
      </c>
    </row>
    <row r="175" spans="1:17">
      <c r="A175" s="50" t="s">
        <v>15</v>
      </c>
      <c r="B175" s="284">
        <v>1</v>
      </c>
    </row>
    <row r="176" spans="1:17" ht="15.6">
      <c r="A176" s="50" t="s">
        <v>16</v>
      </c>
      <c r="B176" s="284" t="s">
        <v>17</v>
      </c>
      <c r="Q176" s="51"/>
    </row>
    <row r="177" spans="1:17">
      <c r="A177" s="50" t="s">
        <v>18</v>
      </c>
      <c r="B177" s="284" t="s">
        <v>18</v>
      </c>
    </row>
    <row r="178" spans="1:17" ht="15.6">
      <c r="A178" s="53" t="s">
        <v>19</v>
      </c>
    </row>
    <row r="179" spans="1:17" ht="15.6">
      <c r="A179" s="53" t="s">
        <v>20</v>
      </c>
      <c r="B179" s="286" t="s">
        <v>21</v>
      </c>
      <c r="C179" s="286" t="s">
        <v>186</v>
      </c>
      <c r="D179" s="53" t="s">
        <v>18</v>
      </c>
      <c r="E179" s="53" t="s">
        <v>22</v>
      </c>
      <c r="F179" s="53" t="s">
        <v>7</v>
      </c>
      <c r="G179" s="53" t="s">
        <v>13</v>
      </c>
      <c r="H179" s="53" t="s">
        <v>16</v>
      </c>
      <c r="I179" s="287" t="s">
        <v>23</v>
      </c>
      <c r="J179" s="287" t="s">
        <v>24</v>
      </c>
      <c r="K179" s="287" t="s">
        <v>25</v>
      </c>
      <c r="L179" s="287" t="s">
        <v>26</v>
      </c>
      <c r="M179" s="287" t="s">
        <v>27</v>
      </c>
      <c r="N179" s="287" t="s">
        <v>28</v>
      </c>
      <c r="O179" s="53" t="s">
        <v>11</v>
      </c>
    </row>
    <row r="180" spans="1:17" ht="15.6">
      <c r="A180" s="289" t="str">
        <f>B170</f>
        <v>production of planar interconnect, current collectors, casing end plates</v>
      </c>
      <c r="B180" s="289">
        <v>1</v>
      </c>
      <c r="C180" s="289"/>
      <c r="D180" s="289" t="str">
        <f>B177</f>
        <v>unit</v>
      </c>
      <c r="E180" s="51" t="s">
        <v>2</v>
      </c>
      <c r="F180" s="50" t="s">
        <v>630</v>
      </c>
      <c r="G180" s="51" t="s">
        <v>59</v>
      </c>
      <c r="H180" s="51" t="s">
        <v>30</v>
      </c>
      <c r="I180" s="290">
        <v>0</v>
      </c>
      <c r="J180" s="290" t="s">
        <v>31</v>
      </c>
      <c r="K180" s="290" t="s">
        <v>31</v>
      </c>
      <c r="L180" s="290" t="s">
        <v>31</v>
      </c>
      <c r="M180" s="290" t="s">
        <v>31</v>
      </c>
      <c r="N180" s="290" t="s">
        <v>31</v>
      </c>
      <c r="O180" s="51" t="s">
        <v>478</v>
      </c>
    </row>
    <row r="181" spans="1:17" ht="15.6">
      <c r="A181" s="50" t="s">
        <v>709</v>
      </c>
      <c r="B181" s="284">
        <f>6*34.972</f>
        <v>209.83199999999999</v>
      </c>
      <c r="D181" s="289" t="s">
        <v>37</v>
      </c>
      <c r="E181" s="65" t="s">
        <v>40</v>
      </c>
      <c r="F181" s="50" t="s">
        <v>29</v>
      </c>
      <c r="G181" s="50" t="s">
        <v>59</v>
      </c>
      <c r="H181" s="50" t="s">
        <v>33</v>
      </c>
      <c r="I181" s="285">
        <v>2</v>
      </c>
      <c r="J181" s="285">
        <f>LN(B181)</f>
        <v>5.3463072105466996</v>
      </c>
      <c r="K181" s="290">
        <v>2.6457512999999998E-2</v>
      </c>
      <c r="L181" s="290" t="s">
        <v>31</v>
      </c>
      <c r="M181" s="290" t="s">
        <v>31</v>
      </c>
      <c r="N181" s="290" t="s">
        <v>31</v>
      </c>
      <c r="O181" s="50" t="s">
        <v>678</v>
      </c>
    </row>
    <row r="182" spans="1:17" ht="15.6">
      <c r="A182" s="50" t="s">
        <v>710</v>
      </c>
      <c r="B182" s="284">
        <f>6*20.233</f>
        <v>121.398</v>
      </c>
      <c r="D182" s="289" t="s">
        <v>37</v>
      </c>
      <c r="E182" s="65" t="s">
        <v>40</v>
      </c>
      <c r="F182" s="50" t="s">
        <v>29</v>
      </c>
      <c r="G182" s="50" t="s">
        <v>59</v>
      </c>
      <c r="H182" s="50" t="s">
        <v>33</v>
      </c>
      <c r="I182" s="285">
        <v>2</v>
      </c>
      <c r="J182" s="285">
        <f>LN(B182)</f>
        <v>4.7990744040251121</v>
      </c>
      <c r="K182" s="290">
        <v>2.6457512999999998E-2</v>
      </c>
      <c r="L182" s="290" t="s">
        <v>31</v>
      </c>
      <c r="M182" s="290" t="s">
        <v>31</v>
      </c>
      <c r="N182" s="290" t="s">
        <v>31</v>
      </c>
    </row>
    <row r="183" spans="1:17" ht="15.6">
      <c r="A183" s="57" t="s">
        <v>711</v>
      </c>
      <c r="B183" s="284">
        <f>6*20.233</f>
        <v>121.398</v>
      </c>
      <c r="D183" s="289" t="s">
        <v>37</v>
      </c>
      <c r="E183" s="65" t="s">
        <v>40</v>
      </c>
      <c r="F183" s="50" t="s">
        <v>29</v>
      </c>
      <c r="G183" s="50" t="s">
        <v>59</v>
      </c>
      <c r="H183" s="50" t="s">
        <v>33</v>
      </c>
      <c r="I183" s="285">
        <v>2</v>
      </c>
      <c r="J183" s="285">
        <f>LN(B183)</f>
        <v>4.7990744040251121</v>
      </c>
      <c r="K183" s="290">
        <v>2.6457512999999998E-2</v>
      </c>
      <c r="L183" s="290" t="s">
        <v>31</v>
      </c>
      <c r="M183" s="290" t="s">
        <v>31</v>
      </c>
      <c r="N183" s="290" t="s">
        <v>31</v>
      </c>
    </row>
    <row r="184" spans="1:17" s="54" customFormat="1" ht="15.6">
      <c r="A184" s="56" t="s">
        <v>5</v>
      </c>
      <c r="B184" s="292" t="s">
        <v>641</v>
      </c>
      <c r="C184" s="292"/>
      <c r="D184" s="55"/>
      <c r="I184" s="293"/>
      <c r="J184" s="293"/>
      <c r="K184" s="293"/>
      <c r="L184" s="293"/>
      <c r="M184" s="293"/>
      <c r="N184" s="293"/>
    </row>
    <row r="185" spans="1:17">
      <c r="A185" s="50" t="s">
        <v>7</v>
      </c>
      <c r="B185" s="284" t="s">
        <v>630</v>
      </c>
    </row>
    <row r="186" spans="1:17">
      <c r="A186" s="50" t="s">
        <v>9</v>
      </c>
      <c r="B186" s="50" t="s">
        <v>712</v>
      </c>
    </row>
    <row r="187" spans="1:17">
      <c r="A187" s="50" t="s">
        <v>11</v>
      </c>
      <c r="B187" s="284" t="s">
        <v>708</v>
      </c>
    </row>
    <row r="188" spans="1:17">
      <c r="A188" s="50" t="s">
        <v>13</v>
      </c>
      <c r="B188" s="284" t="s">
        <v>59</v>
      </c>
    </row>
    <row r="189" spans="1:17">
      <c r="A189" s="50" t="s">
        <v>15</v>
      </c>
      <c r="B189" s="284">
        <v>1</v>
      </c>
    </row>
    <row r="190" spans="1:17" ht="15.6">
      <c r="A190" s="50" t="s">
        <v>16</v>
      </c>
      <c r="B190" s="284" t="s">
        <v>17</v>
      </c>
      <c r="Q190" s="51"/>
    </row>
    <row r="191" spans="1:17">
      <c r="A191" s="50" t="s">
        <v>18</v>
      </c>
      <c r="B191" s="284" t="s">
        <v>18</v>
      </c>
    </row>
    <row r="192" spans="1:17" ht="15.6">
      <c r="A192" s="53" t="s">
        <v>19</v>
      </c>
    </row>
    <row r="193" spans="1:17" ht="15.6">
      <c r="A193" s="53" t="s">
        <v>20</v>
      </c>
      <c r="B193" s="286" t="s">
        <v>21</v>
      </c>
      <c r="C193" s="286" t="s">
        <v>186</v>
      </c>
      <c r="D193" s="53" t="s">
        <v>18</v>
      </c>
      <c r="E193" s="53" t="s">
        <v>22</v>
      </c>
      <c r="F193" s="53" t="s">
        <v>7</v>
      </c>
      <c r="G193" s="53" t="s">
        <v>13</v>
      </c>
      <c r="H193" s="53" t="s">
        <v>16</v>
      </c>
      <c r="I193" s="287" t="s">
        <v>23</v>
      </c>
      <c r="J193" s="287" t="s">
        <v>24</v>
      </c>
      <c r="K193" s="287" t="s">
        <v>25</v>
      </c>
      <c r="L193" s="287" t="s">
        <v>26</v>
      </c>
      <c r="M193" s="287" t="s">
        <v>27</v>
      </c>
      <c r="N193" s="287" t="s">
        <v>28</v>
      </c>
      <c r="O193" s="53" t="s">
        <v>11</v>
      </c>
    </row>
    <row r="194" spans="1:17" ht="15.6">
      <c r="A194" s="289" t="str">
        <f>B184</f>
        <v>production of insulated pressure vessel</v>
      </c>
      <c r="B194" s="289">
        <v>1</v>
      </c>
      <c r="C194" s="289"/>
      <c r="D194" s="289" t="str">
        <f>B191</f>
        <v>unit</v>
      </c>
      <c r="E194" s="51" t="s">
        <v>2</v>
      </c>
      <c r="F194" s="50" t="s">
        <v>630</v>
      </c>
      <c r="G194" s="51" t="s">
        <v>59</v>
      </c>
      <c r="H194" s="51" t="s">
        <v>30</v>
      </c>
      <c r="I194" s="290">
        <v>0</v>
      </c>
      <c r="J194" s="290" t="s">
        <v>31</v>
      </c>
      <c r="K194" s="290" t="s">
        <v>31</v>
      </c>
      <c r="L194" s="290" t="s">
        <v>31</v>
      </c>
      <c r="M194" s="290" t="s">
        <v>31</v>
      </c>
      <c r="N194" s="290" t="s">
        <v>31</v>
      </c>
      <c r="O194" s="51" t="s">
        <v>478</v>
      </c>
    </row>
    <row r="195" spans="1:17" ht="15.6">
      <c r="A195" t="s">
        <v>713</v>
      </c>
      <c r="B195" s="284">
        <f>6*5.608</f>
        <v>33.647999999999996</v>
      </c>
      <c r="D195" s="289" t="s">
        <v>37</v>
      </c>
      <c r="E195" s="65" t="s">
        <v>40</v>
      </c>
      <c r="F195" s="50" t="s">
        <v>29</v>
      </c>
      <c r="G195" s="50" t="s">
        <v>59</v>
      </c>
      <c r="H195" s="50" t="s">
        <v>33</v>
      </c>
      <c r="I195" s="285">
        <v>2</v>
      </c>
      <c r="J195" s="285">
        <f>LN(B195)</f>
        <v>3.515953618960344</v>
      </c>
      <c r="K195" s="290">
        <v>2.6457512999999998E-2</v>
      </c>
      <c r="L195" s="290" t="s">
        <v>31</v>
      </c>
      <c r="M195" s="290" t="s">
        <v>31</v>
      </c>
      <c r="N195" s="290" t="s">
        <v>31</v>
      </c>
    </row>
    <row r="196" spans="1:17" s="54" customFormat="1" ht="15.6">
      <c r="A196" s="56" t="s">
        <v>5</v>
      </c>
      <c r="B196" s="292" t="s">
        <v>634</v>
      </c>
      <c r="C196" s="292"/>
      <c r="D196" s="55"/>
      <c r="I196" s="293"/>
      <c r="J196" s="293"/>
      <c r="K196" s="293"/>
      <c r="L196" s="293"/>
      <c r="M196" s="293"/>
      <c r="N196" s="293"/>
    </row>
    <row r="197" spans="1:17">
      <c r="A197" s="50" t="s">
        <v>7</v>
      </c>
      <c r="B197" s="284" t="s">
        <v>630</v>
      </c>
    </row>
    <row r="198" spans="1:17">
      <c r="A198" s="50" t="s">
        <v>9</v>
      </c>
      <c r="B198" s="50" t="s">
        <v>714</v>
      </c>
    </row>
    <row r="199" spans="1:17">
      <c r="A199" s="50" t="s">
        <v>11</v>
      </c>
      <c r="B199" s="284" t="s">
        <v>715</v>
      </c>
    </row>
    <row r="200" spans="1:17">
      <c r="A200" s="50" t="s">
        <v>13</v>
      </c>
      <c r="B200" s="284" t="s">
        <v>59</v>
      </c>
    </row>
    <row r="201" spans="1:17">
      <c r="A201" s="50" t="s">
        <v>15</v>
      </c>
      <c r="B201" s="284">
        <v>1</v>
      </c>
    </row>
    <row r="202" spans="1:17" ht="15.6">
      <c r="A202" s="50" t="s">
        <v>16</v>
      </c>
      <c r="B202" s="284" t="s">
        <v>17</v>
      </c>
      <c r="Q202" s="51"/>
    </row>
    <row r="203" spans="1:17">
      <c r="A203" s="50" t="s">
        <v>18</v>
      </c>
      <c r="B203" s="284" t="s">
        <v>18</v>
      </c>
    </row>
    <row r="204" spans="1:17" ht="15.6">
      <c r="A204" s="53" t="s">
        <v>19</v>
      </c>
    </row>
    <row r="205" spans="1:17" ht="15.6">
      <c r="A205" s="53" t="s">
        <v>20</v>
      </c>
      <c r="B205" s="286" t="s">
        <v>21</v>
      </c>
      <c r="C205" s="286" t="s">
        <v>186</v>
      </c>
      <c r="D205" s="53" t="s">
        <v>18</v>
      </c>
      <c r="E205" s="53" t="s">
        <v>22</v>
      </c>
      <c r="F205" s="53" t="s">
        <v>7</v>
      </c>
      <c r="G205" s="53" t="s">
        <v>13</v>
      </c>
      <c r="H205" s="53" t="s">
        <v>16</v>
      </c>
      <c r="I205" s="287" t="s">
        <v>23</v>
      </c>
      <c r="J205" s="287" t="s">
        <v>24</v>
      </c>
      <c r="K205" s="287" t="s">
        <v>25</v>
      </c>
      <c r="L205" s="287" t="s">
        <v>26</v>
      </c>
      <c r="M205" s="287" t="s">
        <v>27</v>
      </c>
      <c r="N205" s="287" t="s">
        <v>28</v>
      </c>
      <c r="O205" s="53" t="s">
        <v>11</v>
      </c>
    </row>
    <row r="206" spans="1:17" ht="15.6">
      <c r="A206" s="289" t="str">
        <f>B196</f>
        <v>production of air system</v>
      </c>
      <c r="B206" s="289">
        <v>1</v>
      </c>
      <c r="C206" s="289"/>
      <c r="D206" s="289" t="str">
        <f>B203</f>
        <v>unit</v>
      </c>
      <c r="E206" s="51" t="s">
        <v>2</v>
      </c>
      <c r="F206" s="50" t="s">
        <v>630</v>
      </c>
      <c r="G206" s="51" t="s">
        <v>59</v>
      </c>
      <c r="H206" s="51" t="s">
        <v>30</v>
      </c>
      <c r="I206" s="290">
        <v>0</v>
      </c>
      <c r="J206" s="290" t="s">
        <v>31</v>
      </c>
      <c r="K206" s="290" t="s">
        <v>31</v>
      </c>
      <c r="L206" s="290" t="s">
        <v>31</v>
      </c>
      <c r="M206" s="290" t="s">
        <v>31</v>
      </c>
      <c r="N206" s="290" t="s">
        <v>31</v>
      </c>
      <c r="O206" s="51" t="s">
        <v>478</v>
      </c>
    </row>
    <row r="207" spans="1:17" ht="15.6">
      <c r="A207" s="50" t="s">
        <v>86</v>
      </c>
      <c r="B207" s="284">
        <v>45.170611200000003</v>
      </c>
      <c r="D207" s="289" t="s">
        <v>37</v>
      </c>
      <c r="E207" s="65" t="s">
        <v>40</v>
      </c>
      <c r="F207" s="50" t="s">
        <v>29</v>
      </c>
      <c r="G207" s="50" t="s">
        <v>59</v>
      </c>
      <c r="H207" s="50" t="s">
        <v>33</v>
      </c>
      <c r="I207" s="285">
        <v>2</v>
      </c>
      <c r="J207" s="285">
        <f>LN(B207)</f>
        <v>3.810446680679684</v>
      </c>
      <c r="K207" s="290">
        <v>2.6457512999999998E-2</v>
      </c>
      <c r="L207" s="290" t="s">
        <v>31</v>
      </c>
      <c r="M207" s="290" t="s">
        <v>31</v>
      </c>
      <c r="N207" s="290" t="s">
        <v>31</v>
      </c>
    </row>
    <row r="208" spans="1:17" ht="15.6">
      <c r="A208" s="57" t="s">
        <v>567</v>
      </c>
      <c r="B208" s="284">
        <v>45.170611200000003</v>
      </c>
      <c r="D208" s="289" t="s">
        <v>37</v>
      </c>
      <c r="E208" s="65" t="s">
        <v>40</v>
      </c>
      <c r="F208" s="50" t="s">
        <v>29</v>
      </c>
      <c r="G208" s="50" t="s">
        <v>59</v>
      </c>
      <c r="H208" s="50" t="s">
        <v>33</v>
      </c>
      <c r="I208" s="285">
        <v>2</v>
      </c>
      <c r="J208" s="285">
        <f>LN(B208)</f>
        <v>3.810446680679684</v>
      </c>
      <c r="K208" s="290">
        <v>2.6457512999999998E-2</v>
      </c>
      <c r="L208" s="290" t="s">
        <v>31</v>
      </c>
      <c r="M208" s="290" t="s">
        <v>31</v>
      </c>
      <c r="N208" s="290" t="s">
        <v>31</v>
      </c>
    </row>
    <row r="209" spans="1:17" ht="15.6">
      <c r="A209" s="50" t="s">
        <v>205</v>
      </c>
      <c r="B209" s="284">
        <v>15.056870399999999</v>
      </c>
      <c r="D209" s="289" t="s">
        <v>37</v>
      </c>
      <c r="E209" s="65" t="s">
        <v>40</v>
      </c>
      <c r="F209" s="50" t="s">
        <v>29</v>
      </c>
      <c r="G209" s="50" t="s">
        <v>59</v>
      </c>
      <c r="H209" s="50" t="s">
        <v>33</v>
      </c>
      <c r="I209" s="285">
        <v>2</v>
      </c>
      <c r="J209" s="285">
        <f>LN(B209)</f>
        <v>2.7118343920115739</v>
      </c>
      <c r="K209" s="290">
        <v>2.6457512999999998E-2</v>
      </c>
      <c r="L209" s="290" t="s">
        <v>31</v>
      </c>
      <c r="M209" s="290" t="s">
        <v>31</v>
      </c>
      <c r="N209" s="290" t="s">
        <v>31</v>
      </c>
    </row>
    <row r="210" spans="1:17" ht="15.6">
      <c r="A210" t="s">
        <v>120</v>
      </c>
      <c r="B210" s="284">
        <v>15.056870399999999</v>
      </c>
      <c r="D210" s="289" t="s">
        <v>37</v>
      </c>
      <c r="E210" s="65" t="s">
        <v>40</v>
      </c>
      <c r="F210" s="50" t="s">
        <v>29</v>
      </c>
      <c r="G210" s="50" t="s">
        <v>59</v>
      </c>
      <c r="H210" s="50" t="s">
        <v>33</v>
      </c>
      <c r="I210" s="285">
        <v>2</v>
      </c>
      <c r="J210" s="285">
        <f>LN(B210)</f>
        <v>2.7118343920115739</v>
      </c>
      <c r="K210" s="290">
        <v>2.6457512999999998E-2</v>
      </c>
      <c r="L210" s="290" t="s">
        <v>31</v>
      </c>
      <c r="M210" s="290" t="s">
        <v>31</v>
      </c>
      <c r="N210" s="290" t="s">
        <v>31</v>
      </c>
    </row>
    <row r="211" spans="1:17" s="54" customFormat="1" ht="15.6">
      <c r="A211" s="56" t="s">
        <v>5</v>
      </c>
      <c r="B211" s="292" t="s">
        <v>635</v>
      </c>
      <c r="C211" s="292"/>
      <c r="D211" s="55"/>
      <c r="I211" s="293"/>
      <c r="J211" s="293"/>
      <c r="K211" s="293"/>
      <c r="L211" s="293"/>
      <c r="M211" s="293"/>
      <c r="N211" s="293"/>
    </row>
    <row r="212" spans="1:17">
      <c r="A212" s="50" t="s">
        <v>7</v>
      </c>
      <c r="B212" s="284" t="s">
        <v>630</v>
      </c>
    </row>
    <row r="213" spans="1:17">
      <c r="A213" s="50" t="s">
        <v>9</v>
      </c>
      <c r="B213" s="50" t="s">
        <v>716</v>
      </c>
    </row>
    <row r="214" spans="1:17">
      <c r="A214" s="50" t="s">
        <v>11</v>
      </c>
      <c r="B214" s="284" t="s">
        <v>715</v>
      </c>
    </row>
    <row r="215" spans="1:17">
      <c r="A215" s="50" t="s">
        <v>13</v>
      </c>
      <c r="B215" s="284" t="s">
        <v>59</v>
      </c>
    </row>
    <row r="216" spans="1:17">
      <c r="A216" s="50" t="s">
        <v>15</v>
      </c>
      <c r="B216" s="284">
        <v>1</v>
      </c>
    </row>
    <row r="217" spans="1:17" ht="15.6">
      <c r="A217" s="50" t="s">
        <v>16</v>
      </c>
      <c r="B217" s="284" t="s">
        <v>17</v>
      </c>
      <c r="Q217" s="51"/>
    </row>
    <row r="218" spans="1:17">
      <c r="A218" s="50" t="s">
        <v>18</v>
      </c>
      <c r="B218" s="284" t="s">
        <v>18</v>
      </c>
    </row>
    <row r="219" spans="1:17" ht="15.6">
      <c r="A219" s="53" t="s">
        <v>19</v>
      </c>
    </row>
    <row r="220" spans="1:17" ht="15.6">
      <c r="A220" s="53" t="s">
        <v>20</v>
      </c>
      <c r="B220" s="286" t="s">
        <v>21</v>
      </c>
      <c r="C220" s="286" t="s">
        <v>186</v>
      </c>
      <c r="D220" s="53" t="s">
        <v>18</v>
      </c>
      <c r="E220" s="53" t="s">
        <v>22</v>
      </c>
      <c r="F220" s="53" t="s">
        <v>7</v>
      </c>
      <c r="G220" s="53" t="s">
        <v>13</v>
      </c>
      <c r="H220" s="53" t="s">
        <v>16</v>
      </c>
      <c r="I220" s="287" t="s">
        <v>23</v>
      </c>
      <c r="J220" s="287" t="s">
        <v>24</v>
      </c>
      <c r="K220" s="287" t="s">
        <v>25</v>
      </c>
      <c r="L220" s="287" t="s">
        <v>26</v>
      </c>
      <c r="M220" s="287" t="s">
        <v>27</v>
      </c>
      <c r="N220" s="287" t="s">
        <v>28</v>
      </c>
      <c r="O220" s="53" t="s">
        <v>11</v>
      </c>
    </row>
    <row r="221" spans="1:17" ht="15.6">
      <c r="A221" s="289" t="str">
        <f>B211</f>
        <v>production of fuel blower</v>
      </c>
      <c r="B221" s="289">
        <v>1</v>
      </c>
      <c r="C221" s="289"/>
      <c r="D221" s="289" t="str">
        <f>B218</f>
        <v>unit</v>
      </c>
      <c r="E221" s="51" t="s">
        <v>2</v>
      </c>
      <c r="F221" s="50" t="s">
        <v>630</v>
      </c>
      <c r="G221" s="51" t="s">
        <v>59</v>
      </c>
      <c r="H221" s="51" t="s">
        <v>30</v>
      </c>
      <c r="I221" s="290">
        <v>0</v>
      </c>
      <c r="J221" s="290" t="s">
        <v>31</v>
      </c>
      <c r="K221" s="290" t="s">
        <v>31</v>
      </c>
      <c r="L221" s="290" t="s">
        <v>31</v>
      </c>
      <c r="M221" s="290" t="s">
        <v>31</v>
      </c>
      <c r="N221" s="290" t="s">
        <v>31</v>
      </c>
      <c r="O221" s="51" t="s">
        <v>478</v>
      </c>
    </row>
    <row r="222" spans="1:17" ht="15.6">
      <c r="A222" s="50" t="s">
        <v>86</v>
      </c>
      <c r="B222" s="284">
        <v>15.194000000000001</v>
      </c>
      <c r="D222" s="289" t="s">
        <v>37</v>
      </c>
      <c r="E222" s="65" t="s">
        <v>40</v>
      </c>
      <c r="F222" s="50" t="s">
        <v>29</v>
      </c>
      <c r="G222" s="50" t="s">
        <v>59</v>
      </c>
      <c r="H222" s="50" t="s">
        <v>33</v>
      </c>
      <c r="I222" s="285">
        <v>2</v>
      </c>
      <c r="J222" s="285">
        <f>LN(B222)</f>
        <v>2.7209006130810298</v>
      </c>
      <c r="K222" s="290">
        <v>2.6457512999999998E-2</v>
      </c>
      <c r="L222" s="290" t="s">
        <v>31</v>
      </c>
      <c r="M222" s="290" t="s">
        <v>31</v>
      </c>
      <c r="N222" s="290" t="s">
        <v>31</v>
      </c>
    </row>
    <row r="223" spans="1:17" ht="15.6">
      <c r="A223" s="50" t="s">
        <v>567</v>
      </c>
      <c r="B223" s="284">
        <v>15.194000000000001</v>
      </c>
      <c r="D223" s="289" t="s">
        <v>37</v>
      </c>
      <c r="E223" s="65" t="s">
        <v>40</v>
      </c>
      <c r="F223" s="50" t="s">
        <v>29</v>
      </c>
      <c r="G223" s="50" t="s">
        <v>59</v>
      </c>
      <c r="H223" s="50" t="s">
        <v>33</v>
      </c>
      <c r="I223" s="285">
        <v>2</v>
      </c>
      <c r="J223" s="285">
        <f>LN(B223)</f>
        <v>2.7209006130810298</v>
      </c>
      <c r="K223" s="290">
        <v>2.6457512999999998E-2</v>
      </c>
      <c r="L223" s="290" t="s">
        <v>31</v>
      </c>
      <c r="M223" s="290" t="s">
        <v>31</v>
      </c>
      <c r="N223" s="290" t="s">
        <v>31</v>
      </c>
    </row>
    <row r="224" spans="1:17" ht="15.6">
      <c r="A224" s="50" t="s">
        <v>205</v>
      </c>
      <c r="B224" s="284">
        <v>5.0650000000000004</v>
      </c>
      <c r="D224" s="289" t="s">
        <v>37</v>
      </c>
      <c r="E224" s="65" t="s">
        <v>40</v>
      </c>
      <c r="F224" s="50" t="s">
        <v>29</v>
      </c>
      <c r="G224" s="50" t="s">
        <v>59</v>
      </c>
      <c r="H224" s="50" t="s">
        <v>33</v>
      </c>
      <c r="I224" s="285">
        <v>2</v>
      </c>
      <c r="J224" s="285">
        <f>LN(B224)</f>
        <v>1.6223541377006467</v>
      </c>
      <c r="K224" s="290">
        <v>2.6457512999999998E-2</v>
      </c>
      <c r="L224" s="290" t="s">
        <v>31</v>
      </c>
      <c r="M224" s="290" t="s">
        <v>31</v>
      </c>
      <c r="N224" s="290" t="s">
        <v>31</v>
      </c>
    </row>
    <row r="225" spans="1:17" ht="15.6">
      <c r="A225" t="s">
        <v>120</v>
      </c>
      <c r="B225" s="284">
        <v>5.0650000000000004</v>
      </c>
      <c r="D225" s="289" t="s">
        <v>37</v>
      </c>
      <c r="E225" s="65" t="s">
        <v>40</v>
      </c>
      <c r="F225" s="50" t="s">
        <v>29</v>
      </c>
      <c r="G225" s="50" t="s">
        <v>59</v>
      </c>
      <c r="H225" s="50" t="s">
        <v>33</v>
      </c>
      <c r="I225" s="285">
        <v>2</v>
      </c>
      <c r="J225" s="285">
        <f>LN(B225)</f>
        <v>1.6223541377006467</v>
      </c>
      <c r="K225" s="290">
        <v>2.6457512999999998E-2</v>
      </c>
      <c r="L225" s="290" t="s">
        <v>31</v>
      </c>
      <c r="M225" s="290" t="s">
        <v>31</v>
      </c>
      <c r="N225" s="290" t="s">
        <v>31</v>
      </c>
    </row>
    <row r="226" spans="1:17" s="54" customFormat="1" ht="15.6">
      <c r="A226" s="56" t="s">
        <v>5</v>
      </c>
      <c r="B226" s="292" t="s">
        <v>636</v>
      </c>
      <c r="C226" s="292"/>
      <c r="D226" s="55"/>
      <c r="I226" s="293"/>
      <c r="J226" s="293"/>
      <c r="K226" s="293"/>
      <c r="L226" s="293"/>
      <c r="M226" s="293"/>
      <c r="N226" s="293"/>
    </row>
    <row r="227" spans="1:17">
      <c r="A227" s="50" t="s">
        <v>7</v>
      </c>
      <c r="B227" s="284" t="s">
        <v>630</v>
      </c>
    </row>
    <row r="228" spans="1:17">
      <c r="A228" s="50" t="s">
        <v>9</v>
      </c>
      <c r="B228" s="50" t="s">
        <v>717</v>
      </c>
    </row>
    <row r="229" spans="1:17">
      <c r="A229" s="50" t="s">
        <v>11</v>
      </c>
      <c r="B229" s="284" t="s">
        <v>718</v>
      </c>
    </row>
    <row r="230" spans="1:17">
      <c r="A230" s="50" t="s">
        <v>13</v>
      </c>
      <c r="B230" s="284" t="s">
        <v>59</v>
      </c>
    </row>
    <row r="231" spans="1:17">
      <c r="A231" s="50" t="s">
        <v>15</v>
      </c>
      <c r="B231" s="284">
        <v>1</v>
      </c>
    </row>
    <row r="232" spans="1:17" ht="15.6">
      <c r="A232" s="50" t="s">
        <v>16</v>
      </c>
      <c r="B232" s="284" t="s">
        <v>17</v>
      </c>
      <c r="Q232" s="51"/>
    </row>
    <row r="233" spans="1:17">
      <c r="A233" s="50" t="s">
        <v>18</v>
      </c>
      <c r="B233" s="284" t="s">
        <v>18</v>
      </c>
    </row>
    <row r="234" spans="1:17" ht="15.6">
      <c r="A234" s="53" t="s">
        <v>19</v>
      </c>
    </row>
    <row r="235" spans="1:17" ht="15.6">
      <c r="A235" s="53" t="s">
        <v>20</v>
      </c>
      <c r="B235" s="286" t="s">
        <v>21</v>
      </c>
      <c r="C235" s="286" t="s">
        <v>186</v>
      </c>
      <c r="D235" s="53" t="s">
        <v>18</v>
      </c>
      <c r="E235" s="53" t="s">
        <v>22</v>
      </c>
      <c r="F235" s="53" t="s">
        <v>7</v>
      </c>
      <c r="G235" s="53" t="s">
        <v>13</v>
      </c>
      <c r="H235" s="53" t="s">
        <v>16</v>
      </c>
      <c r="I235" s="287" t="s">
        <v>23</v>
      </c>
      <c r="J235" s="287" t="s">
        <v>24</v>
      </c>
      <c r="K235" s="287" t="s">
        <v>25</v>
      </c>
      <c r="L235" s="287" t="s">
        <v>26</v>
      </c>
      <c r="M235" s="287" t="s">
        <v>27</v>
      </c>
      <c r="N235" s="287" t="s">
        <v>28</v>
      </c>
      <c r="O235" s="53" t="s">
        <v>11</v>
      </c>
    </row>
    <row r="236" spans="1:17" ht="15.6">
      <c r="A236" s="289" t="str">
        <f>B226</f>
        <v>production of heat exchanger</v>
      </c>
      <c r="B236" s="289">
        <v>1</v>
      </c>
      <c r="C236" s="289"/>
      <c r="D236" s="289" t="str">
        <f>B233</f>
        <v>unit</v>
      </c>
      <c r="E236" s="51" t="s">
        <v>2</v>
      </c>
      <c r="F236" s="50" t="s">
        <v>630</v>
      </c>
      <c r="G236" s="51" t="s">
        <v>59</v>
      </c>
      <c r="H236" s="51" t="s">
        <v>30</v>
      </c>
      <c r="I236" s="290">
        <v>0</v>
      </c>
      <c r="J236" s="290" t="s">
        <v>31</v>
      </c>
      <c r="K236" s="290" t="s">
        <v>31</v>
      </c>
      <c r="L236" s="290" t="s">
        <v>31</v>
      </c>
      <c r="M236" s="290" t="s">
        <v>31</v>
      </c>
      <c r="N236" s="290" t="s">
        <v>31</v>
      </c>
      <c r="O236" s="51" t="s">
        <v>478</v>
      </c>
    </row>
    <row r="237" spans="1:17" ht="15.6">
      <c r="A237" s="50" t="s">
        <v>710</v>
      </c>
      <c r="B237" s="284">
        <f>2*2.669</f>
        <v>5.3380000000000001</v>
      </c>
      <c r="D237" s="289" t="s">
        <v>37</v>
      </c>
      <c r="E237" s="65" t="s">
        <v>40</v>
      </c>
      <c r="F237" s="50" t="s">
        <v>29</v>
      </c>
      <c r="G237" s="50" t="s">
        <v>59</v>
      </c>
      <c r="H237" s="50" t="s">
        <v>33</v>
      </c>
      <c r="I237" s="285">
        <v>2</v>
      </c>
      <c r="J237" s="285">
        <f>LN(B237)</f>
        <v>1.6748510509823324</v>
      </c>
      <c r="K237" s="290">
        <v>2.6457512999999998E-2</v>
      </c>
      <c r="L237" s="290" t="s">
        <v>31</v>
      </c>
      <c r="M237" s="290" t="s">
        <v>31</v>
      </c>
      <c r="N237" s="290" t="s">
        <v>31</v>
      </c>
    </row>
    <row r="238" spans="1:17" ht="15.6">
      <c r="A238" s="57" t="s">
        <v>711</v>
      </c>
      <c r="B238" s="284">
        <f>2*2.669</f>
        <v>5.3380000000000001</v>
      </c>
      <c r="D238" s="289" t="s">
        <v>37</v>
      </c>
      <c r="E238" s="65" t="s">
        <v>40</v>
      </c>
      <c r="F238" s="50" t="s">
        <v>29</v>
      </c>
      <c r="G238" s="50" t="s">
        <v>59</v>
      </c>
      <c r="H238" s="50" t="s">
        <v>33</v>
      </c>
      <c r="I238" s="285">
        <v>2</v>
      </c>
      <c r="J238" s="285">
        <f>LN(B238)</f>
        <v>1.6748510509823324</v>
      </c>
      <c r="K238" s="290">
        <v>2.6457512999999998E-2</v>
      </c>
      <c r="L238" s="290" t="s">
        <v>31</v>
      </c>
      <c r="M238" s="290" t="s">
        <v>31</v>
      </c>
      <c r="N238" s="290" t="s">
        <v>31</v>
      </c>
    </row>
    <row r="239" spans="1:17" ht="15.6">
      <c r="A239" s="50" t="s">
        <v>709</v>
      </c>
      <c r="B239" s="284">
        <f>2*17.863</f>
        <v>35.725999999999999</v>
      </c>
      <c r="D239" s="289" t="s">
        <v>37</v>
      </c>
      <c r="E239" s="65" t="s">
        <v>40</v>
      </c>
      <c r="F239" s="50" t="s">
        <v>29</v>
      </c>
      <c r="G239" s="50" t="s">
        <v>59</v>
      </c>
      <c r="H239" s="50" t="s">
        <v>33</v>
      </c>
      <c r="I239" s="285">
        <v>2</v>
      </c>
      <c r="J239" s="285">
        <f>LN(B239)</f>
        <v>3.5758787150266929</v>
      </c>
      <c r="K239" s="290">
        <v>2.6457512999999998E-2</v>
      </c>
      <c r="L239" s="290" t="s">
        <v>31</v>
      </c>
      <c r="M239" s="290" t="s">
        <v>31</v>
      </c>
      <c r="N239" s="290" t="s">
        <v>31</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28" sqref="A28"/>
    </sheetView>
  </sheetViews>
  <sheetFormatPr defaultRowHeight="14.4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6">
      <c r="A2" s="1" t="s">
        <v>5</v>
      </c>
      <c r="B2" s="2" t="s">
        <v>32</v>
      </c>
      <c r="C2" s="3"/>
      <c r="D2" s="11"/>
      <c r="E2" s="11"/>
      <c r="F2" s="11"/>
      <c r="G2" s="11"/>
      <c r="H2" s="11"/>
      <c r="I2" s="11"/>
      <c r="J2" s="11"/>
      <c r="K2" s="11"/>
      <c r="L2" s="11"/>
      <c r="M2" s="11"/>
    </row>
    <row r="3" spans="1:13">
      <c r="A3" s="12" t="s">
        <v>7</v>
      </c>
      <c r="B3" s="13" t="s">
        <v>49</v>
      </c>
      <c r="C3" s="4"/>
      <c r="D3" s="13"/>
      <c r="E3" s="13"/>
      <c r="F3" s="13"/>
      <c r="G3" s="13"/>
      <c r="H3" s="13"/>
      <c r="I3" s="13"/>
      <c r="J3" s="13"/>
      <c r="K3" s="13"/>
      <c r="L3" s="13"/>
      <c r="M3" s="13"/>
    </row>
    <row r="4" spans="1:13">
      <c r="A4" s="12" t="s">
        <v>9</v>
      </c>
      <c r="B4" s="13" t="s">
        <v>50</v>
      </c>
      <c r="C4" s="4"/>
      <c r="D4" s="13"/>
      <c r="E4" s="13"/>
      <c r="F4" s="13"/>
      <c r="G4" s="13"/>
      <c r="H4" s="13"/>
      <c r="I4" s="13"/>
      <c r="J4" s="13"/>
      <c r="K4" s="13"/>
      <c r="L4" s="13"/>
      <c r="M4" s="13"/>
    </row>
    <row r="5" spans="1:13" ht="43.5">
      <c r="A5" s="12" t="s">
        <v>11</v>
      </c>
      <c r="B5" s="14" t="s">
        <v>51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6">
      <c r="A10" s="5" t="s">
        <v>19</v>
      </c>
      <c r="B10" s="13"/>
      <c r="C10" s="13"/>
      <c r="D10" s="13"/>
      <c r="E10" s="13"/>
      <c r="F10" s="13"/>
      <c r="G10" s="13"/>
      <c r="H10" s="13"/>
      <c r="I10" s="13"/>
      <c r="J10" s="13"/>
      <c r="K10" s="13"/>
      <c r="L10" s="13"/>
      <c r="M10" s="13"/>
    </row>
    <row r="11" spans="1:13" ht="15.6">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6">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6">
      <c r="A13" s="7" t="s">
        <v>52</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6">
      <c r="A14" s="7" t="s">
        <v>53</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6">
      <c r="A15" s="7" t="s">
        <v>54</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6">
      <c r="A16" s="7" t="s">
        <v>55</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6">
      <c r="A17" s="7" t="s">
        <v>56</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6">
      <c r="A18" s="7" t="s">
        <v>57</v>
      </c>
      <c r="B18" s="13">
        <v>1</v>
      </c>
      <c r="C18" s="13" t="s">
        <v>18</v>
      </c>
      <c r="D18" s="8" t="s">
        <v>2</v>
      </c>
      <c r="E18" s="13" t="s">
        <v>58</v>
      </c>
      <c r="F18" s="13" t="s">
        <v>59</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1C1E-D82B-454D-BDDF-9D8C955E30BB}">
  <dimension ref="A1:O45"/>
  <sheetViews>
    <sheetView workbookViewId="0">
      <selection activeCell="A12" sqref="A12"/>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7E0186344F0D4B659B5A433DCC912C89</v>
      </c>
    </row>
    <row r="2" spans="1:15" ht="15.6">
      <c r="A2" s="28" t="s">
        <v>5</v>
      </c>
      <c r="B2" s="28" t="s">
        <v>719</v>
      </c>
      <c r="C2" s="29"/>
      <c r="D2" s="30"/>
      <c r="E2" s="30"/>
      <c r="F2" s="30"/>
      <c r="G2" s="30"/>
      <c r="H2" s="30"/>
      <c r="I2" s="30"/>
      <c r="J2" s="30"/>
      <c r="K2" s="30"/>
      <c r="L2" s="30"/>
      <c r="M2" s="30"/>
      <c r="N2" s="30"/>
    </row>
    <row r="3" spans="1:15" s="27" customFormat="1" ht="12.95">
      <c r="A3" s="27" t="s">
        <v>7</v>
      </c>
      <c r="B3" s="27" t="s">
        <v>720</v>
      </c>
    </row>
    <row r="4" spans="1:15" s="27" customFormat="1" ht="12.95">
      <c r="A4" s="27" t="s">
        <v>9</v>
      </c>
      <c r="B4" s="27" t="s">
        <v>721</v>
      </c>
    </row>
    <row r="5" spans="1:15" s="27" customFormat="1" ht="12.95">
      <c r="A5" s="27" t="s">
        <v>11</v>
      </c>
      <c r="B5" s="27" t="s">
        <v>722</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2.95">
      <c r="A12" s="27" t="str">
        <f>B2</f>
        <v>production of cryogenic insulated LH2 storage system</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37" t="s">
        <v>724</v>
      </c>
      <c r="B13" s="42">
        <f>1*2</f>
        <v>2</v>
      </c>
      <c r="C13" s="27" t="s">
        <v>18</v>
      </c>
      <c r="D13" s="27" t="s">
        <v>2</v>
      </c>
      <c r="E13" s="27" t="s">
        <v>29</v>
      </c>
      <c r="F13" s="27" t="s">
        <v>14</v>
      </c>
      <c r="G13" s="27" t="s">
        <v>33</v>
      </c>
      <c r="H13" s="27">
        <v>0</v>
      </c>
      <c r="I13" s="27">
        <f t="shared" ref="I13:I14" si="0">B13</f>
        <v>2</v>
      </c>
      <c r="J13" s="27" t="s">
        <v>31</v>
      </c>
      <c r="K13" s="27" t="s">
        <v>31</v>
      </c>
      <c r="L13" s="27" t="s">
        <v>31</v>
      </c>
      <c r="M13" s="27" t="s">
        <v>31</v>
      </c>
      <c r="N13" s="27" t="s">
        <v>725</v>
      </c>
    </row>
    <row r="14" spans="1:15" s="27" customFormat="1" ht="12.95">
      <c r="A14" s="37" t="s">
        <v>726</v>
      </c>
      <c r="B14" s="42">
        <f>1*4</f>
        <v>4</v>
      </c>
      <c r="C14" s="27" t="s">
        <v>18</v>
      </c>
      <c r="D14" s="27" t="s">
        <v>2</v>
      </c>
      <c r="E14" s="27" t="s">
        <v>29</v>
      </c>
      <c r="F14" s="27" t="s">
        <v>14</v>
      </c>
      <c r="G14" s="27" t="s">
        <v>33</v>
      </c>
      <c r="H14" s="27">
        <v>0</v>
      </c>
      <c r="I14" s="27">
        <f t="shared" si="0"/>
        <v>4</v>
      </c>
      <c r="J14" s="27" t="s">
        <v>31</v>
      </c>
      <c r="K14" s="27" t="s">
        <v>31</v>
      </c>
      <c r="L14" s="27" t="s">
        <v>31</v>
      </c>
      <c r="M14" s="27" t="s">
        <v>31</v>
      </c>
      <c r="N14" s="27" t="s">
        <v>727</v>
      </c>
    </row>
    <row r="15" spans="1:15" ht="15.6">
      <c r="A15" s="28" t="s">
        <v>5</v>
      </c>
      <c r="B15" s="28" t="s">
        <v>724</v>
      </c>
      <c r="C15" s="29"/>
      <c r="D15" s="30"/>
      <c r="E15" s="30"/>
      <c r="F15" s="30"/>
      <c r="G15" s="30"/>
      <c r="H15" s="30"/>
      <c r="I15" s="30"/>
      <c r="J15" s="30"/>
      <c r="K15" s="30"/>
      <c r="L15" s="30"/>
      <c r="M15" s="30"/>
      <c r="N15" s="30"/>
    </row>
    <row r="16" spans="1:15" s="27" customFormat="1" ht="12.95">
      <c r="A16" s="27" t="s">
        <v>7</v>
      </c>
      <c r="B16" s="27" t="s">
        <v>720</v>
      </c>
    </row>
    <row r="17" spans="1:14" s="27" customFormat="1" ht="12.95">
      <c r="A17" s="27" t="s">
        <v>9</v>
      </c>
      <c r="B17" s="27" t="s">
        <v>728</v>
      </c>
    </row>
    <row r="18" spans="1:14" s="27" customFormat="1" ht="12.95">
      <c r="A18" s="27" t="s">
        <v>11</v>
      </c>
      <c r="B18" s="27" t="s">
        <v>729</v>
      </c>
    </row>
    <row r="19" spans="1:14" s="27" customFormat="1" ht="12.95">
      <c r="A19" s="27" t="s">
        <v>13</v>
      </c>
      <c r="B19" s="27" t="s">
        <v>14</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2.95">
      <c r="A25" s="37" t="str">
        <f>B15</f>
        <v>production of tank</v>
      </c>
      <c r="B25" s="27">
        <f>B20</f>
        <v>1</v>
      </c>
      <c r="C25" s="27" t="str">
        <f>B22</f>
        <v>unit</v>
      </c>
      <c r="D25" s="27" t="s">
        <v>2</v>
      </c>
      <c r="E25" s="27" t="s">
        <v>29</v>
      </c>
      <c r="F25" s="27" t="str">
        <f>B19</f>
        <v>EUR</v>
      </c>
      <c r="G25" s="27" t="s">
        <v>30</v>
      </c>
      <c r="H25" s="27">
        <v>0</v>
      </c>
      <c r="I25" s="27">
        <f t="shared" ref="I25:I28" si="1">B25</f>
        <v>1</v>
      </c>
      <c r="J25" s="27" t="s">
        <v>31</v>
      </c>
      <c r="K25" s="27" t="s">
        <v>31</v>
      </c>
      <c r="L25" s="27" t="s">
        <v>31</v>
      </c>
      <c r="M25" s="27" t="s">
        <v>31</v>
      </c>
    </row>
    <row r="26" spans="1:14" s="27" customFormat="1" ht="12.95">
      <c r="A26" s="37" t="s">
        <v>97</v>
      </c>
      <c r="B26" s="27">
        <v>14.7</v>
      </c>
      <c r="C26" s="27" t="s">
        <v>37</v>
      </c>
      <c r="D26" s="27" t="s">
        <v>40</v>
      </c>
      <c r="E26" s="27" t="s">
        <v>29</v>
      </c>
      <c r="F26" s="27" t="s">
        <v>59</v>
      </c>
      <c r="G26" s="27" t="s">
        <v>33</v>
      </c>
      <c r="H26" s="27">
        <v>5</v>
      </c>
      <c r="I26" s="27">
        <f t="shared" si="1"/>
        <v>14.7</v>
      </c>
      <c r="J26" s="27" t="s">
        <v>31</v>
      </c>
      <c r="K26" s="27" t="s">
        <v>31</v>
      </c>
      <c r="L26" s="27">
        <f>B26*(1-0.2)</f>
        <v>11.76</v>
      </c>
      <c r="M26" s="27">
        <f>B26*(1+0.2)</f>
        <v>17.639999999999997</v>
      </c>
    </row>
    <row r="27" spans="1:14" s="27" customFormat="1" ht="12.95">
      <c r="A27" s="37" t="s">
        <v>85</v>
      </c>
      <c r="B27" s="27">
        <f>35-27.5</f>
        <v>7.5</v>
      </c>
      <c r="C27" s="27" t="s">
        <v>37</v>
      </c>
      <c r="D27" s="27" t="s">
        <v>40</v>
      </c>
      <c r="E27" s="27" t="s">
        <v>29</v>
      </c>
      <c r="F27" s="27" t="s">
        <v>59</v>
      </c>
      <c r="G27" s="27" t="s">
        <v>33</v>
      </c>
      <c r="H27" s="27">
        <v>5</v>
      </c>
      <c r="I27" s="27">
        <f t="shared" si="1"/>
        <v>7.5</v>
      </c>
      <c r="J27" s="27" t="s">
        <v>31</v>
      </c>
      <c r="K27" s="27" t="s">
        <v>31</v>
      </c>
      <c r="L27" s="27">
        <f>B27*(1-0.1)</f>
        <v>6.75</v>
      </c>
      <c r="M27" s="27">
        <f>B27*(1+0.1)</f>
        <v>8.25</v>
      </c>
    </row>
    <row r="28" spans="1:14" s="27" customFormat="1" ht="12.95">
      <c r="A28" s="37" t="s">
        <v>730</v>
      </c>
      <c r="B28" s="27">
        <v>75.5</v>
      </c>
      <c r="C28" s="27" t="s">
        <v>37</v>
      </c>
      <c r="D28" s="27" t="s">
        <v>40</v>
      </c>
      <c r="E28" s="27" t="s">
        <v>29</v>
      </c>
      <c r="F28" s="27" t="s">
        <v>59</v>
      </c>
      <c r="G28" s="27" t="s">
        <v>33</v>
      </c>
      <c r="H28" s="27">
        <v>5</v>
      </c>
      <c r="I28" s="27">
        <f t="shared" si="1"/>
        <v>75.5</v>
      </c>
      <c r="J28" s="27" t="s">
        <v>31</v>
      </c>
      <c r="K28" s="27" t="s">
        <v>31</v>
      </c>
      <c r="L28" s="27">
        <f>B28*(1-0.1)</f>
        <v>67.95</v>
      </c>
      <c r="M28" s="27">
        <f>B28*(1+0.1)</f>
        <v>83.050000000000011</v>
      </c>
    </row>
    <row r="29" spans="1:14" s="27" customFormat="1" ht="12.95">
      <c r="A29" s="37" t="s">
        <v>731</v>
      </c>
      <c r="B29" s="27">
        <f>250*0.791/1000</f>
        <v>0.19775000000000001</v>
      </c>
      <c r="C29" s="27" t="s">
        <v>37</v>
      </c>
      <c r="D29" s="27" t="s">
        <v>40</v>
      </c>
      <c r="E29" s="27" t="s">
        <v>29</v>
      </c>
      <c r="F29" s="27" t="s">
        <v>35</v>
      </c>
      <c r="G29" s="27" t="s">
        <v>33</v>
      </c>
      <c r="H29" s="27">
        <v>5</v>
      </c>
      <c r="I29" s="27">
        <f>B29</f>
        <v>0.19775000000000001</v>
      </c>
      <c r="J29" s="27" t="s">
        <v>31</v>
      </c>
      <c r="K29" s="27" t="s">
        <v>31</v>
      </c>
      <c r="L29" s="27">
        <f>B29*(1-0.1)</f>
        <v>0.17797500000000002</v>
      </c>
      <c r="M29" s="27">
        <f>B29*(1+0.1)</f>
        <v>0.21752500000000002</v>
      </c>
      <c r="N29" s="27" t="s">
        <v>732</v>
      </c>
    </row>
    <row r="30" spans="1:14" s="27" customFormat="1" ht="12.95">
      <c r="A30" s="37" t="s">
        <v>733</v>
      </c>
      <c r="B30" s="27">
        <v>0.3</v>
      </c>
      <c r="C30" s="27" t="s">
        <v>37</v>
      </c>
      <c r="D30" s="27" t="s">
        <v>40</v>
      </c>
      <c r="E30" s="27" t="s">
        <v>29</v>
      </c>
      <c r="F30" s="27" t="s">
        <v>35</v>
      </c>
      <c r="G30" s="27" t="s">
        <v>33</v>
      </c>
      <c r="H30" s="27">
        <v>5</v>
      </c>
      <c r="I30" s="27">
        <f t="shared" ref="I30:I32" si="2">B30</f>
        <v>0.3</v>
      </c>
      <c r="J30" s="27" t="s">
        <v>31</v>
      </c>
      <c r="K30" s="27" t="s">
        <v>31</v>
      </c>
      <c r="L30" s="27">
        <f>B30*(1-0.1)</f>
        <v>0.27</v>
      </c>
      <c r="M30" s="27">
        <f>B30*(1+0.1)</f>
        <v>0.33</v>
      </c>
    </row>
    <row r="31" spans="1:14" s="27" customFormat="1" ht="12.95">
      <c r="A31" s="37" t="s">
        <v>38</v>
      </c>
      <c r="B31" s="27">
        <v>334</v>
      </c>
      <c r="C31" s="27" t="s">
        <v>39</v>
      </c>
      <c r="D31" s="27" t="s">
        <v>40</v>
      </c>
      <c r="E31" s="27" t="s">
        <v>29</v>
      </c>
      <c r="F31" s="27" t="s">
        <v>14</v>
      </c>
      <c r="G31" s="27" t="s">
        <v>33</v>
      </c>
      <c r="H31" s="27">
        <v>5</v>
      </c>
      <c r="I31" s="27">
        <f t="shared" si="2"/>
        <v>334</v>
      </c>
      <c r="J31" s="27" t="s">
        <v>31</v>
      </c>
      <c r="K31" s="27" t="s">
        <v>31</v>
      </c>
      <c r="L31" s="27">
        <f>B31*(1-0.1)</f>
        <v>300.60000000000002</v>
      </c>
      <c r="M31" s="27">
        <f>B31*(1+0.1)</f>
        <v>367.40000000000003</v>
      </c>
      <c r="N31" s="27" t="s">
        <v>734</v>
      </c>
    </row>
    <row r="32" spans="1:14" s="27" customFormat="1" ht="12.95">
      <c r="A32" s="37" t="s">
        <v>70</v>
      </c>
      <c r="B32" s="27">
        <f>806.4*3.6</f>
        <v>2903.04</v>
      </c>
      <c r="C32" s="27" t="s">
        <v>71</v>
      </c>
      <c r="D32" s="27" t="s">
        <v>40</v>
      </c>
      <c r="E32" s="27" t="s">
        <v>29</v>
      </c>
      <c r="F32" s="27" t="s">
        <v>59</v>
      </c>
      <c r="G32" s="27" t="s">
        <v>33</v>
      </c>
      <c r="H32" s="27">
        <v>5</v>
      </c>
      <c r="I32" s="27">
        <f t="shared" si="2"/>
        <v>2903.04</v>
      </c>
      <c r="J32" s="27" t="s">
        <v>31</v>
      </c>
      <c r="K32" s="27" t="s">
        <v>31</v>
      </c>
      <c r="L32" s="27">
        <f>B32*(1-0.01)</f>
        <v>2874.0095999999999</v>
      </c>
      <c r="M32" s="27">
        <f>B32*(1+0.01)</f>
        <v>2932.0704000000001</v>
      </c>
      <c r="N32" s="27" t="s">
        <v>735</v>
      </c>
    </row>
    <row r="33" spans="1:14" ht="15.6">
      <c r="A33" s="28" t="s">
        <v>5</v>
      </c>
      <c r="B33" s="28" t="s">
        <v>726</v>
      </c>
      <c r="C33" s="29"/>
      <c r="D33" s="30"/>
      <c r="E33" s="30"/>
      <c r="F33" s="30"/>
      <c r="G33" s="30"/>
      <c r="H33" s="30"/>
      <c r="I33" s="30"/>
      <c r="J33" s="30"/>
      <c r="K33" s="30"/>
      <c r="L33" s="30"/>
      <c r="M33" s="30"/>
      <c r="N33" s="30"/>
    </row>
    <row r="34" spans="1:14" s="27" customFormat="1" ht="12.95">
      <c r="A34" s="27" t="s">
        <v>7</v>
      </c>
      <c r="B34" s="27" t="s">
        <v>720</v>
      </c>
    </row>
    <row r="35" spans="1:14" s="27" customFormat="1" ht="12.95">
      <c r="A35" s="27" t="s">
        <v>9</v>
      </c>
      <c r="B35" s="27" t="s">
        <v>736</v>
      </c>
    </row>
    <row r="36" spans="1:14" s="27" customFormat="1" ht="12.95">
      <c r="A36" s="27" t="s">
        <v>11</v>
      </c>
      <c r="B36" s="27" t="s">
        <v>737</v>
      </c>
    </row>
    <row r="37" spans="1:14" s="27" customFormat="1" ht="12.95">
      <c r="A37" s="27" t="s">
        <v>13</v>
      </c>
      <c r="B37" s="27" t="s">
        <v>14</v>
      </c>
    </row>
    <row r="38" spans="1:14" s="27" customFormat="1" ht="12.95">
      <c r="A38" s="27" t="s">
        <v>15</v>
      </c>
      <c r="B38" s="37">
        <v>1</v>
      </c>
    </row>
    <row r="39" spans="1:14" s="27" customFormat="1" ht="12.95">
      <c r="A39" s="27" t="s">
        <v>16</v>
      </c>
      <c r="B39" s="27" t="s">
        <v>17</v>
      </c>
    </row>
    <row r="40" spans="1:14" s="27" customFormat="1" ht="12.95">
      <c r="A40" s="27" t="s">
        <v>18</v>
      </c>
      <c r="B40" s="27" t="s">
        <v>18</v>
      </c>
    </row>
    <row r="41" spans="1:14" ht="15.6">
      <c r="A41" s="26" t="s">
        <v>19</v>
      </c>
    </row>
    <row r="42" spans="1:14" ht="15.6">
      <c r="A42" s="26" t="s">
        <v>20</v>
      </c>
      <c r="B42" s="26" t="s">
        <v>21</v>
      </c>
      <c r="C42" s="26" t="s">
        <v>18</v>
      </c>
      <c r="D42" s="26" t="s">
        <v>22</v>
      </c>
      <c r="E42" s="26" t="s">
        <v>7</v>
      </c>
      <c r="F42" s="26" t="s">
        <v>13</v>
      </c>
      <c r="G42" s="26" t="s">
        <v>16</v>
      </c>
      <c r="H42" s="26" t="s">
        <v>23</v>
      </c>
      <c r="I42" s="26" t="s">
        <v>24</v>
      </c>
      <c r="J42" s="26" t="s">
        <v>25</v>
      </c>
      <c r="K42" s="26" t="s">
        <v>26</v>
      </c>
      <c r="L42" s="26" t="s">
        <v>27</v>
      </c>
      <c r="M42" s="26" t="s">
        <v>28</v>
      </c>
      <c r="N42" s="26" t="s">
        <v>723</v>
      </c>
    </row>
    <row r="43" spans="1:14" s="27" customFormat="1" ht="12.95">
      <c r="A43" s="27" t="str">
        <f>B33</f>
        <v>production of vacuum pump</v>
      </c>
      <c r="B43" s="27">
        <f>B38</f>
        <v>1</v>
      </c>
      <c r="C43" s="27" t="str">
        <f>B40</f>
        <v>unit</v>
      </c>
      <c r="D43" s="27" t="s">
        <v>2</v>
      </c>
      <c r="E43" s="27" t="s">
        <v>29</v>
      </c>
      <c r="F43" s="27" t="str">
        <f>B37</f>
        <v>EUR</v>
      </c>
      <c r="G43" s="27" t="s">
        <v>30</v>
      </c>
      <c r="H43" s="27">
        <v>0</v>
      </c>
      <c r="I43" s="27">
        <f>B43</f>
        <v>1</v>
      </c>
      <c r="J43" s="27" t="s">
        <v>31</v>
      </c>
      <c r="K43" s="27" t="s">
        <v>31</v>
      </c>
      <c r="L43" s="27" t="s">
        <v>31</v>
      </c>
      <c r="M43" s="27" t="s">
        <v>31</v>
      </c>
    </row>
    <row r="44" spans="1:14" s="27" customFormat="1" ht="12.95">
      <c r="A44" s="27" t="s">
        <v>738</v>
      </c>
      <c r="B44" s="27">
        <v>9.5</v>
      </c>
      <c r="C44" s="27" t="s">
        <v>37</v>
      </c>
      <c r="D44" s="27" t="s">
        <v>40</v>
      </c>
      <c r="E44" s="27" t="s">
        <v>29</v>
      </c>
      <c r="F44" s="27" t="s">
        <v>59</v>
      </c>
      <c r="G44" s="27" t="s">
        <v>33</v>
      </c>
      <c r="H44" s="27">
        <v>2</v>
      </c>
      <c r="I44" s="27">
        <f>LN(B44)</f>
        <v>2.2512917986064953</v>
      </c>
      <c r="J44" s="27">
        <v>0.45825756899999998</v>
      </c>
      <c r="K44" s="27" t="s">
        <v>31</v>
      </c>
      <c r="L44" s="27" t="s">
        <v>31</v>
      </c>
      <c r="M44" s="27" t="s">
        <v>31</v>
      </c>
    </row>
    <row r="45" spans="1:14" s="27" customFormat="1" ht="12.95">
      <c r="A45" s="27" t="s">
        <v>739</v>
      </c>
      <c r="B45" s="27">
        <v>0.5</v>
      </c>
      <c r="C45" s="27" t="s">
        <v>37</v>
      </c>
      <c r="D45" s="27" t="s">
        <v>40</v>
      </c>
      <c r="E45" s="27" t="s">
        <v>29</v>
      </c>
      <c r="F45" s="27" t="s">
        <v>59</v>
      </c>
      <c r="G45" s="27" t="s">
        <v>33</v>
      </c>
      <c r="H45" s="27">
        <v>2</v>
      </c>
      <c r="I45" s="27">
        <f>LN(B45)</f>
        <v>-0.69314718055994529</v>
      </c>
      <c r="J45" s="27">
        <v>0.45825756899999998</v>
      </c>
      <c r="K45" s="27" t="s">
        <v>31</v>
      </c>
      <c r="L45" s="27" t="s">
        <v>31</v>
      </c>
      <c r="M45" s="27" t="s">
        <v>31</v>
      </c>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C8DBA-23BF-482C-8C77-8803C329FCE6}">
  <dimension ref="A1:Q109"/>
  <sheetViews>
    <sheetView zoomScaleNormal="100" workbookViewId="0">
      <selection activeCell="A12" sqref="A12"/>
    </sheetView>
  </sheetViews>
  <sheetFormatPr defaultColWidth="9.140625" defaultRowHeight="12.95"/>
  <cols>
    <col min="1" max="1" width="45.42578125" style="188" customWidth="1"/>
    <col min="2" max="2" width="53.42578125" style="188" customWidth="1"/>
    <col min="3" max="3" width="11.140625" style="188" customWidth="1"/>
    <col min="4" max="4" width="11.5703125" style="188" customWidth="1"/>
    <col min="5" max="5" width="28.5703125" style="188" customWidth="1"/>
    <col min="6" max="6" width="21.140625" style="188" customWidth="1"/>
    <col min="7" max="7" width="9.140625" style="188"/>
    <col min="8" max="8" width="16.85546875" style="188" customWidth="1"/>
    <col min="9" max="14" width="9.140625" style="188"/>
    <col min="15" max="16" width="49.140625" style="188" customWidth="1"/>
    <col min="17" max="16384" width="9.140625" style="188"/>
  </cols>
  <sheetData>
    <row r="1" spans="1:15" s="319" customFormat="1">
      <c r="A1" s="319" t="s">
        <v>0</v>
      </c>
      <c r="B1" s="319">
        <v>13</v>
      </c>
    </row>
    <row r="2" spans="1:15">
      <c r="A2" s="320" t="s">
        <v>5</v>
      </c>
      <c r="B2" s="321" t="s">
        <v>740</v>
      </c>
      <c r="C2" s="321"/>
      <c r="D2" s="322"/>
    </row>
    <row r="3" spans="1:15">
      <c r="A3" s="323" t="s">
        <v>7</v>
      </c>
      <c r="B3" s="188" t="s">
        <v>741</v>
      </c>
      <c r="D3" s="322"/>
    </row>
    <row r="4" spans="1:15" ht="14.45">
      <c r="A4" s="323" t="s">
        <v>9</v>
      </c>
      <c r="B4" s="22" t="s">
        <v>742</v>
      </c>
      <c r="D4" s="322"/>
    </row>
    <row r="5" spans="1:15" ht="26.1">
      <c r="A5" s="323" t="s">
        <v>11</v>
      </c>
      <c r="B5" s="324" t="s">
        <v>743</v>
      </c>
      <c r="C5" s="324"/>
    </row>
    <row r="6" spans="1:15">
      <c r="A6" s="323" t="s">
        <v>13</v>
      </c>
      <c r="B6" s="188" t="s">
        <v>14</v>
      </c>
    </row>
    <row r="7" spans="1:15">
      <c r="A7" s="323" t="s">
        <v>15</v>
      </c>
      <c r="B7" s="188">
        <v>1</v>
      </c>
    </row>
    <row r="8" spans="1:15">
      <c r="A8" s="323" t="s">
        <v>16</v>
      </c>
      <c r="B8" s="188" t="s">
        <v>17</v>
      </c>
    </row>
    <row r="9" spans="1:15">
      <c r="A9" s="323" t="s">
        <v>18</v>
      </c>
      <c r="B9" s="188" t="s">
        <v>18</v>
      </c>
    </row>
    <row r="10" spans="1:15">
      <c r="A10" s="320" t="s">
        <v>19</v>
      </c>
    </row>
    <row r="11" spans="1:15" ht="14.45">
      <c r="A11" s="320" t="s">
        <v>20</v>
      </c>
      <c r="B11" s="321" t="s">
        <v>21</v>
      </c>
      <c r="C11" s="83"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15" s="325" customFormat="1">
      <c r="A12" s="325" t="s">
        <v>740</v>
      </c>
      <c r="B12" s="325">
        <v>1</v>
      </c>
      <c r="D12" s="325" t="s">
        <v>18</v>
      </c>
      <c r="E12" s="325" t="s">
        <v>2</v>
      </c>
      <c r="F12" s="325" t="s">
        <v>29</v>
      </c>
      <c r="G12" s="325" t="s">
        <v>14</v>
      </c>
      <c r="H12" s="325" t="s">
        <v>30</v>
      </c>
      <c r="I12" s="325">
        <v>1</v>
      </c>
      <c r="J12" s="325">
        <v>1</v>
      </c>
      <c r="K12" s="325" t="s">
        <v>31</v>
      </c>
      <c r="L12" s="325" t="s">
        <v>31</v>
      </c>
      <c r="M12" s="325" t="s">
        <v>31</v>
      </c>
      <c r="N12" s="325" t="s">
        <v>31</v>
      </c>
      <c r="O12" s="325" t="s">
        <v>744</v>
      </c>
    </row>
    <row r="13" spans="1:15" s="326" customFormat="1" ht="13.5" thickBot="1">
      <c r="A13" s="326" t="s">
        <v>745</v>
      </c>
      <c r="B13" s="326">
        <v>10</v>
      </c>
      <c r="D13" s="326" t="s">
        <v>18</v>
      </c>
      <c r="E13" s="326" t="s">
        <v>2</v>
      </c>
      <c r="F13" s="326" t="s">
        <v>29</v>
      </c>
      <c r="G13" s="326" t="s">
        <v>59</v>
      </c>
      <c r="H13" s="326" t="s">
        <v>33</v>
      </c>
      <c r="I13" s="326">
        <v>1</v>
      </c>
      <c r="J13" s="326">
        <v>1</v>
      </c>
      <c r="K13" s="326" t="s">
        <v>31</v>
      </c>
      <c r="L13" s="326" t="s">
        <v>31</v>
      </c>
      <c r="M13" s="326" t="s">
        <v>31</v>
      </c>
      <c r="N13" s="326" t="s">
        <v>31</v>
      </c>
    </row>
    <row r="14" spans="1:15">
      <c r="A14" s="320" t="s">
        <v>5</v>
      </c>
      <c r="B14" s="321" t="s">
        <v>745</v>
      </c>
      <c r="C14" s="321"/>
      <c r="D14" s="322"/>
    </row>
    <row r="15" spans="1:15">
      <c r="A15" s="323" t="s">
        <v>7</v>
      </c>
      <c r="B15" s="188" t="s">
        <v>741</v>
      </c>
      <c r="D15" s="322"/>
    </row>
    <row r="16" spans="1:15" ht="14.45">
      <c r="A16" s="323" t="s">
        <v>9</v>
      </c>
      <c r="B16" s="22" t="s">
        <v>746</v>
      </c>
      <c r="D16" s="322"/>
    </row>
    <row r="17" spans="1:15" ht="14.25" customHeight="1">
      <c r="A17" s="323" t="s">
        <v>11</v>
      </c>
      <c r="B17" s="324" t="s">
        <v>747</v>
      </c>
      <c r="C17" s="324"/>
    </row>
    <row r="18" spans="1:15">
      <c r="A18" s="323" t="s">
        <v>13</v>
      </c>
      <c r="B18" s="188" t="s">
        <v>59</v>
      </c>
    </row>
    <row r="19" spans="1:15">
      <c r="A19" s="323" t="s">
        <v>15</v>
      </c>
      <c r="B19" s="188">
        <v>1</v>
      </c>
    </row>
    <row r="20" spans="1:15">
      <c r="A20" s="323" t="s">
        <v>16</v>
      </c>
      <c r="B20" s="188" t="s">
        <v>17</v>
      </c>
    </row>
    <row r="21" spans="1:15">
      <c r="A21" s="323" t="s">
        <v>18</v>
      </c>
      <c r="B21" s="188" t="s">
        <v>18</v>
      </c>
    </row>
    <row r="22" spans="1:15">
      <c r="A22" s="320" t="s">
        <v>19</v>
      </c>
    </row>
    <row r="23" spans="1:15" ht="14.45">
      <c r="A23" s="320" t="s">
        <v>20</v>
      </c>
      <c r="B23" s="321" t="s">
        <v>21</v>
      </c>
      <c r="C23" s="83" t="s">
        <v>186</v>
      </c>
      <c r="D23" s="321" t="s">
        <v>18</v>
      </c>
      <c r="E23" s="321" t="s">
        <v>22</v>
      </c>
      <c r="F23" s="321" t="s">
        <v>7</v>
      </c>
      <c r="G23" s="321" t="s">
        <v>13</v>
      </c>
      <c r="H23" s="321" t="s">
        <v>16</v>
      </c>
      <c r="I23" s="321" t="s">
        <v>23</v>
      </c>
      <c r="J23" s="321" t="s">
        <v>24</v>
      </c>
      <c r="K23" s="321" t="s">
        <v>25</v>
      </c>
      <c r="L23" s="321" t="s">
        <v>26</v>
      </c>
      <c r="M23" s="321" t="s">
        <v>27</v>
      </c>
      <c r="N23" s="321" t="s">
        <v>28</v>
      </c>
      <c r="O23" s="321" t="s">
        <v>11</v>
      </c>
    </row>
    <row r="24" spans="1:15" s="325" customFormat="1">
      <c r="A24" s="325" t="s">
        <v>745</v>
      </c>
      <c r="B24" s="325">
        <v>1</v>
      </c>
      <c r="D24" s="325" t="s">
        <v>18</v>
      </c>
      <c r="E24" s="325" t="s">
        <v>2</v>
      </c>
      <c r="F24" s="325" t="s">
        <v>29</v>
      </c>
      <c r="G24" s="325" t="s">
        <v>59</v>
      </c>
      <c r="H24" s="325" t="s">
        <v>30</v>
      </c>
      <c r="I24" s="325">
        <v>1</v>
      </c>
      <c r="J24" s="325">
        <f>B24</f>
        <v>1</v>
      </c>
      <c r="K24" s="325" t="s">
        <v>31</v>
      </c>
      <c r="L24" s="325" t="s">
        <v>31</v>
      </c>
      <c r="M24" s="325" t="s">
        <v>31</v>
      </c>
      <c r="N24" s="325" t="s">
        <v>31</v>
      </c>
    </row>
    <row r="25" spans="1:15">
      <c r="A25" s="188" t="s">
        <v>748</v>
      </c>
      <c r="B25" s="188">
        <v>44.01</v>
      </c>
      <c r="D25" s="188" t="s">
        <v>37</v>
      </c>
      <c r="E25" s="188" t="s">
        <v>2</v>
      </c>
      <c r="F25" s="188" t="s">
        <v>29</v>
      </c>
      <c r="G25" s="188" t="s">
        <v>59</v>
      </c>
      <c r="H25" s="188" t="s">
        <v>33</v>
      </c>
      <c r="I25" s="188">
        <v>2</v>
      </c>
      <c r="J25" s="188">
        <f>LN(B25)</f>
        <v>3.7844168808230001</v>
      </c>
      <c r="K25" s="188">
        <v>0.34842502800000003</v>
      </c>
      <c r="L25" s="188" t="s">
        <v>31</v>
      </c>
      <c r="M25" s="188" t="s">
        <v>31</v>
      </c>
      <c r="N25" s="188" t="s">
        <v>31</v>
      </c>
    </row>
    <row r="26" spans="1:15">
      <c r="A26" s="188" t="s">
        <v>749</v>
      </c>
      <c r="B26" s="188">
        <v>5.19</v>
      </c>
      <c r="D26" s="188" t="s">
        <v>37</v>
      </c>
      <c r="E26" s="188" t="s">
        <v>2</v>
      </c>
      <c r="F26" s="188" t="s">
        <v>29</v>
      </c>
      <c r="G26" s="188" t="s">
        <v>59</v>
      </c>
      <c r="H26" s="188" t="s">
        <v>33</v>
      </c>
      <c r="I26" s="188">
        <v>2</v>
      </c>
      <c r="J26" s="188">
        <f t="shared" ref="J26:J27" si="0">LN(B26)</f>
        <v>1.6467336971777973</v>
      </c>
      <c r="K26" s="188">
        <v>0.34842502800000003</v>
      </c>
      <c r="L26" s="188" t="s">
        <v>31</v>
      </c>
      <c r="M26" s="188" t="s">
        <v>31</v>
      </c>
      <c r="N26" s="188" t="s">
        <v>31</v>
      </c>
    </row>
    <row r="27" spans="1:15" s="326" customFormat="1" ht="13.5" thickBot="1">
      <c r="A27" s="326" t="s">
        <v>750</v>
      </c>
      <c r="B27" s="326">
        <v>19.71</v>
      </c>
      <c r="D27" s="326" t="s">
        <v>37</v>
      </c>
      <c r="E27" s="326" t="s">
        <v>2</v>
      </c>
      <c r="F27" s="326" t="s">
        <v>29</v>
      </c>
      <c r="G27" s="326" t="s">
        <v>59</v>
      </c>
      <c r="H27" s="326" t="s">
        <v>33</v>
      </c>
      <c r="I27" s="326">
        <v>2</v>
      </c>
      <c r="J27" s="326">
        <f t="shared" si="0"/>
        <v>2.9811261211646287</v>
      </c>
      <c r="K27" s="326">
        <v>0.34842502800000003</v>
      </c>
      <c r="L27" s="326" t="s">
        <v>31</v>
      </c>
      <c r="M27" s="326" t="s">
        <v>31</v>
      </c>
      <c r="N27" s="326" t="s">
        <v>31</v>
      </c>
    </row>
    <row r="28" spans="1:15">
      <c r="A28" s="320" t="s">
        <v>5</v>
      </c>
      <c r="B28" s="321" t="s">
        <v>748</v>
      </c>
      <c r="C28" s="321"/>
      <c r="D28" s="322"/>
    </row>
    <row r="29" spans="1:15">
      <c r="A29" s="323" t="s">
        <v>7</v>
      </c>
      <c r="B29" s="188" t="s">
        <v>741</v>
      </c>
      <c r="D29" s="322"/>
    </row>
    <row r="30" spans="1:15">
      <c r="A30" s="323" t="s">
        <v>9</v>
      </c>
      <c r="B30" s="188" t="s">
        <v>751</v>
      </c>
      <c r="D30" s="322"/>
    </row>
    <row r="31" spans="1:15" ht="14.25" customHeight="1">
      <c r="A31" s="323" t="s">
        <v>11</v>
      </c>
      <c r="B31" s="324" t="s">
        <v>752</v>
      </c>
      <c r="C31" s="324"/>
    </row>
    <row r="32" spans="1:15">
      <c r="A32" s="323" t="s">
        <v>13</v>
      </c>
      <c r="B32" s="188" t="s">
        <v>59</v>
      </c>
    </row>
    <row r="33" spans="1:17">
      <c r="A33" s="323" t="s">
        <v>15</v>
      </c>
      <c r="B33" s="188">
        <f>B25</f>
        <v>44.01</v>
      </c>
    </row>
    <row r="34" spans="1:17">
      <c r="A34" s="323" t="s">
        <v>16</v>
      </c>
      <c r="B34" s="188" t="s">
        <v>17</v>
      </c>
    </row>
    <row r="35" spans="1:17">
      <c r="A35" s="323" t="s">
        <v>18</v>
      </c>
      <c r="B35" s="188" t="s">
        <v>37</v>
      </c>
    </row>
    <row r="36" spans="1:17">
      <c r="A36" s="320" t="s">
        <v>19</v>
      </c>
    </row>
    <row r="37" spans="1:17" ht="14.45">
      <c r="A37" s="320" t="s">
        <v>20</v>
      </c>
      <c r="B37" s="321" t="s">
        <v>21</v>
      </c>
      <c r="C37" s="83" t="s">
        <v>186</v>
      </c>
      <c r="D37" s="321" t="s">
        <v>18</v>
      </c>
      <c r="E37" s="321" t="s">
        <v>22</v>
      </c>
      <c r="F37" s="321" t="s">
        <v>7</v>
      </c>
      <c r="G37" s="321" t="s">
        <v>13</v>
      </c>
      <c r="H37" s="321" t="s">
        <v>16</v>
      </c>
      <c r="I37" s="321" t="s">
        <v>23</v>
      </c>
      <c r="J37" s="321" t="s">
        <v>24</v>
      </c>
      <c r="K37" s="321" t="s">
        <v>25</v>
      </c>
      <c r="L37" s="321" t="s">
        <v>26</v>
      </c>
      <c r="M37" s="321" t="s">
        <v>27</v>
      </c>
      <c r="N37" s="321" t="s">
        <v>28</v>
      </c>
      <c r="O37" s="321" t="s">
        <v>11</v>
      </c>
      <c r="P37" s="321" t="s">
        <v>187</v>
      </c>
    </row>
    <row r="38" spans="1:17" s="325" customFormat="1">
      <c r="A38" s="325" t="s">
        <v>748</v>
      </c>
      <c r="B38" s="325">
        <f>B25</f>
        <v>44.01</v>
      </c>
      <c r="D38" s="325" t="s">
        <v>37</v>
      </c>
      <c r="E38" s="325" t="s">
        <v>2</v>
      </c>
      <c r="F38" s="325" t="s">
        <v>29</v>
      </c>
      <c r="G38" s="325" t="s">
        <v>59</v>
      </c>
      <c r="H38" s="325" t="s">
        <v>30</v>
      </c>
      <c r="I38" s="325">
        <v>1</v>
      </c>
      <c r="J38" s="325">
        <f>B38</f>
        <v>44.01</v>
      </c>
      <c r="K38" s="325" t="s">
        <v>31</v>
      </c>
      <c r="L38" s="325" t="s">
        <v>31</v>
      </c>
      <c r="M38" s="325" t="s">
        <v>31</v>
      </c>
      <c r="N38" s="325" t="s">
        <v>31</v>
      </c>
    </row>
    <row r="39" spans="1:17">
      <c r="A39" s="116" t="s">
        <v>237</v>
      </c>
      <c r="B39" s="327">
        <v>18.399999999999999</v>
      </c>
      <c r="C39" s="327"/>
      <c r="D39" s="188" t="s">
        <v>37</v>
      </c>
      <c r="E39" s="188" t="s">
        <v>40</v>
      </c>
      <c r="F39" s="188" t="s">
        <v>29</v>
      </c>
      <c r="G39" s="37" t="s">
        <v>59</v>
      </c>
      <c r="H39" s="188" t="s">
        <v>33</v>
      </c>
      <c r="I39" s="188">
        <v>2</v>
      </c>
      <c r="J39" s="188">
        <f>LN(B39)</f>
        <v>2.91235066461494</v>
      </c>
      <c r="K39" s="188">
        <v>0.362491379</v>
      </c>
      <c r="L39" s="325" t="s">
        <v>31</v>
      </c>
      <c r="M39" s="325" t="s">
        <v>31</v>
      </c>
      <c r="N39" s="325" t="s">
        <v>31</v>
      </c>
      <c r="O39" s="188" t="s">
        <v>753</v>
      </c>
      <c r="Q39" s="188" t="s">
        <v>268</v>
      </c>
    </row>
    <row r="40" spans="1:17">
      <c r="A40" s="116" t="s">
        <v>237</v>
      </c>
      <c r="B40" s="188">
        <v>12.25741</v>
      </c>
      <c r="D40" s="188" t="s">
        <v>37</v>
      </c>
      <c r="E40" s="188" t="s">
        <v>40</v>
      </c>
      <c r="F40" s="188" t="s">
        <v>29</v>
      </c>
      <c r="G40" s="37" t="s">
        <v>59</v>
      </c>
      <c r="H40" s="188" t="s">
        <v>33</v>
      </c>
      <c r="I40" s="188">
        <v>2</v>
      </c>
      <c r="J40" s="188">
        <f t="shared" ref="J40:J44" si="1">LN(B40)</f>
        <v>2.5061306520728932</v>
      </c>
      <c r="K40" s="188">
        <v>0.362491379</v>
      </c>
      <c r="L40" s="325" t="s">
        <v>31</v>
      </c>
      <c r="M40" s="325" t="s">
        <v>31</v>
      </c>
      <c r="N40" s="325" t="s">
        <v>31</v>
      </c>
      <c r="O40" s="188" t="s">
        <v>754</v>
      </c>
      <c r="Q40" s="188" t="s">
        <v>268</v>
      </c>
    </row>
    <row r="41" spans="1:17">
      <c r="A41" s="37" t="s">
        <v>755</v>
      </c>
      <c r="B41" s="188">
        <v>8.0805000000000007</v>
      </c>
      <c r="D41" s="188" t="s">
        <v>37</v>
      </c>
      <c r="E41" s="188" t="s">
        <v>40</v>
      </c>
      <c r="F41" s="188" t="s">
        <v>29</v>
      </c>
      <c r="G41" s="37" t="s">
        <v>59</v>
      </c>
      <c r="H41" s="188" t="s">
        <v>33</v>
      </c>
      <c r="I41" s="188">
        <v>2</v>
      </c>
      <c r="J41" s="188">
        <f t="shared" si="1"/>
        <v>2.0894537518065612</v>
      </c>
      <c r="K41" s="188">
        <v>0.362491379</v>
      </c>
      <c r="L41" s="325" t="s">
        <v>31</v>
      </c>
      <c r="M41" s="325" t="s">
        <v>31</v>
      </c>
      <c r="N41" s="325" t="s">
        <v>31</v>
      </c>
      <c r="O41" s="188" t="s">
        <v>756</v>
      </c>
      <c r="Q41" s="188" t="s">
        <v>268</v>
      </c>
    </row>
    <row r="42" spans="1:17">
      <c r="A42" s="37" t="s">
        <v>757</v>
      </c>
      <c r="B42" s="188">
        <v>8.0805000000000007</v>
      </c>
      <c r="D42" s="188" t="s">
        <v>37</v>
      </c>
      <c r="E42" s="188" t="s">
        <v>40</v>
      </c>
      <c r="F42" s="188" t="s">
        <v>29</v>
      </c>
      <c r="G42" s="188" t="s">
        <v>59</v>
      </c>
      <c r="H42" s="188" t="s">
        <v>33</v>
      </c>
      <c r="I42" s="188">
        <v>2</v>
      </c>
      <c r="J42" s="188">
        <f t="shared" si="1"/>
        <v>2.0894537518065612</v>
      </c>
      <c r="K42" s="188">
        <v>0.362491379</v>
      </c>
      <c r="L42" s="325" t="s">
        <v>31</v>
      </c>
      <c r="M42" s="325" t="s">
        <v>31</v>
      </c>
      <c r="N42" s="325" t="s">
        <v>31</v>
      </c>
      <c r="O42" s="188" t="s">
        <v>756</v>
      </c>
      <c r="Q42" s="188" t="s">
        <v>268</v>
      </c>
    </row>
    <row r="43" spans="1:17">
      <c r="A43" s="37" t="s">
        <v>92</v>
      </c>
      <c r="B43" s="188">
        <v>2.9081000000000001</v>
      </c>
      <c r="D43" s="188" t="s">
        <v>37</v>
      </c>
      <c r="E43" s="188" t="s">
        <v>40</v>
      </c>
      <c r="F43" s="188" t="s">
        <v>29</v>
      </c>
      <c r="G43" s="188" t="s">
        <v>82</v>
      </c>
      <c r="H43" s="188" t="s">
        <v>33</v>
      </c>
      <c r="I43" s="188">
        <v>2</v>
      </c>
      <c r="J43" s="188">
        <f t="shared" si="1"/>
        <v>1.0674999469754836</v>
      </c>
      <c r="K43" s="188">
        <v>0.362491379</v>
      </c>
      <c r="L43" s="325" t="s">
        <v>31</v>
      </c>
      <c r="M43" s="325" t="s">
        <v>31</v>
      </c>
      <c r="N43" s="325" t="s">
        <v>31</v>
      </c>
      <c r="O43" s="188" t="s">
        <v>758</v>
      </c>
    </row>
    <row r="44" spans="1:17">
      <c r="A44" s="188" t="s">
        <v>250</v>
      </c>
      <c r="B44" s="188">
        <v>2.3637600000000001</v>
      </c>
      <c r="D44" s="188" t="s">
        <v>37</v>
      </c>
      <c r="E44" s="188" t="s">
        <v>40</v>
      </c>
      <c r="F44" s="188" t="s">
        <v>29</v>
      </c>
      <c r="G44" s="188" t="s">
        <v>59</v>
      </c>
      <c r="H44" s="188" t="s">
        <v>33</v>
      </c>
      <c r="I44" s="188">
        <v>2</v>
      </c>
      <c r="J44" s="188">
        <f t="shared" si="1"/>
        <v>0.86025357154741955</v>
      </c>
      <c r="K44" s="188">
        <v>0.362491379</v>
      </c>
      <c r="L44" s="325" t="s">
        <v>31</v>
      </c>
      <c r="M44" s="325" t="s">
        <v>31</v>
      </c>
      <c r="N44" s="325" t="s">
        <v>31</v>
      </c>
      <c r="O44" s="188" t="s">
        <v>759</v>
      </c>
      <c r="Q44" s="188" t="s">
        <v>268</v>
      </c>
    </row>
    <row r="45" spans="1:17" s="330" customFormat="1">
      <c r="A45" s="328" t="s">
        <v>265</v>
      </c>
      <c r="B45" s="329">
        <v>0.52</v>
      </c>
      <c r="C45" s="329"/>
      <c r="D45" s="330" t="s">
        <v>39</v>
      </c>
      <c r="E45" s="330" t="s">
        <v>40</v>
      </c>
      <c r="F45" s="330" t="s">
        <v>29</v>
      </c>
      <c r="G45" s="330" t="s">
        <v>59</v>
      </c>
      <c r="H45" s="330" t="s">
        <v>33</v>
      </c>
      <c r="I45" s="330">
        <v>3</v>
      </c>
      <c r="J45" s="330">
        <f>B45</f>
        <v>0.52</v>
      </c>
      <c r="K45" s="330">
        <v>1.0701761910000001</v>
      </c>
      <c r="L45" s="330" t="s">
        <v>31</v>
      </c>
      <c r="M45" s="330" t="s">
        <v>31</v>
      </c>
      <c r="N45" s="330" t="s">
        <v>31</v>
      </c>
      <c r="O45" s="330" t="s">
        <v>760</v>
      </c>
      <c r="P45" s="330" t="s">
        <v>761</v>
      </c>
      <c r="Q45" s="330" t="s">
        <v>268</v>
      </c>
    </row>
    <row r="46" spans="1:17">
      <c r="A46" s="323" t="s">
        <v>265</v>
      </c>
      <c r="B46" s="331">
        <v>0.05</v>
      </c>
      <c r="C46" s="331"/>
      <c r="D46" s="188" t="s">
        <v>39</v>
      </c>
      <c r="E46" s="188" t="s">
        <v>40</v>
      </c>
      <c r="F46" s="188" t="s">
        <v>29</v>
      </c>
      <c r="G46" s="188" t="s">
        <v>59</v>
      </c>
      <c r="H46" s="188" t="s">
        <v>33</v>
      </c>
      <c r="I46" s="188">
        <v>3</v>
      </c>
      <c r="J46" s="188">
        <f t="shared" ref="J46:J62" si="2">B46</f>
        <v>0.05</v>
      </c>
      <c r="K46" s="188">
        <v>1.0701761910000001</v>
      </c>
      <c r="L46" s="188" t="s">
        <v>31</v>
      </c>
      <c r="M46" s="188" t="s">
        <v>31</v>
      </c>
      <c r="N46" s="188" t="s">
        <v>31</v>
      </c>
      <c r="O46" s="188" t="s">
        <v>762</v>
      </c>
      <c r="P46" s="188" t="s">
        <v>761</v>
      </c>
      <c r="Q46" s="188" t="s">
        <v>268</v>
      </c>
    </row>
    <row r="47" spans="1:17">
      <c r="A47" s="323" t="s">
        <v>265</v>
      </c>
      <c r="B47" s="331">
        <v>2.4E-2</v>
      </c>
      <c r="C47" s="331"/>
      <c r="D47" s="188" t="s">
        <v>39</v>
      </c>
      <c r="E47" s="188" t="s">
        <v>40</v>
      </c>
      <c r="F47" s="188" t="s">
        <v>29</v>
      </c>
      <c r="G47" s="188" t="s">
        <v>59</v>
      </c>
      <c r="H47" s="188" t="s">
        <v>33</v>
      </c>
      <c r="I47" s="188">
        <v>3</v>
      </c>
      <c r="J47" s="188">
        <f t="shared" si="2"/>
        <v>2.4E-2</v>
      </c>
      <c r="K47" s="188">
        <v>1.0701761910000001</v>
      </c>
      <c r="L47" s="188" t="s">
        <v>31</v>
      </c>
      <c r="M47" s="188" t="s">
        <v>31</v>
      </c>
      <c r="N47" s="188" t="s">
        <v>31</v>
      </c>
      <c r="O47" s="188" t="s">
        <v>763</v>
      </c>
      <c r="P47" s="188" t="s">
        <v>761</v>
      </c>
      <c r="Q47" s="188" t="s">
        <v>268</v>
      </c>
    </row>
    <row r="48" spans="1:17">
      <c r="A48" s="323" t="s">
        <v>265</v>
      </c>
      <c r="B48" s="331">
        <v>0.46</v>
      </c>
      <c r="C48" s="331"/>
      <c r="D48" s="188" t="s">
        <v>39</v>
      </c>
      <c r="E48" s="188" t="s">
        <v>40</v>
      </c>
      <c r="F48" s="188" t="s">
        <v>29</v>
      </c>
      <c r="G48" s="188" t="s">
        <v>59</v>
      </c>
      <c r="H48" s="188" t="s">
        <v>33</v>
      </c>
      <c r="I48" s="188">
        <v>3</v>
      </c>
      <c r="J48" s="188">
        <f t="shared" si="2"/>
        <v>0.46</v>
      </c>
      <c r="K48" s="188">
        <v>1.045736435</v>
      </c>
      <c r="L48" s="188" t="s">
        <v>31</v>
      </c>
      <c r="M48" s="188" t="s">
        <v>31</v>
      </c>
      <c r="N48" s="188" t="s">
        <v>31</v>
      </c>
      <c r="O48" s="188" t="s">
        <v>764</v>
      </c>
      <c r="P48" s="188" t="s">
        <v>761</v>
      </c>
      <c r="Q48" s="188" t="s">
        <v>268</v>
      </c>
    </row>
    <row r="49" spans="1:17">
      <c r="A49" s="323" t="s">
        <v>265</v>
      </c>
      <c r="B49" s="331">
        <v>2.4E-2</v>
      </c>
      <c r="C49" s="331"/>
      <c r="D49" s="188" t="s">
        <v>39</v>
      </c>
      <c r="E49" s="188" t="s">
        <v>40</v>
      </c>
      <c r="F49" s="188" t="s">
        <v>29</v>
      </c>
      <c r="G49" s="188" t="s">
        <v>59</v>
      </c>
      <c r="H49" s="188" t="s">
        <v>33</v>
      </c>
      <c r="I49" s="188">
        <v>3</v>
      </c>
      <c r="J49" s="188">
        <f t="shared" si="2"/>
        <v>2.4E-2</v>
      </c>
      <c r="K49" s="188">
        <v>1.075516594</v>
      </c>
      <c r="L49" s="188" t="s">
        <v>31</v>
      </c>
      <c r="M49" s="188" t="s">
        <v>31</v>
      </c>
      <c r="N49" s="188" t="s">
        <v>31</v>
      </c>
      <c r="O49" s="188" t="s">
        <v>765</v>
      </c>
      <c r="P49" s="188" t="s">
        <v>761</v>
      </c>
      <c r="Q49" s="188" t="s">
        <v>268</v>
      </c>
    </row>
    <row r="50" spans="1:17">
      <c r="A50" s="323" t="s">
        <v>265</v>
      </c>
      <c r="B50" s="331">
        <v>0.61299999999999999</v>
      </c>
      <c r="C50" s="331"/>
      <c r="D50" s="188" t="s">
        <v>39</v>
      </c>
      <c r="E50" s="188" t="s">
        <v>40</v>
      </c>
      <c r="F50" s="188" t="s">
        <v>29</v>
      </c>
      <c r="G50" s="188" t="s">
        <v>59</v>
      </c>
      <c r="H50" s="188" t="s">
        <v>33</v>
      </c>
      <c r="I50" s="188">
        <v>3</v>
      </c>
      <c r="J50" s="188">
        <f t="shared" si="2"/>
        <v>0.61299999999999999</v>
      </c>
      <c r="K50" s="188">
        <v>1.058199144</v>
      </c>
      <c r="L50" s="188" t="s">
        <v>31</v>
      </c>
      <c r="M50" s="188" t="s">
        <v>31</v>
      </c>
      <c r="N50" s="188" t="s">
        <v>31</v>
      </c>
      <c r="O50" s="188" t="s">
        <v>766</v>
      </c>
      <c r="P50" s="188" t="s">
        <v>761</v>
      </c>
      <c r="Q50" s="188" t="s">
        <v>268</v>
      </c>
    </row>
    <row r="51" spans="1:17" s="330" customFormat="1">
      <c r="A51" s="332" t="s">
        <v>135</v>
      </c>
      <c r="B51" s="330">
        <v>36.799999999999997</v>
      </c>
      <c r="D51" s="330" t="s">
        <v>37</v>
      </c>
      <c r="E51" s="330" t="s">
        <v>40</v>
      </c>
      <c r="F51" s="330" t="s">
        <v>29</v>
      </c>
      <c r="G51" s="330" t="s">
        <v>82</v>
      </c>
      <c r="H51" s="330" t="s">
        <v>33</v>
      </c>
      <c r="J51" s="333">
        <f t="shared" si="2"/>
        <v>36.799999999999997</v>
      </c>
      <c r="K51" s="330">
        <v>1.0582</v>
      </c>
      <c r="L51" s="330" t="s">
        <v>31</v>
      </c>
      <c r="M51" s="330" t="s">
        <v>31</v>
      </c>
      <c r="N51" s="330" t="s">
        <v>31</v>
      </c>
      <c r="O51" s="330" t="s">
        <v>767</v>
      </c>
      <c r="P51" s="330" t="s">
        <v>761</v>
      </c>
      <c r="Q51" s="188" t="s">
        <v>268</v>
      </c>
    </row>
    <row r="52" spans="1:17">
      <c r="A52" s="334" t="s">
        <v>237</v>
      </c>
      <c r="B52" s="188">
        <f>B51</f>
        <v>36.799999999999997</v>
      </c>
      <c r="D52" s="188" t="s">
        <v>37</v>
      </c>
      <c r="E52" s="188" t="s">
        <v>40</v>
      </c>
      <c r="F52" s="188" t="s">
        <v>29</v>
      </c>
      <c r="G52" s="188" t="s">
        <v>59</v>
      </c>
      <c r="H52" s="188" t="s">
        <v>136</v>
      </c>
      <c r="J52" s="335">
        <f t="shared" si="2"/>
        <v>36.799999999999997</v>
      </c>
      <c r="K52" s="188">
        <f>K51</f>
        <v>1.0582</v>
      </c>
      <c r="L52" s="188" t="s">
        <v>31</v>
      </c>
      <c r="M52" s="188" t="s">
        <v>31</v>
      </c>
      <c r="N52" s="188" t="s">
        <v>31</v>
      </c>
      <c r="O52" s="188" t="s">
        <v>768</v>
      </c>
      <c r="P52" s="188" t="s">
        <v>761</v>
      </c>
      <c r="Q52" s="188" t="s">
        <v>268</v>
      </c>
    </row>
    <row r="53" spans="1:17" s="330" customFormat="1">
      <c r="A53" s="332" t="s">
        <v>135</v>
      </c>
      <c r="B53" s="330">
        <v>0.23200000000000001</v>
      </c>
      <c r="D53" s="330" t="s">
        <v>37</v>
      </c>
      <c r="E53" s="330" t="s">
        <v>40</v>
      </c>
      <c r="F53" s="330" t="s">
        <v>29</v>
      </c>
      <c r="G53" s="330" t="s">
        <v>82</v>
      </c>
      <c r="H53" s="330" t="s">
        <v>33</v>
      </c>
      <c r="J53" s="330">
        <f t="shared" si="2"/>
        <v>0.23200000000000001</v>
      </c>
      <c r="K53" s="330">
        <v>1.1084000000000001</v>
      </c>
      <c r="L53" s="330" t="s">
        <v>31</v>
      </c>
      <c r="M53" s="330" t="s">
        <v>31</v>
      </c>
      <c r="N53" s="330" t="s">
        <v>31</v>
      </c>
      <c r="O53" s="330" t="s">
        <v>769</v>
      </c>
      <c r="P53" s="330" t="s">
        <v>761</v>
      </c>
      <c r="Q53" s="188" t="s">
        <v>268</v>
      </c>
    </row>
    <row r="54" spans="1:17">
      <c r="A54" s="334" t="s">
        <v>237</v>
      </c>
      <c r="B54" s="188">
        <f>B53</f>
        <v>0.23200000000000001</v>
      </c>
      <c r="D54" s="188" t="s">
        <v>37</v>
      </c>
      <c r="E54" s="188" t="s">
        <v>40</v>
      </c>
      <c r="F54" s="188" t="s">
        <v>29</v>
      </c>
      <c r="G54" s="188" t="s">
        <v>59</v>
      </c>
      <c r="H54" s="188" t="s">
        <v>136</v>
      </c>
      <c r="J54" s="188">
        <f t="shared" si="2"/>
        <v>0.23200000000000001</v>
      </c>
      <c r="K54" s="188">
        <f>K53</f>
        <v>1.1084000000000001</v>
      </c>
      <c r="L54" s="188" t="s">
        <v>31</v>
      </c>
      <c r="M54" s="188" t="s">
        <v>31</v>
      </c>
      <c r="N54" s="188" t="s">
        <v>31</v>
      </c>
      <c r="O54" s="188" t="s">
        <v>770</v>
      </c>
      <c r="P54" s="188" t="s">
        <v>761</v>
      </c>
      <c r="Q54" s="188" t="s">
        <v>268</v>
      </c>
    </row>
    <row r="55" spans="1:17" s="330" customFormat="1">
      <c r="A55" s="332" t="s">
        <v>135</v>
      </c>
      <c r="B55" s="330">
        <v>1.42</v>
      </c>
      <c r="D55" s="330" t="s">
        <v>37</v>
      </c>
      <c r="E55" s="330" t="s">
        <v>40</v>
      </c>
      <c r="F55" s="330" t="s">
        <v>29</v>
      </c>
      <c r="G55" s="330" t="s">
        <v>82</v>
      </c>
      <c r="H55" s="330" t="s">
        <v>33</v>
      </c>
      <c r="J55" s="330">
        <f t="shared" si="2"/>
        <v>1.42</v>
      </c>
      <c r="K55" s="330">
        <v>1.1084000000000001</v>
      </c>
      <c r="L55" s="330" t="s">
        <v>31</v>
      </c>
      <c r="M55" s="330" t="s">
        <v>31</v>
      </c>
      <c r="N55" s="330" t="s">
        <v>31</v>
      </c>
      <c r="O55" s="330" t="s">
        <v>771</v>
      </c>
      <c r="P55" s="330" t="s">
        <v>761</v>
      </c>
      <c r="Q55" s="330" t="s">
        <v>268</v>
      </c>
    </row>
    <row r="56" spans="1:17" s="319" customFormat="1">
      <c r="A56" s="336" t="s">
        <v>237</v>
      </c>
      <c r="B56" s="188">
        <f>B55</f>
        <v>1.42</v>
      </c>
      <c r="D56" s="319" t="s">
        <v>37</v>
      </c>
      <c r="E56" s="319" t="s">
        <v>40</v>
      </c>
      <c r="F56" s="319" t="s">
        <v>29</v>
      </c>
      <c r="G56" s="319" t="s">
        <v>59</v>
      </c>
      <c r="H56" s="319" t="s">
        <v>136</v>
      </c>
      <c r="J56" s="319">
        <f t="shared" si="2"/>
        <v>1.42</v>
      </c>
      <c r="K56" s="188">
        <f>K55</f>
        <v>1.1084000000000001</v>
      </c>
      <c r="L56" s="319" t="s">
        <v>31</v>
      </c>
      <c r="M56" s="319" t="s">
        <v>31</v>
      </c>
      <c r="N56" s="319" t="s">
        <v>31</v>
      </c>
      <c r="O56" s="188" t="s">
        <v>772</v>
      </c>
      <c r="P56" s="319" t="s">
        <v>761</v>
      </c>
      <c r="Q56" s="188" t="s">
        <v>268</v>
      </c>
    </row>
    <row r="57" spans="1:17" s="330" customFormat="1">
      <c r="A57" s="332" t="s">
        <v>135</v>
      </c>
      <c r="B57" s="330">
        <v>0.43</v>
      </c>
      <c r="D57" s="330" t="s">
        <v>37</v>
      </c>
      <c r="E57" s="330" t="s">
        <v>40</v>
      </c>
      <c r="F57" s="330" t="s">
        <v>29</v>
      </c>
      <c r="G57" s="330" t="s">
        <v>82</v>
      </c>
      <c r="H57" s="330" t="s">
        <v>33</v>
      </c>
      <c r="J57" s="330">
        <f t="shared" si="2"/>
        <v>0.43</v>
      </c>
      <c r="K57" s="330">
        <v>1.0582</v>
      </c>
      <c r="L57" s="330" t="s">
        <v>31</v>
      </c>
      <c r="M57" s="330" t="s">
        <v>31</v>
      </c>
      <c r="N57" s="330" t="s">
        <v>31</v>
      </c>
      <c r="O57" s="330" t="s">
        <v>773</v>
      </c>
      <c r="P57" s="330" t="s">
        <v>761</v>
      </c>
      <c r="Q57" s="188" t="s">
        <v>268</v>
      </c>
    </row>
    <row r="58" spans="1:17">
      <c r="A58" s="334" t="s">
        <v>237</v>
      </c>
      <c r="B58" s="188">
        <f>B57</f>
        <v>0.43</v>
      </c>
      <c r="D58" s="188" t="s">
        <v>37</v>
      </c>
      <c r="E58" s="188" t="s">
        <v>40</v>
      </c>
      <c r="F58" s="188" t="s">
        <v>29</v>
      </c>
      <c r="G58" s="188" t="s">
        <v>59</v>
      </c>
      <c r="H58" s="188" t="s">
        <v>136</v>
      </c>
      <c r="J58" s="188">
        <f t="shared" si="2"/>
        <v>0.43</v>
      </c>
      <c r="K58" s="188">
        <f>K57</f>
        <v>1.0582</v>
      </c>
      <c r="L58" s="188" t="s">
        <v>31</v>
      </c>
      <c r="M58" s="188" t="s">
        <v>31</v>
      </c>
      <c r="N58" s="188" t="s">
        <v>31</v>
      </c>
      <c r="O58" s="188" t="s">
        <v>774</v>
      </c>
      <c r="P58" s="188" t="s">
        <v>761</v>
      </c>
      <c r="Q58" s="188" t="s">
        <v>268</v>
      </c>
    </row>
    <row r="59" spans="1:17" s="330" customFormat="1">
      <c r="A59" s="337" t="s">
        <v>207</v>
      </c>
      <c r="B59" s="330">
        <v>7.6999999999999999E-2</v>
      </c>
      <c r="C59" s="330" t="s">
        <v>208</v>
      </c>
      <c r="D59" s="330" t="s">
        <v>37</v>
      </c>
      <c r="E59" s="330" t="s">
        <v>40</v>
      </c>
      <c r="F59" s="330" t="s">
        <v>29</v>
      </c>
      <c r="G59" s="330" t="s">
        <v>82</v>
      </c>
      <c r="H59" s="330" t="s">
        <v>33</v>
      </c>
      <c r="J59" s="330">
        <f t="shared" si="2"/>
        <v>7.6999999999999999E-2</v>
      </c>
      <c r="K59" s="330">
        <v>1.1084000000000001</v>
      </c>
      <c r="L59" s="330" t="s">
        <v>31</v>
      </c>
      <c r="M59" s="330" t="s">
        <v>31</v>
      </c>
      <c r="N59" s="330" t="s">
        <v>31</v>
      </c>
      <c r="O59" s="330" t="s">
        <v>775</v>
      </c>
      <c r="P59" s="330" t="s">
        <v>761</v>
      </c>
      <c r="Q59" s="330" t="s">
        <v>268</v>
      </c>
    </row>
    <row r="60" spans="1:17">
      <c r="A60" s="338" t="s">
        <v>755</v>
      </c>
      <c r="B60" s="188">
        <f>B59</f>
        <v>7.6999999999999999E-2</v>
      </c>
      <c r="D60" s="188" t="s">
        <v>37</v>
      </c>
      <c r="E60" s="188" t="s">
        <v>40</v>
      </c>
      <c r="F60" s="188" t="s">
        <v>29</v>
      </c>
      <c r="G60" s="37" t="s">
        <v>59</v>
      </c>
      <c r="H60" s="188" t="s">
        <v>136</v>
      </c>
      <c r="J60" s="188">
        <f t="shared" si="2"/>
        <v>7.6999999999999999E-2</v>
      </c>
      <c r="K60" s="188">
        <f>K59</f>
        <v>1.1084000000000001</v>
      </c>
      <c r="L60" s="188" t="s">
        <v>31</v>
      </c>
      <c r="M60" s="188" t="s">
        <v>31</v>
      </c>
      <c r="N60" s="188" t="s">
        <v>31</v>
      </c>
      <c r="O60" s="188" t="s">
        <v>776</v>
      </c>
      <c r="P60" s="188" t="s">
        <v>761</v>
      </c>
      <c r="Q60" s="188" t="s">
        <v>268</v>
      </c>
    </row>
    <row r="61" spans="1:17" s="330" customFormat="1">
      <c r="A61" s="332" t="s">
        <v>207</v>
      </c>
      <c r="B61" s="330">
        <v>3.5999999999999997E-2</v>
      </c>
      <c r="C61" s="330" t="s">
        <v>208</v>
      </c>
      <c r="D61" s="330" t="s">
        <v>37</v>
      </c>
      <c r="E61" s="330" t="s">
        <v>40</v>
      </c>
      <c r="F61" s="330" t="s">
        <v>29</v>
      </c>
      <c r="G61" s="330" t="s">
        <v>82</v>
      </c>
      <c r="H61" s="330" t="s">
        <v>33</v>
      </c>
      <c r="J61" s="330">
        <f t="shared" si="2"/>
        <v>3.5999999999999997E-2</v>
      </c>
      <c r="K61" s="330">
        <v>1.0702</v>
      </c>
      <c r="L61" s="330" t="s">
        <v>31</v>
      </c>
      <c r="M61" s="330" t="s">
        <v>31</v>
      </c>
      <c r="N61" s="330" t="s">
        <v>31</v>
      </c>
      <c r="O61" s="330" t="s">
        <v>777</v>
      </c>
      <c r="P61" s="330" t="s">
        <v>761</v>
      </c>
      <c r="Q61" s="188" t="s">
        <v>268</v>
      </c>
    </row>
    <row r="62" spans="1:17">
      <c r="A62" s="339" t="s">
        <v>755</v>
      </c>
      <c r="B62" s="188">
        <f>B61</f>
        <v>3.5999999999999997E-2</v>
      </c>
      <c r="D62" s="188" t="s">
        <v>37</v>
      </c>
      <c r="E62" s="188" t="s">
        <v>40</v>
      </c>
      <c r="F62" s="188" t="s">
        <v>29</v>
      </c>
      <c r="G62" s="37" t="s">
        <v>59</v>
      </c>
      <c r="H62" s="188" t="s">
        <v>136</v>
      </c>
      <c r="J62" s="188">
        <f t="shared" si="2"/>
        <v>3.5999999999999997E-2</v>
      </c>
      <c r="K62" s="188">
        <f>K61</f>
        <v>1.0702</v>
      </c>
      <c r="L62" s="188" t="s">
        <v>31</v>
      </c>
      <c r="M62" s="188" t="s">
        <v>31</v>
      </c>
      <c r="N62" s="188" t="s">
        <v>31</v>
      </c>
      <c r="O62" s="188" t="s">
        <v>778</v>
      </c>
      <c r="P62" s="188" t="s">
        <v>761</v>
      </c>
      <c r="Q62" s="188" t="s">
        <v>268</v>
      </c>
    </row>
    <row r="63" spans="1:17" s="341" customFormat="1" ht="13.5" thickBot="1">
      <c r="A63" s="340" t="s">
        <v>779</v>
      </c>
      <c r="B63" s="341">
        <v>2.5999999999999999E-2</v>
      </c>
      <c r="D63" s="341" t="s">
        <v>37</v>
      </c>
      <c r="E63" s="341" t="s">
        <v>43</v>
      </c>
      <c r="F63" s="341" t="s">
        <v>44</v>
      </c>
      <c r="G63" s="341" t="s">
        <v>29</v>
      </c>
      <c r="H63" s="341" t="s">
        <v>45</v>
      </c>
      <c r="J63" s="341">
        <f>B63</f>
        <v>2.5999999999999999E-2</v>
      </c>
      <c r="K63" s="341">
        <v>1.4302999999999999</v>
      </c>
      <c r="L63" s="341" t="s">
        <v>31</v>
      </c>
      <c r="M63" s="341" t="s">
        <v>31</v>
      </c>
      <c r="N63" s="341" t="s">
        <v>31</v>
      </c>
      <c r="O63" s="341" t="s">
        <v>780</v>
      </c>
      <c r="P63" s="341" t="s">
        <v>761</v>
      </c>
      <c r="Q63" s="341" t="s">
        <v>268</v>
      </c>
    </row>
    <row r="64" spans="1:17">
      <c r="A64" s="320" t="s">
        <v>5</v>
      </c>
      <c r="B64" s="321" t="s">
        <v>749</v>
      </c>
      <c r="C64" s="321"/>
      <c r="D64" s="322"/>
    </row>
    <row r="65" spans="1:16">
      <c r="A65" s="323" t="s">
        <v>7</v>
      </c>
      <c r="B65" s="188" t="s">
        <v>741</v>
      </c>
      <c r="D65" s="322"/>
    </row>
    <row r="66" spans="1:16">
      <c r="A66" s="323" t="s">
        <v>9</v>
      </c>
      <c r="B66" s="188" t="s">
        <v>781</v>
      </c>
      <c r="D66" s="322"/>
    </row>
    <row r="67" spans="1:16" ht="14.25" customHeight="1">
      <c r="A67" s="323" t="s">
        <v>11</v>
      </c>
      <c r="B67" s="324" t="s">
        <v>782</v>
      </c>
      <c r="C67" s="324"/>
    </row>
    <row r="68" spans="1:16">
      <c r="A68" s="323" t="s">
        <v>13</v>
      </c>
      <c r="B68" s="188" t="s">
        <v>59</v>
      </c>
    </row>
    <row r="69" spans="1:16">
      <c r="A69" s="323" t="s">
        <v>15</v>
      </c>
      <c r="B69" s="188">
        <f>B26</f>
        <v>5.19</v>
      </c>
    </row>
    <row r="70" spans="1:16">
      <c r="A70" s="323" t="s">
        <v>16</v>
      </c>
      <c r="B70" s="188" t="s">
        <v>17</v>
      </c>
    </row>
    <row r="71" spans="1:16">
      <c r="A71" s="323" t="s">
        <v>18</v>
      </c>
      <c r="B71" s="188" t="s">
        <v>37</v>
      </c>
    </row>
    <row r="72" spans="1:16">
      <c r="A72" s="320" t="s">
        <v>19</v>
      </c>
    </row>
    <row r="73" spans="1:16" ht="14.45">
      <c r="A73" s="320" t="s">
        <v>20</v>
      </c>
      <c r="B73" s="321" t="s">
        <v>21</v>
      </c>
      <c r="C73" s="83" t="s">
        <v>186</v>
      </c>
      <c r="D73" s="321" t="s">
        <v>18</v>
      </c>
      <c r="E73" s="321" t="s">
        <v>22</v>
      </c>
      <c r="F73" s="321" t="s">
        <v>7</v>
      </c>
      <c r="G73" s="321" t="s">
        <v>13</v>
      </c>
      <c r="H73" s="321" t="s">
        <v>16</v>
      </c>
      <c r="I73" s="321" t="s">
        <v>23</v>
      </c>
      <c r="J73" s="321" t="s">
        <v>24</v>
      </c>
      <c r="K73" s="321" t="s">
        <v>25</v>
      </c>
      <c r="L73" s="321" t="s">
        <v>26</v>
      </c>
      <c r="M73" s="321" t="s">
        <v>27</v>
      </c>
      <c r="N73" s="321" t="s">
        <v>28</v>
      </c>
      <c r="O73" s="321" t="s">
        <v>11</v>
      </c>
      <c r="P73" s="321" t="s">
        <v>187</v>
      </c>
    </row>
    <row r="74" spans="1:16" s="325" customFormat="1">
      <c r="A74" s="325" t="s">
        <v>749</v>
      </c>
      <c r="B74" s="325">
        <f>B69</f>
        <v>5.19</v>
      </c>
      <c r="D74" s="325" t="s">
        <v>37</v>
      </c>
      <c r="E74" s="325" t="s">
        <v>2</v>
      </c>
      <c r="F74" s="325" t="s">
        <v>29</v>
      </c>
      <c r="G74" s="325" t="s">
        <v>59</v>
      </c>
      <c r="H74" s="325" t="s">
        <v>30</v>
      </c>
      <c r="I74" s="325">
        <v>1</v>
      </c>
      <c r="J74" s="325">
        <f>B74</f>
        <v>5.19</v>
      </c>
      <c r="K74" s="325" t="s">
        <v>31</v>
      </c>
      <c r="L74" s="325" t="s">
        <v>31</v>
      </c>
      <c r="M74" s="325" t="s">
        <v>31</v>
      </c>
      <c r="N74" s="325" t="s">
        <v>31</v>
      </c>
    </row>
    <row r="75" spans="1:16" ht="12.75" customHeight="1">
      <c r="A75" s="116" t="s">
        <v>237</v>
      </c>
      <c r="B75" s="188">
        <v>4.51</v>
      </c>
      <c r="D75" s="188" t="s">
        <v>37</v>
      </c>
      <c r="E75" s="188" t="s">
        <v>40</v>
      </c>
      <c r="F75" s="188" t="s">
        <v>29</v>
      </c>
      <c r="G75" s="37" t="s">
        <v>59</v>
      </c>
      <c r="H75" s="188" t="s">
        <v>33</v>
      </c>
      <c r="I75" s="188">
        <v>2</v>
      </c>
      <c r="J75" s="188">
        <f>LN(B75)</f>
        <v>1.506297153514587</v>
      </c>
      <c r="K75" s="188">
        <v>0.34842502800000003</v>
      </c>
      <c r="L75" s="188" t="s">
        <v>31</v>
      </c>
      <c r="M75" s="188" t="s">
        <v>31</v>
      </c>
      <c r="N75" s="188" t="s">
        <v>31</v>
      </c>
      <c r="O75" s="324" t="s">
        <v>783</v>
      </c>
      <c r="P75" s="188" t="s">
        <v>268</v>
      </c>
    </row>
    <row r="76" spans="1:16">
      <c r="A76" s="188" t="s">
        <v>205</v>
      </c>
      <c r="B76" s="188">
        <v>0.68</v>
      </c>
      <c r="D76" s="188" t="s">
        <v>37</v>
      </c>
      <c r="E76" s="188" t="s">
        <v>40</v>
      </c>
      <c r="F76" s="188" t="s">
        <v>29</v>
      </c>
      <c r="G76" s="37" t="s">
        <v>59</v>
      </c>
      <c r="H76" s="188" t="s">
        <v>33</v>
      </c>
      <c r="I76" s="188">
        <v>2</v>
      </c>
      <c r="J76" s="188">
        <f>LN(B76)</f>
        <v>-0.38566248081198462</v>
      </c>
      <c r="K76" s="188">
        <v>0.34842502800000003</v>
      </c>
      <c r="L76" s="188" t="s">
        <v>31</v>
      </c>
      <c r="M76" s="188" t="s">
        <v>31</v>
      </c>
      <c r="N76" s="188" t="s">
        <v>31</v>
      </c>
      <c r="O76" s="188" t="s">
        <v>784</v>
      </c>
      <c r="P76" s="188" t="s">
        <v>268</v>
      </c>
    </row>
    <row r="77" spans="1:16">
      <c r="A77" s="323" t="s">
        <v>265</v>
      </c>
      <c r="B77" s="188">
        <v>0.27700000000000002</v>
      </c>
      <c r="D77" s="188" t="s">
        <v>39</v>
      </c>
      <c r="E77" s="188" t="s">
        <v>40</v>
      </c>
      <c r="F77" s="188" t="s">
        <v>29</v>
      </c>
      <c r="G77" s="37" t="s">
        <v>59</v>
      </c>
      <c r="H77" s="188" t="s">
        <v>33</v>
      </c>
      <c r="I77" s="188">
        <v>3</v>
      </c>
      <c r="J77" s="188">
        <f>B77</f>
        <v>0.27700000000000002</v>
      </c>
      <c r="K77" s="188">
        <v>1.2351000000000001</v>
      </c>
      <c r="L77" s="188" t="s">
        <v>31</v>
      </c>
      <c r="M77" s="188" t="s">
        <v>31</v>
      </c>
      <c r="N77" s="188" t="s">
        <v>31</v>
      </c>
      <c r="O77" s="188" t="s">
        <v>785</v>
      </c>
      <c r="P77" s="188" t="s">
        <v>761</v>
      </c>
    </row>
    <row r="78" spans="1:16">
      <c r="A78" s="323" t="s">
        <v>265</v>
      </c>
      <c r="B78" s="188">
        <v>6.9000000000000006E-2</v>
      </c>
      <c r="D78" s="188" t="s">
        <v>39</v>
      </c>
      <c r="E78" s="188" t="s">
        <v>40</v>
      </c>
      <c r="F78" s="188" t="s">
        <v>29</v>
      </c>
      <c r="G78" s="37" t="s">
        <v>59</v>
      </c>
      <c r="H78" s="188" t="s">
        <v>33</v>
      </c>
      <c r="I78" s="188">
        <v>3</v>
      </c>
      <c r="J78" s="188">
        <f>B78</f>
        <v>6.9000000000000006E-2</v>
      </c>
      <c r="K78" s="188">
        <v>1.2310000000000001</v>
      </c>
      <c r="L78" s="188" t="s">
        <v>31</v>
      </c>
      <c r="M78" s="188" t="s">
        <v>31</v>
      </c>
      <c r="N78" s="188" t="s">
        <v>31</v>
      </c>
      <c r="O78" s="188" t="s">
        <v>786</v>
      </c>
      <c r="P78" s="188" t="s">
        <v>761</v>
      </c>
    </row>
    <row r="79" spans="1:16">
      <c r="A79" s="188" t="s">
        <v>787</v>
      </c>
      <c r="B79" s="188">
        <v>4.4999999999999998E-2</v>
      </c>
      <c r="D79" s="188" t="s">
        <v>37</v>
      </c>
      <c r="E79" s="188" t="s">
        <v>2</v>
      </c>
      <c r="F79" s="188" t="s">
        <v>29</v>
      </c>
      <c r="G79" s="37" t="s">
        <v>74</v>
      </c>
      <c r="H79" s="188" t="s">
        <v>33</v>
      </c>
      <c r="I79" s="188">
        <v>3</v>
      </c>
      <c r="J79" s="188">
        <f>B79</f>
        <v>4.4999999999999998E-2</v>
      </c>
      <c r="K79" s="188">
        <v>1.0582</v>
      </c>
      <c r="L79" s="188" t="s">
        <v>31</v>
      </c>
      <c r="M79" s="188" t="s">
        <v>31</v>
      </c>
      <c r="N79" s="188" t="s">
        <v>31</v>
      </c>
      <c r="O79" s="188" t="s">
        <v>788</v>
      </c>
      <c r="P79" s="188" t="s">
        <v>761</v>
      </c>
    </row>
    <row r="80" spans="1:16" s="326" customFormat="1" ht="13.5" thickBot="1">
      <c r="A80" s="326" t="s">
        <v>787</v>
      </c>
      <c r="B80" s="326">
        <v>4.4999999999999998E-2</v>
      </c>
      <c r="D80" s="326" t="s">
        <v>37</v>
      </c>
      <c r="E80" s="326" t="s">
        <v>2</v>
      </c>
      <c r="F80" s="326" t="s">
        <v>29</v>
      </c>
      <c r="G80" s="342" t="s">
        <v>74</v>
      </c>
      <c r="H80" s="326" t="s">
        <v>33</v>
      </c>
      <c r="I80" s="326">
        <v>3</v>
      </c>
      <c r="J80" s="326">
        <f>B80</f>
        <v>4.4999999999999998E-2</v>
      </c>
      <c r="K80" s="326">
        <v>1.2351000000000001</v>
      </c>
      <c r="L80" s="326" t="s">
        <v>31</v>
      </c>
      <c r="M80" s="326" t="s">
        <v>31</v>
      </c>
      <c r="N80" s="326" t="s">
        <v>31</v>
      </c>
      <c r="O80" s="326" t="s">
        <v>789</v>
      </c>
      <c r="P80" s="188" t="s">
        <v>761</v>
      </c>
    </row>
    <row r="81" spans="1:16">
      <c r="A81" s="320" t="s">
        <v>5</v>
      </c>
      <c r="B81" s="321" t="s">
        <v>750</v>
      </c>
      <c r="C81" s="321"/>
      <c r="D81" s="322"/>
    </row>
    <row r="82" spans="1:16">
      <c r="A82" s="323" t="s">
        <v>7</v>
      </c>
      <c r="B82" s="188" t="s">
        <v>741</v>
      </c>
      <c r="D82" s="322"/>
    </row>
    <row r="83" spans="1:16">
      <c r="A83" s="323" t="s">
        <v>9</v>
      </c>
      <c r="B83" s="188" t="s">
        <v>790</v>
      </c>
      <c r="D83" s="322"/>
    </row>
    <row r="84" spans="1:16" ht="14.25" customHeight="1">
      <c r="A84" s="323" t="s">
        <v>11</v>
      </c>
      <c r="B84" s="324" t="s">
        <v>791</v>
      </c>
      <c r="C84" s="324"/>
    </row>
    <row r="85" spans="1:16">
      <c r="A85" s="323" t="s">
        <v>13</v>
      </c>
      <c r="B85" s="188" t="s">
        <v>59</v>
      </c>
    </row>
    <row r="86" spans="1:16">
      <c r="A86" s="323" t="s">
        <v>15</v>
      </c>
      <c r="B86" s="188">
        <f>B27</f>
        <v>19.71</v>
      </c>
    </row>
    <row r="87" spans="1:16">
      <c r="A87" s="323" t="s">
        <v>16</v>
      </c>
      <c r="B87" s="188" t="s">
        <v>17</v>
      </c>
    </row>
    <row r="88" spans="1:16">
      <c r="A88" s="323" t="s">
        <v>18</v>
      </c>
      <c r="B88" s="188" t="s">
        <v>37</v>
      </c>
    </row>
    <row r="89" spans="1:16">
      <c r="A89" s="320" t="s">
        <v>19</v>
      </c>
    </row>
    <row r="90" spans="1:16" ht="14.45">
      <c r="A90" s="320" t="s">
        <v>20</v>
      </c>
      <c r="B90" s="321" t="s">
        <v>21</v>
      </c>
      <c r="C90" s="83" t="s">
        <v>186</v>
      </c>
      <c r="D90" s="321" t="s">
        <v>18</v>
      </c>
      <c r="E90" s="321" t="s">
        <v>22</v>
      </c>
      <c r="F90" s="321" t="s">
        <v>7</v>
      </c>
      <c r="G90" s="321" t="s">
        <v>13</v>
      </c>
      <c r="H90" s="321" t="s">
        <v>16</v>
      </c>
      <c r="I90" s="321" t="s">
        <v>23</v>
      </c>
      <c r="J90" s="321" t="s">
        <v>24</v>
      </c>
      <c r="K90" s="321" t="s">
        <v>25</v>
      </c>
      <c r="L90" s="321" t="s">
        <v>26</v>
      </c>
      <c r="M90" s="321" t="s">
        <v>27</v>
      </c>
      <c r="N90" s="321" t="s">
        <v>28</v>
      </c>
      <c r="O90" s="321" t="s">
        <v>11</v>
      </c>
      <c r="P90" s="321" t="s">
        <v>187</v>
      </c>
    </row>
    <row r="91" spans="1:16" s="325" customFormat="1">
      <c r="A91" s="325" t="s">
        <v>750</v>
      </c>
      <c r="B91" s="325">
        <f>B27</f>
        <v>19.71</v>
      </c>
      <c r="D91" s="325" t="s">
        <v>37</v>
      </c>
      <c r="E91" s="325" t="s">
        <v>2</v>
      </c>
      <c r="F91" s="325" t="s">
        <v>29</v>
      </c>
      <c r="G91" s="325" t="s">
        <v>59</v>
      </c>
      <c r="H91" s="325" t="s">
        <v>30</v>
      </c>
      <c r="I91" s="325">
        <v>1</v>
      </c>
      <c r="J91" s="325">
        <f>B91</f>
        <v>19.71</v>
      </c>
      <c r="K91" s="325" t="s">
        <v>31</v>
      </c>
      <c r="L91" s="325" t="s">
        <v>31</v>
      </c>
      <c r="M91" s="325" t="s">
        <v>31</v>
      </c>
      <c r="N91" s="325" t="s">
        <v>31</v>
      </c>
    </row>
    <row r="92" spans="1:16" ht="12.75" customHeight="1">
      <c r="A92" s="116" t="s">
        <v>237</v>
      </c>
      <c r="B92" s="188">
        <v>7.15</v>
      </c>
      <c r="D92" s="188" t="s">
        <v>37</v>
      </c>
      <c r="E92" s="188" t="s">
        <v>40</v>
      </c>
      <c r="F92" s="188" t="s">
        <v>29</v>
      </c>
      <c r="G92" s="37" t="s">
        <v>59</v>
      </c>
      <c r="H92" s="188" t="s">
        <v>33</v>
      </c>
      <c r="I92" s="188">
        <v>2</v>
      </c>
      <c r="J92" s="188">
        <f>LN(B92)</f>
        <v>1.9671123567059163</v>
      </c>
      <c r="K92" s="188">
        <v>0.34842502800000003</v>
      </c>
      <c r="L92" s="188" t="s">
        <v>31</v>
      </c>
      <c r="M92" s="188" t="s">
        <v>31</v>
      </c>
      <c r="N92" s="188" t="s">
        <v>31</v>
      </c>
      <c r="O92" s="324" t="s">
        <v>792</v>
      </c>
      <c r="P92" s="188" t="s">
        <v>268</v>
      </c>
    </row>
    <row r="93" spans="1:16" ht="12" customHeight="1">
      <c r="A93" s="188" t="s">
        <v>205</v>
      </c>
      <c r="B93" s="188">
        <v>12.56</v>
      </c>
      <c r="D93" s="188" t="s">
        <v>37</v>
      </c>
      <c r="E93" s="188" t="s">
        <v>40</v>
      </c>
      <c r="F93" s="188" t="s">
        <v>29</v>
      </c>
      <c r="G93" s="37" t="s">
        <v>59</v>
      </c>
      <c r="H93" s="188" t="s">
        <v>33</v>
      </c>
      <c r="I93" s="188">
        <v>2</v>
      </c>
      <c r="J93" s="188">
        <f>LN(B93)</f>
        <v>2.5305171610400525</v>
      </c>
      <c r="K93" s="188">
        <v>0.34842502800000003</v>
      </c>
      <c r="L93" s="188" t="s">
        <v>31</v>
      </c>
      <c r="M93" s="188" t="s">
        <v>31</v>
      </c>
      <c r="N93" s="188" t="s">
        <v>31</v>
      </c>
      <c r="O93" s="324" t="s">
        <v>793</v>
      </c>
      <c r="P93" s="188" t="s">
        <v>268</v>
      </c>
    </row>
    <row r="94" spans="1:16">
      <c r="A94" s="323" t="s">
        <v>265</v>
      </c>
      <c r="B94" s="188">
        <v>3.1869999999999998</v>
      </c>
      <c r="D94" s="188" t="s">
        <v>39</v>
      </c>
      <c r="E94" s="188" t="s">
        <v>40</v>
      </c>
      <c r="F94" s="188" t="s">
        <v>29</v>
      </c>
      <c r="G94" s="37" t="s">
        <v>59</v>
      </c>
      <c r="H94" s="188" t="s">
        <v>33</v>
      </c>
      <c r="I94" s="188">
        <v>3</v>
      </c>
      <c r="J94" s="188">
        <f>B94</f>
        <v>3.1869999999999998</v>
      </c>
      <c r="K94" s="188">
        <v>1.0748</v>
      </c>
      <c r="L94" s="188" t="s">
        <v>31</v>
      </c>
      <c r="M94" s="188" t="s">
        <v>31</v>
      </c>
      <c r="N94" s="188" t="s">
        <v>31</v>
      </c>
      <c r="O94" s="188" t="s">
        <v>794</v>
      </c>
      <c r="P94" s="188" t="s">
        <v>761</v>
      </c>
    </row>
    <row r="95" spans="1:16">
      <c r="A95" s="323" t="s">
        <v>265</v>
      </c>
      <c r="B95" s="188">
        <v>5.0000000000000001E-3</v>
      </c>
      <c r="D95" s="188" t="s">
        <v>39</v>
      </c>
      <c r="E95" s="188" t="s">
        <v>40</v>
      </c>
      <c r="F95" s="188" t="s">
        <v>29</v>
      </c>
      <c r="G95" s="37" t="s">
        <v>59</v>
      </c>
      <c r="H95" s="188" t="s">
        <v>33</v>
      </c>
      <c r="I95" s="188">
        <v>3</v>
      </c>
      <c r="J95" s="188">
        <f t="shared" ref="J95:J109" si="3">B95</f>
        <v>5.0000000000000001E-3</v>
      </c>
      <c r="K95" s="188">
        <v>1.0582</v>
      </c>
      <c r="L95" s="188" t="s">
        <v>31</v>
      </c>
      <c r="M95" s="188" t="s">
        <v>31</v>
      </c>
      <c r="N95" s="188" t="s">
        <v>31</v>
      </c>
      <c r="O95" s="188" t="s">
        <v>795</v>
      </c>
      <c r="P95" s="188" t="s">
        <v>761</v>
      </c>
    </row>
    <row r="96" spans="1:16">
      <c r="A96" s="323" t="s">
        <v>265</v>
      </c>
      <c r="B96" s="188">
        <v>4.2000000000000003E-2</v>
      </c>
      <c r="D96" s="188" t="s">
        <v>39</v>
      </c>
      <c r="E96" s="188" t="s">
        <v>40</v>
      </c>
      <c r="F96" s="188" t="s">
        <v>29</v>
      </c>
      <c r="G96" s="37" t="s">
        <v>59</v>
      </c>
      <c r="H96" s="188" t="s">
        <v>33</v>
      </c>
      <c r="I96" s="188">
        <v>3</v>
      </c>
      <c r="J96" s="188">
        <f t="shared" si="3"/>
        <v>4.2000000000000003E-2</v>
      </c>
      <c r="K96" s="188">
        <v>1.0702</v>
      </c>
      <c r="L96" s="188" t="s">
        <v>31</v>
      </c>
      <c r="M96" s="188" t="s">
        <v>31</v>
      </c>
      <c r="N96" s="188" t="s">
        <v>31</v>
      </c>
      <c r="O96" s="188" t="s">
        <v>796</v>
      </c>
      <c r="P96" s="188" t="s">
        <v>761</v>
      </c>
    </row>
    <row r="97" spans="1:16">
      <c r="A97" s="323" t="s">
        <v>265</v>
      </c>
      <c r="B97" s="188">
        <v>8.0000000000000002E-3</v>
      </c>
      <c r="D97" s="188" t="s">
        <v>39</v>
      </c>
      <c r="E97" s="188" t="s">
        <v>40</v>
      </c>
      <c r="F97" s="188" t="s">
        <v>29</v>
      </c>
      <c r="G97" s="37" t="s">
        <v>59</v>
      </c>
      <c r="H97" s="188" t="s">
        <v>33</v>
      </c>
      <c r="I97" s="188">
        <v>3</v>
      </c>
      <c r="J97" s="188">
        <f t="shared" si="3"/>
        <v>8.0000000000000002E-3</v>
      </c>
      <c r="K97" s="188">
        <v>1.0702</v>
      </c>
      <c r="L97" s="188" t="s">
        <v>31</v>
      </c>
      <c r="M97" s="188" t="s">
        <v>31</v>
      </c>
      <c r="N97" s="188" t="s">
        <v>31</v>
      </c>
      <c r="O97" s="188" t="s">
        <v>797</v>
      </c>
      <c r="P97" s="188" t="s">
        <v>761</v>
      </c>
    </row>
    <row r="98" spans="1:16">
      <c r="A98" s="323" t="s">
        <v>265</v>
      </c>
      <c r="B98" s="188">
        <v>2.1</v>
      </c>
      <c r="D98" s="188" t="s">
        <v>39</v>
      </c>
      <c r="E98" s="188" t="s">
        <v>40</v>
      </c>
      <c r="F98" s="188" t="s">
        <v>29</v>
      </c>
      <c r="G98" s="37" t="s">
        <v>59</v>
      </c>
      <c r="H98" s="188" t="s">
        <v>33</v>
      </c>
      <c r="I98" s="188">
        <v>3</v>
      </c>
      <c r="J98" s="188">
        <f t="shared" si="3"/>
        <v>2.1</v>
      </c>
      <c r="K98" s="188">
        <v>1.0582</v>
      </c>
      <c r="L98" s="188" t="s">
        <v>31</v>
      </c>
      <c r="M98" s="188" t="s">
        <v>31</v>
      </c>
      <c r="N98" s="188" t="s">
        <v>31</v>
      </c>
      <c r="O98" s="188" t="s">
        <v>798</v>
      </c>
      <c r="P98" s="188" t="s">
        <v>761</v>
      </c>
    </row>
    <row r="99" spans="1:16">
      <c r="A99" s="323" t="s">
        <v>265</v>
      </c>
      <c r="B99" s="188">
        <v>0.87</v>
      </c>
      <c r="D99" s="188" t="s">
        <v>39</v>
      </c>
      <c r="E99" s="188" t="s">
        <v>40</v>
      </c>
      <c r="F99" s="188" t="s">
        <v>29</v>
      </c>
      <c r="G99" s="37" t="s">
        <v>59</v>
      </c>
      <c r="H99" s="188" t="s">
        <v>33</v>
      </c>
      <c r="I99" s="188">
        <v>3</v>
      </c>
      <c r="J99" s="188">
        <f t="shared" si="3"/>
        <v>0.87</v>
      </c>
      <c r="K99" s="188">
        <v>1.0702</v>
      </c>
      <c r="L99" s="188" t="s">
        <v>31</v>
      </c>
      <c r="M99" s="188" t="s">
        <v>31</v>
      </c>
      <c r="N99" s="188" t="s">
        <v>31</v>
      </c>
      <c r="O99" s="188" t="s">
        <v>799</v>
      </c>
      <c r="P99" s="188" t="s">
        <v>761</v>
      </c>
    </row>
    <row r="100" spans="1:16">
      <c r="A100" s="323" t="s">
        <v>265</v>
      </c>
      <c r="B100" s="188">
        <v>1.29</v>
      </c>
      <c r="D100" s="188" t="s">
        <v>39</v>
      </c>
      <c r="E100" s="188" t="s">
        <v>40</v>
      </c>
      <c r="F100" s="188" t="s">
        <v>29</v>
      </c>
      <c r="G100" s="37" t="s">
        <v>59</v>
      </c>
      <c r="H100" s="188" t="s">
        <v>33</v>
      </c>
      <c r="I100" s="188">
        <v>3</v>
      </c>
      <c r="J100" s="188">
        <f t="shared" si="3"/>
        <v>1.29</v>
      </c>
      <c r="K100" s="188">
        <v>1.0702</v>
      </c>
      <c r="L100" s="188" t="s">
        <v>31</v>
      </c>
      <c r="M100" s="188" t="s">
        <v>31</v>
      </c>
      <c r="N100" s="188" t="s">
        <v>31</v>
      </c>
      <c r="O100" s="188" t="s">
        <v>800</v>
      </c>
      <c r="P100" s="188" t="s">
        <v>761</v>
      </c>
    </row>
    <row r="101" spans="1:16">
      <c r="A101" s="323" t="s">
        <v>265</v>
      </c>
      <c r="B101" s="188">
        <v>3.6</v>
      </c>
      <c r="D101" s="188" t="s">
        <v>39</v>
      </c>
      <c r="E101" s="188" t="s">
        <v>40</v>
      </c>
      <c r="F101" s="188" t="s">
        <v>29</v>
      </c>
      <c r="G101" s="37" t="s">
        <v>59</v>
      </c>
      <c r="H101" s="188" t="s">
        <v>33</v>
      </c>
      <c r="I101" s="188">
        <v>2</v>
      </c>
      <c r="J101" s="188">
        <f t="shared" si="3"/>
        <v>3.6</v>
      </c>
      <c r="K101" s="188">
        <v>1.058199144</v>
      </c>
      <c r="L101" s="188" t="s">
        <v>31</v>
      </c>
      <c r="M101" s="188" t="s">
        <v>31</v>
      </c>
      <c r="N101" s="188" t="s">
        <v>31</v>
      </c>
      <c r="O101" s="188" t="s">
        <v>801</v>
      </c>
    </row>
    <row r="102" spans="1:16">
      <c r="A102" s="323" t="s">
        <v>265</v>
      </c>
      <c r="B102" s="188">
        <v>2.9</v>
      </c>
      <c r="D102" s="188" t="s">
        <v>39</v>
      </c>
      <c r="E102" s="188" t="s">
        <v>40</v>
      </c>
      <c r="F102" s="188" t="s">
        <v>29</v>
      </c>
      <c r="G102" s="37" t="s">
        <v>59</v>
      </c>
      <c r="H102" s="188" t="s">
        <v>33</v>
      </c>
      <c r="I102" s="188">
        <v>2</v>
      </c>
      <c r="J102" s="188">
        <f t="shared" si="3"/>
        <v>2.9</v>
      </c>
      <c r="K102" s="188">
        <v>1.058199144</v>
      </c>
      <c r="L102" s="188" t="s">
        <v>31</v>
      </c>
      <c r="M102" s="188" t="s">
        <v>31</v>
      </c>
      <c r="N102" s="188" t="s">
        <v>31</v>
      </c>
      <c r="O102" s="188" t="s">
        <v>802</v>
      </c>
    </row>
    <row r="103" spans="1:16">
      <c r="A103" s="323" t="s">
        <v>265</v>
      </c>
      <c r="B103" s="188">
        <v>1.7</v>
      </c>
      <c r="D103" s="188" t="s">
        <v>39</v>
      </c>
      <c r="E103" s="188" t="s">
        <v>40</v>
      </c>
      <c r="F103" s="188" t="s">
        <v>29</v>
      </c>
      <c r="G103" s="37" t="s">
        <v>59</v>
      </c>
      <c r="H103" s="188" t="s">
        <v>33</v>
      </c>
      <c r="I103" s="188">
        <v>2</v>
      </c>
      <c r="J103" s="188">
        <f t="shared" si="3"/>
        <v>1.7</v>
      </c>
      <c r="K103" s="188">
        <v>1.058199144</v>
      </c>
      <c r="L103" s="188" t="s">
        <v>31</v>
      </c>
      <c r="M103" s="188" t="s">
        <v>31</v>
      </c>
      <c r="N103" s="188" t="s">
        <v>31</v>
      </c>
      <c r="O103" s="188" t="s">
        <v>803</v>
      </c>
    </row>
    <row r="104" spans="1:16">
      <c r="A104" s="323" t="s">
        <v>265</v>
      </c>
      <c r="B104" s="188">
        <v>0.7</v>
      </c>
      <c r="D104" s="188" t="s">
        <v>39</v>
      </c>
      <c r="E104" s="188" t="s">
        <v>40</v>
      </c>
      <c r="F104" s="188" t="s">
        <v>29</v>
      </c>
      <c r="G104" s="37" t="s">
        <v>59</v>
      </c>
      <c r="H104" s="188" t="s">
        <v>33</v>
      </c>
      <c r="I104" s="188">
        <v>2</v>
      </c>
      <c r="J104" s="188">
        <f t="shared" si="3"/>
        <v>0.7</v>
      </c>
      <c r="K104" s="188">
        <v>1.058199144</v>
      </c>
      <c r="L104" s="188" t="s">
        <v>31</v>
      </c>
      <c r="M104" s="188" t="s">
        <v>31</v>
      </c>
      <c r="N104" s="188" t="s">
        <v>31</v>
      </c>
      <c r="O104" s="188" t="s">
        <v>803</v>
      </c>
      <c r="P104" s="188" t="s">
        <v>761</v>
      </c>
    </row>
    <row r="105" spans="1:16" s="330" customFormat="1">
      <c r="A105" s="332" t="s">
        <v>205</v>
      </c>
      <c r="B105" s="330">
        <v>1.1200000000000001</v>
      </c>
      <c r="D105" s="330" t="s">
        <v>37</v>
      </c>
      <c r="E105" s="330" t="s">
        <v>40</v>
      </c>
      <c r="F105" s="330" t="s">
        <v>29</v>
      </c>
      <c r="G105" s="343" t="s">
        <v>59</v>
      </c>
      <c r="H105" s="330" t="s">
        <v>136</v>
      </c>
      <c r="I105" s="330">
        <v>3</v>
      </c>
      <c r="J105" s="330">
        <f t="shared" si="3"/>
        <v>1.1200000000000001</v>
      </c>
      <c r="K105" s="188">
        <v>1.1116329410000001</v>
      </c>
      <c r="L105" s="330" t="s">
        <v>31</v>
      </c>
      <c r="M105" s="330" t="s">
        <v>31</v>
      </c>
      <c r="N105" s="330" t="s">
        <v>31</v>
      </c>
      <c r="O105" s="330" t="s">
        <v>804</v>
      </c>
      <c r="P105" s="330" t="s">
        <v>761</v>
      </c>
    </row>
    <row r="106" spans="1:16">
      <c r="A106" s="344" t="s">
        <v>201</v>
      </c>
      <c r="B106" s="188">
        <v>1.1200000000000001</v>
      </c>
      <c r="D106" s="188" t="s">
        <v>37</v>
      </c>
      <c r="E106" s="188" t="s">
        <v>40</v>
      </c>
      <c r="F106" s="188" t="s">
        <v>29</v>
      </c>
      <c r="G106" s="188" t="s">
        <v>82</v>
      </c>
      <c r="H106" s="188" t="s">
        <v>33</v>
      </c>
      <c r="I106" s="188">
        <v>3</v>
      </c>
      <c r="J106" s="188">
        <f t="shared" si="3"/>
        <v>1.1200000000000001</v>
      </c>
      <c r="K106" s="188">
        <v>1.1116329410000001</v>
      </c>
      <c r="L106" s="188" t="s">
        <v>31</v>
      </c>
      <c r="M106" s="188" t="s">
        <v>31</v>
      </c>
      <c r="N106" s="188" t="s">
        <v>31</v>
      </c>
      <c r="O106" s="188" t="s">
        <v>805</v>
      </c>
      <c r="P106" s="188" t="s">
        <v>761</v>
      </c>
    </row>
    <row r="107" spans="1:16" s="319" customFormat="1">
      <c r="A107" s="345" t="s">
        <v>202</v>
      </c>
      <c r="B107" s="319">
        <v>1.1200000000000001</v>
      </c>
      <c r="C107" s="319" t="s">
        <v>203</v>
      </c>
      <c r="D107" s="319" t="s">
        <v>37</v>
      </c>
      <c r="E107" s="319" t="s">
        <v>40</v>
      </c>
      <c r="F107" s="319" t="s">
        <v>29</v>
      </c>
      <c r="G107" s="319" t="s">
        <v>82</v>
      </c>
      <c r="H107" s="319" t="s">
        <v>33</v>
      </c>
      <c r="I107" s="319">
        <v>3</v>
      </c>
      <c r="J107" s="319">
        <f t="shared" si="3"/>
        <v>1.1200000000000001</v>
      </c>
      <c r="K107" s="319">
        <v>1.1116329410000001</v>
      </c>
      <c r="L107" s="319" t="s">
        <v>31</v>
      </c>
      <c r="M107" s="319" t="s">
        <v>31</v>
      </c>
      <c r="N107" s="319" t="s">
        <v>31</v>
      </c>
      <c r="O107" s="319" t="s">
        <v>805</v>
      </c>
      <c r="P107" s="319" t="s">
        <v>761</v>
      </c>
    </row>
    <row r="108" spans="1:16">
      <c r="A108" s="188" t="s">
        <v>787</v>
      </c>
      <c r="B108" s="188">
        <f>0.541+3.12</f>
        <v>3.661</v>
      </c>
      <c r="D108" s="188" t="s">
        <v>37</v>
      </c>
      <c r="E108" s="188" t="s">
        <v>2</v>
      </c>
      <c r="F108" s="188" t="s">
        <v>29</v>
      </c>
      <c r="G108" s="37" t="s">
        <v>74</v>
      </c>
      <c r="H108" s="188" t="s">
        <v>33</v>
      </c>
      <c r="I108" s="188">
        <v>3</v>
      </c>
      <c r="J108" s="188">
        <f t="shared" si="3"/>
        <v>3.661</v>
      </c>
      <c r="K108" s="188">
        <v>1.058199144</v>
      </c>
      <c r="L108" s="188" t="s">
        <v>31</v>
      </c>
      <c r="M108" s="188" t="s">
        <v>31</v>
      </c>
      <c r="N108" s="188" t="s">
        <v>31</v>
      </c>
      <c r="O108" s="188" t="s">
        <v>806</v>
      </c>
      <c r="P108" s="188" t="s">
        <v>761</v>
      </c>
    </row>
    <row r="109" spans="1:16" s="326" customFormat="1" ht="13.5" thickBot="1">
      <c r="A109" s="346" t="s">
        <v>807</v>
      </c>
      <c r="B109" s="326">
        <v>0.21199999999999999</v>
      </c>
      <c r="D109" s="326" t="s">
        <v>37</v>
      </c>
      <c r="E109" s="326" t="s">
        <v>43</v>
      </c>
      <c r="F109" s="326" t="s">
        <v>44</v>
      </c>
      <c r="G109" s="342" t="s">
        <v>29</v>
      </c>
      <c r="H109" s="326" t="s">
        <v>45</v>
      </c>
      <c r="I109" s="326">
        <v>3</v>
      </c>
      <c r="J109" s="326">
        <f t="shared" si="3"/>
        <v>0.21199999999999999</v>
      </c>
      <c r="K109" s="326">
        <v>1.2292419450000001</v>
      </c>
      <c r="L109" s="326" t="s">
        <v>31</v>
      </c>
      <c r="M109" s="326" t="s">
        <v>31</v>
      </c>
      <c r="N109" s="326" t="s">
        <v>31</v>
      </c>
      <c r="O109" s="326" t="s">
        <v>808</v>
      </c>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5787-D6C8-42CA-BB97-B1EEFD2367E1}">
  <sheetPr>
    <tabColor theme="0"/>
  </sheetPr>
  <dimension ref="A1:S26"/>
  <sheetViews>
    <sheetView zoomScale="85" zoomScaleNormal="85" workbookViewId="0">
      <selection activeCell="A12" sqref="A12"/>
    </sheetView>
  </sheetViews>
  <sheetFormatPr defaultColWidth="9.140625" defaultRowHeight="12.95"/>
  <cols>
    <col min="1" max="1" width="68.42578125" style="188" bestFit="1" customWidth="1"/>
    <col min="2" max="2" width="40.7109375" style="188" bestFit="1" customWidth="1"/>
    <col min="3" max="3" width="5" style="188" bestFit="1" customWidth="1"/>
    <col min="4" max="4" width="14.5703125" style="188" bestFit="1" customWidth="1"/>
    <col min="5" max="5" width="11" style="188" bestFit="1" customWidth="1"/>
    <col min="6" max="6" width="9" style="188" bestFit="1" customWidth="1"/>
    <col min="7" max="7" width="13.42578125" style="188" bestFit="1" customWidth="1"/>
    <col min="8" max="8" width="17.7109375" style="188" bestFit="1" customWidth="1"/>
    <col min="9" max="9" width="10" style="188" customWidth="1"/>
    <col min="10" max="13" width="10.85546875" style="188" bestFit="1" customWidth="1"/>
    <col min="14" max="14" width="9.140625" style="188"/>
    <col min="15" max="15" width="11" style="188" customWidth="1"/>
    <col min="16" max="16384" width="9.140625" style="188"/>
  </cols>
  <sheetData>
    <row r="1" spans="1:19">
      <c r="A1" s="188" t="s">
        <v>0</v>
      </c>
      <c r="B1" s="188">
        <v>13</v>
      </c>
    </row>
    <row r="2" spans="1:19">
      <c r="A2" s="347" t="s">
        <v>5</v>
      </c>
      <c r="B2" s="348" t="s">
        <v>809</v>
      </c>
      <c r="C2" s="349"/>
      <c r="D2" s="330"/>
      <c r="E2" s="330"/>
      <c r="F2" s="330"/>
      <c r="G2" s="330"/>
      <c r="H2" s="330"/>
      <c r="I2" s="330"/>
      <c r="J2" s="330"/>
      <c r="K2" s="330"/>
      <c r="L2" s="330"/>
      <c r="M2" s="330"/>
    </row>
    <row r="3" spans="1:19">
      <c r="A3" s="323" t="s">
        <v>7</v>
      </c>
      <c r="B3" s="188" t="s">
        <v>810</v>
      </c>
      <c r="C3" s="322"/>
    </row>
    <row r="4" spans="1:19">
      <c r="A4" s="323" t="s">
        <v>9</v>
      </c>
      <c r="B4" s="188" t="s">
        <v>811</v>
      </c>
      <c r="C4" s="322"/>
    </row>
    <row r="5" spans="1:19" ht="39">
      <c r="A5" s="323" t="s">
        <v>11</v>
      </c>
      <c r="B5" s="324" t="s">
        <v>812</v>
      </c>
    </row>
    <row r="6" spans="1:19">
      <c r="A6" s="323" t="s">
        <v>13</v>
      </c>
      <c r="B6" s="188" t="s">
        <v>14</v>
      </c>
    </row>
    <row r="7" spans="1:19">
      <c r="A7" s="323" t="s">
        <v>15</v>
      </c>
      <c r="B7" s="188">
        <v>1</v>
      </c>
    </row>
    <row r="8" spans="1:19">
      <c r="A8" s="323" t="s">
        <v>16</v>
      </c>
      <c r="B8" s="188" t="s">
        <v>17</v>
      </c>
    </row>
    <row r="9" spans="1:19">
      <c r="A9" s="323" t="s">
        <v>18</v>
      </c>
      <c r="B9" s="188" t="s">
        <v>18</v>
      </c>
    </row>
    <row r="10" spans="1:19">
      <c r="A10" s="320" t="s">
        <v>19</v>
      </c>
    </row>
    <row r="11" spans="1:19">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row>
    <row r="12" spans="1:19">
      <c r="A12" s="323" t="s">
        <v>809</v>
      </c>
      <c r="B12" s="188">
        <v>1</v>
      </c>
      <c r="C12" s="188" t="s">
        <v>18</v>
      </c>
      <c r="D12" s="188" t="s">
        <v>2</v>
      </c>
      <c r="E12" s="188" t="s">
        <v>29</v>
      </c>
      <c r="F12" s="188" t="s">
        <v>14</v>
      </c>
      <c r="G12" s="188" t="s">
        <v>30</v>
      </c>
      <c r="H12" s="188">
        <v>1</v>
      </c>
      <c r="I12" s="188">
        <v>1</v>
      </c>
      <c r="J12" s="188" t="s">
        <v>31</v>
      </c>
      <c r="K12" s="188" t="s">
        <v>31</v>
      </c>
      <c r="L12" s="188" t="s">
        <v>31</v>
      </c>
      <c r="M12" s="188" t="s">
        <v>31</v>
      </c>
      <c r="O12" s="188" t="s">
        <v>813</v>
      </c>
      <c r="Q12" s="188" t="s">
        <v>814</v>
      </c>
    </row>
    <row r="13" spans="1:19">
      <c r="A13" s="350" t="s">
        <v>815</v>
      </c>
      <c r="B13" s="188">
        <v>2</v>
      </c>
      <c r="C13" s="188" t="s">
        <v>18</v>
      </c>
      <c r="D13" s="188" t="s">
        <v>2</v>
      </c>
      <c r="E13" s="188" t="s">
        <v>29</v>
      </c>
      <c r="F13" s="188" t="s">
        <v>14</v>
      </c>
      <c r="G13" s="188" t="s">
        <v>33</v>
      </c>
      <c r="H13" s="188">
        <v>2</v>
      </c>
      <c r="I13" s="188">
        <f>LN(B13)</f>
        <v>0.69314718055994529</v>
      </c>
      <c r="J13" s="188">
        <v>3.9051247999999997E-2</v>
      </c>
      <c r="K13" s="188" t="s">
        <v>31</v>
      </c>
      <c r="L13" s="188" t="s">
        <v>31</v>
      </c>
      <c r="M13" s="188" t="s">
        <v>31</v>
      </c>
      <c r="N13" s="351" t="s">
        <v>816</v>
      </c>
      <c r="O13" s="188">
        <v>16.55</v>
      </c>
      <c r="P13" s="188" t="s">
        <v>275</v>
      </c>
      <c r="Q13" s="188">
        <v>1236</v>
      </c>
      <c r="R13" s="188" t="s">
        <v>817</v>
      </c>
      <c r="S13" s="188" t="s">
        <v>818</v>
      </c>
    </row>
    <row r="14" spans="1:19">
      <c r="A14" s="352" t="s">
        <v>819</v>
      </c>
      <c r="B14" s="188">
        <v>2</v>
      </c>
      <c r="C14" s="188" t="s">
        <v>18</v>
      </c>
      <c r="D14" s="188" t="s">
        <v>2</v>
      </c>
      <c r="E14" s="188" t="s">
        <v>29</v>
      </c>
      <c r="F14" s="188" t="s">
        <v>14</v>
      </c>
      <c r="G14" s="188" t="s">
        <v>33</v>
      </c>
      <c r="H14" s="188">
        <v>2</v>
      </c>
      <c r="I14" s="188">
        <f>LN(B14)</f>
        <v>0.69314718055994529</v>
      </c>
      <c r="J14" s="188">
        <v>3.9051247999999997E-2</v>
      </c>
      <c r="K14" s="188" t="s">
        <v>31</v>
      </c>
      <c r="L14" s="188" t="s">
        <v>31</v>
      </c>
      <c r="M14" s="188" t="s">
        <v>31</v>
      </c>
      <c r="N14" s="352" t="s">
        <v>820</v>
      </c>
      <c r="O14" s="188">
        <f>4.4</f>
        <v>4.4000000000000004</v>
      </c>
      <c r="P14" s="188" t="s">
        <v>275</v>
      </c>
      <c r="Q14" s="188">
        <v>30</v>
      </c>
      <c r="R14" s="188" t="s">
        <v>817</v>
      </c>
      <c r="S14" s="188" t="s">
        <v>821</v>
      </c>
    </row>
    <row r="15" spans="1:19">
      <c r="A15" s="353" t="s">
        <v>822</v>
      </c>
      <c r="B15" s="188">
        <v>5</v>
      </c>
      <c r="C15" s="188" t="s">
        <v>18</v>
      </c>
      <c r="D15" s="188" t="s">
        <v>2</v>
      </c>
      <c r="E15" s="188" t="s">
        <v>29</v>
      </c>
      <c r="F15" s="188" t="s">
        <v>14</v>
      </c>
      <c r="G15" s="188" t="s">
        <v>33</v>
      </c>
      <c r="H15" s="188">
        <v>2</v>
      </c>
      <c r="I15" s="188">
        <f t="shared" ref="I15:I17" si="0">LN(B15)</f>
        <v>1.6094379124341003</v>
      </c>
      <c r="J15" s="188">
        <v>3.9051247999999997E-2</v>
      </c>
      <c r="K15" s="188" t="s">
        <v>31</v>
      </c>
      <c r="L15" s="188" t="s">
        <v>31</v>
      </c>
      <c r="M15" s="188" t="s">
        <v>31</v>
      </c>
      <c r="N15" s="353" t="s">
        <v>823</v>
      </c>
      <c r="O15" s="188">
        <v>4.4000000000000004</v>
      </c>
      <c r="P15" s="188" t="s">
        <v>275</v>
      </c>
      <c r="Q15" s="188">
        <v>11.2</v>
      </c>
      <c r="R15" s="188" t="s">
        <v>817</v>
      </c>
      <c r="S15" s="188" t="s">
        <v>821</v>
      </c>
    </row>
    <row r="16" spans="1:19">
      <c r="A16" s="354" t="s">
        <v>824</v>
      </c>
      <c r="B16" s="188">
        <v>10</v>
      </c>
      <c r="C16" s="188" t="s">
        <v>18</v>
      </c>
      <c r="D16" s="188" t="s">
        <v>2</v>
      </c>
      <c r="E16" s="188" t="s">
        <v>29</v>
      </c>
      <c r="F16" s="188" t="s">
        <v>14</v>
      </c>
      <c r="G16" s="188" t="s">
        <v>33</v>
      </c>
      <c r="H16" s="188">
        <v>2</v>
      </c>
      <c r="I16" s="188">
        <f t="shared" si="0"/>
        <v>2.3025850929940459</v>
      </c>
      <c r="J16" s="188">
        <v>3.9051247999999997E-2</v>
      </c>
      <c r="K16" s="188" t="s">
        <v>31</v>
      </c>
      <c r="L16" s="188" t="s">
        <v>31</v>
      </c>
      <c r="M16" s="188" t="s">
        <v>31</v>
      </c>
      <c r="N16" s="354" t="s">
        <v>825</v>
      </c>
      <c r="O16" s="188">
        <v>11.6</v>
      </c>
      <c r="P16" s="188" t="s">
        <v>275</v>
      </c>
      <c r="Q16" s="188">
        <v>600</v>
      </c>
      <c r="R16" s="188" t="s">
        <v>817</v>
      </c>
      <c r="S16" s="188" t="s">
        <v>821</v>
      </c>
    </row>
    <row r="17" spans="1:19">
      <c r="A17" s="355" t="s">
        <v>826</v>
      </c>
      <c r="B17" s="188">
        <v>2</v>
      </c>
      <c r="C17" s="188" t="s">
        <v>18</v>
      </c>
      <c r="D17" s="188" t="s">
        <v>2</v>
      </c>
      <c r="E17" s="188" t="s">
        <v>29</v>
      </c>
      <c r="F17" s="188" t="s">
        <v>14</v>
      </c>
      <c r="G17" s="188" t="s">
        <v>33</v>
      </c>
      <c r="H17" s="188">
        <v>2</v>
      </c>
      <c r="I17" s="188">
        <f t="shared" si="0"/>
        <v>0.69314718055994529</v>
      </c>
      <c r="J17" s="188">
        <v>3.9051247999999997E-2</v>
      </c>
      <c r="K17" s="188" t="s">
        <v>31</v>
      </c>
      <c r="L17" s="188" t="s">
        <v>31</v>
      </c>
      <c r="M17" s="188" t="s">
        <v>31</v>
      </c>
      <c r="N17" s="355" t="s">
        <v>827</v>
      </c>
      <c r="O17" s="188">
        <v>36.6</v>
      </c>
      <c r="P17" s="188" t="s">
        <v>275</v>
      </c>
      <c r="Q17" s="188">
        <v>2255</v>
      </c>
      <c r="R17" s="188" t="s">
        <v>828</v>
      </c>
      <c r="S17" s="188" t="s">
        <v>425</v>
      </c>
    </row>
    <row r="21" spans="1:19">
      <c r="A21" s="348"/>
    </row>
    <row r="23" spans="1:19" ht="14.45">
      <c r="A23" s="356"/>
    </row>
    <row r="25" spans="1:19" ht="14.45">
      <c r="A25" s="357"/>
    </row>
    <row r="26" spans="1:19" ht="14.45">
      <c r="A26" s="358"/>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9016-A4AC-48F4-84F7-9D39F1F288B5}">
  <sheetPr>
    <tabColor theme="0"/>
  </sheetPr>
  <dimension ref="A1:Q37"/>
  <sheetViews>
    <sheetView workbookViewId="0">
      <selection activeCell="A12" sqref="A12"/>
    </sheetView>
  </sheetViews>
  <sheetFormatPr defaultColWidth="9.140625" defaultRowHeight="15.6"/>
  <cols>
    <col min="1" max="1" width="43.140625" style="17" bestFit="1" customWidth="1"/>
    <col min="2" max="3" width="9.140625" style="17"/>
    <col min="4" max="4" width="34.42578125" style="17" bestFit="1" customWidth="1"/>
    <col min="5" max="16384" width="9.140625" style="17"/>
  </cols>
  <sheetData>
    <row r="1" spans="1:17">
      <c r="A1" s="188" t="s">
        <v>0</v>
      </c>
      <c r="B1" s="188">
        <v>13</v>
      </c>
      <c r="C1" s="188"/>
      <c r="D1" s="188"/>
      <c r="E1" s="188"/>
      <c r="F1" s="188"/>
      <c r="G1" s="188"/>
      <c r="H1" s="188"/>
      <c r="I1" s="188"/>
      <c r="J1" s="188"/>
      <c r="K1" s="188"/>
      <c r="L1" s="188"/>
      <c r="M1" s="188"/>
      <c r="N1" s="188"/>
    </row>
    <row r="2" spans="1:17">
      <c r="A2" s="347" t="s">
        <v>5</v>
      </c>
      <c r="B2" s="348" t="s">
        <v>829</v>
      </c>
      <c r="C2" s="349"/>
      <c r="D2" s="330"/>
      <c r="E2" s="330"/>
      <c r="F2" s="330"/>
      <c r="G2" s="330"/>
      <c r="H2" s="330"/>
      <c r="I2" s="330"/>
      <c r="J2" s="330"/>
      <c r="K2" s="330"/>
      <c r="L2" s="330"/>
      <c r="M2" s="330"/>
      <c r="N2" s="188"/>
      <c r="Q2" s="17" t="s">
        <v>830</v>
      </c>
    </row>
    <row r="3" spans="1:17">
      <c r="A3" s="323" t="s">
        <v>7</v>
      </c>
      <c r="B3" s="188" t="s">
        <v>831</v>
      </c>
      <c r="C3" s="322"/>
      <c r="D3" s="188"/>
      <c r="E3" s="188"/>
      <c r="F3" s="188"/>
      <c r="G3" s="188"/>
      <c r="H3" s="188"/>
      <c r="I3" s="188"/>
      <c r="J3" s="188"/>
      <c r="K3" s="188"/>
      <c r="L3" s="188"/>
      <c r="M3" s="188"/>
      <c r="N3" s="188"/>
    </row>
    <row r="4" spans="1:17">
      <c r="A4" s="323" t="s">
        <v>9</v>
      </c>
      <c r="B4" s="188" t="s">
        <v>832</v>
      </c>
      <c r="C4" s="322"/>
      <c r="D4" s="188"/>
      <c r="E4" s="188"/>
      <c r="F4" s="188"/>
      <c r="G4" s="188"/>
      <c r="H4" s="188"/>
      <c r="I4" s="188"/>
      <c r="J4" s="188"/>
      <c r="K4" s="188"/>
      <c r="L4" s="188"/>
      <c r="M4" s="188"/>
      <c r="N4" s="188"/>
    </row>
    <row r="5" spans="1:17">
      <c r="A5" s="323" t="s">
        <v>11</v>
      </c>
      <c r="B5" s="324" t="s">
        <v>833</v>
      </c>
      <c r="C5" s="188"/>
      <c r="D5" s="188"/>
      <c r="E5" s="188"/>
      <c r="F5" s="188"/>
      <c r="G5" s="188"/>
      <c r="H5" s="188"/>
      <c r="I5" s="188"/>
      <c r="J5" s="188"/>
      <c r="K5" s="188"/>
      <c r="L5" s="188"/>
      <c r="M5" s="188"/>
      <c r="N5" s="188"/>
    </row>
    <row r="6" spans="1:17">
      <c r="A6" s="323" t="s">
        <v>13</v>
      </c>
      <c r="B6" s="37" t="s">
        <v>74</v>
      </c>
      <c r="C6" s="188"/>
      <c r="D6" s="188"/>
      <c r="E6" s="188"/>
      <c r="F6" s="188"/>
      <c r="G6" s="188"/>
      <c r="H6" s="188"/>
      <c r="I6" s="188"/>
      <c r="J6" s="188"/>
      <c r="K6" s="188"/>
      <c r="L6" s="188"/>
      <c r="M6" s="188"/>
      <c r="N6" s="188"/>
    </row>
    <row r="7" spans="1:17">
      <c r="A7" s="323" t="s">
        <v>15</v>
      </c>
      <c r="B7" s="188">
        <v>1</v>
      </c>
      <c r="C7" s="188"/>
      <c r="D7" s="188"/>
      <c r="E7" s="188"/>
      <c r="F7" s="188"/>
      <c r="G7" s="188"/>
      <c r="H7" s="188"/>
      <c r="I7" s="188"/>
      <c r="J7" s="188"/>
      <c r="K7" s="188"/>
      <c r="L7" s="188"/>
      <c r="M7" s="188"/>
      <c r="N7" s="188"/>
    </row>
    <row r="8" spans="1:17">
      <c r="A8" s="323" t="s">
        <v>16</v>
      </c>
      <c r="B8" s="188" t="s">
        <v>17</v>
      </c>
      <c r="C8" s="188"/>
      <c r="D8" s="188"/>
      <c r="E8" s="188"/>
      <c r="F8" s="188"/>
      <c r="G8" s="188"/>
      <c r="H8" s="188"/>
      <c r="I8" s="188"/>
      <c r="J8" s="188"/>
      <c r="K8" s="188"/>
      <c r="L8" s="188"/>
      <c r="M8" s="188"/>
      <c r="N8" s="188"/>
    </row>
    <row r="9" spans="1:17">
      <c r="A9" s="323" t="s">
        <v>18</v>
      </c>
      <c r="B9" s="188" t="s">
        <v>37</v>
      </c>
      <c r="C9" s="188"/>
      <c r="D9" s="188"/>
      <c r="E9" s="188"/>
      <c r="F9" s="188"/>
      <c r="G9" s="188"/>
      <c r="H9" s="188"/>
      <c r="I9" s="188"/>
      <c r="J9" s="188"/>
      <c r="K9" s="188"/>
      <c r="L9" s="188"/>
      <c r="M9" s="188"/>
      <c r="N9" s="188"/>
    </row>
    <row r="10" spans="1:17">
      <c r="A10" s="320" t="s">
        <v>19</v>
      </c>
      <c r="B10" s="188"/>
      <c r="C10" s="188"/>
      <c r="D10" s="188"/>
      <c r="E10" s="188"/>
      <c r="F10" s="188"/>
      <c r="G10" s="188"/>
      <c r="H10" s="188"/>
      <c r="I10" s="188"/>
      <c r="J10" s="188"/>
      <c r="K10" s="188"/>
      <c r="L10" s="188"/>
      <c r="M10" s="188"/>
      <c r="N10" s="188"/>
    </row>
    <row r="11" spans="1:17">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17">
      <c r="A12" s="188" t="s">
        <v>829</v>
      </c>
      <c r="B12" s="188">
        <v>1</v>
      </c>
      <c r="C12" s="188" t="s">
        <v>37</v>
      </c>
      <c r="D12" s="188" t="s">
        <v>2</v>
      </c>
      <c r="E12" s="188" t="s">
        <v>29</v>
      </c>
      <c r="F12" s="37" t="s">
        <v>74</v>
      </c>
      <c r="G12" s="188" t="s">
        <v>30</v>
      </c>
      <c r="H12" s="188">
        <v>1</v>
      </c>
      <c r="I12" s="188">
        <v>1</v>
      </c>
      <c r="J12" s="188" t="s">
        <v>31</v>
      </c>
      <c r="K12" s="188" t="s">
        <v>31</v>
      </c>
      <c r="L12" s="188" t="s">
        <v>31</v>
      </c>
      <c r="M12" s="188" t="s">
        <v>31</v>
      </c>
      <c r="N12" s="188"/>
    </row>
    <row r="13" spans="1:17">
      <c r="A13" s="323" t="s">
        <v>834</v>
      </c>
      <c r="B13" s="188">
        <v>-1</v>
      </c>
      <c r="C13" s="188" t="s">
        <v>37</v>
      </c>
      <c r="D13" s="188" t="s">
        <v>40</v>
      </c>
      <c r="E13" s="188" t="s">
        <v>29</v>
      </c>
      <c r="F13" s="37" t="s">
        <v>74</v>
      </c>
      <c r="G13" s="188" t="s">
        <v>33</v>
      </c>
      <c r="H13" s="188">
        <v>1</v>
      </c>
      <c r="I13" s="188">
        <v>1</v>
      </c>
      <c r="J13" s="188" t="s">
        <v>31</v>
      </c>
      <c r="K13" s="188" t="s">
        <v>31</v>
      </c>
      <c r="L13" s="188" t="s">
        <v>31</v>
      </c>
      <c r="M13" s="188" t="s">
        <v>31</v>
      </c>
      <c r="N13" s="188"/>
    </row>
    <row r="14" spans="1:17">
      <c r="A14" s="347" t="s">
        <v>5</v>
      </c>
      <c r="B14" s="348" t="s">
        <v>835</v>
      </c>
      <c r="C14" s="349"/>
      <c r="D14" s="330"/>
      <c r="E14" s="330"/>
      <c r="F14" s="330"/>
      <c r="G14" s="330"/>
      <c r="H14" s="330"/>
      <c r="I14" s="330"/>
      <c r="J14" s="330"/>
      <c r="K14" s="330"/>
      <c r="L14" s="330"/>
      <c r="M14" s="330"/>
      <c r="N14" s="188"/>
    </row>
    <row r="15" spans="1:17">
      <c r="A15" s="323" t="s">
        <v>7</v>
      </c>
      <c r="B15" s="188" t="s">
        <v>831</v>
      </c>
      <c r="C15" s="322"/>
      <c r="D15" s="188"/>
      <c r="E15" s="188"/>
      <c r="F15" s="188"/>
      <c r="G15" s="188"/>
      <c r="H15" s="188"/>
      <c r="I15" s="188"/>
      <c r="J15" s="188"/>
      <c r="K15" s="188"/>
      <c r="L15" s="188"/>
      <c r="M15" s="188"/>
      <c r="N15" s="188"/>
    </row>
    <row r="16" spans="1:17">
      <c r="A16" s="323" t="s">
        <v>9</v>
      </c>
      <c r="B16" s="359" t="s">
        <v>836</v>
      </c>
      <c r="C16" s="322"/>
      <c r="D16" s="188"/>
      <c r="E16" s="188"/>
      <c r="F16" s="188"/>
      <c r="G16" s="188"/>
      <c r="H16" s="188"/>
      <c r="I16" s="188"/>
      <c r="J16" s="188"/>
      <c r="K16" s="188"/>
      <c r="L16" s="188"/>
      <c r="M16" s="188"/>
      <c r="N16" s="188"/>
    </row>
    <row r="17" spans="1:14">
      <c r="A17" s="323" t="s">
        <v>11</v>
      </c>
      <c r="B17" s="324" t="s">
        <v>833</v>
      </c>
      <c r="C17" s="188"/>
      <c r="D17" s="188"/>
      <c r="E17" s="188"/>
      <c r="F17" s="188"/>
      <c r="G17" s="188"/>
      <c r="H17" s="188"/>
      <c r="I17" s="188"/>
      <c r="J17" s="188"/>
      <c r="K17" s="188"/>
      <c r="L17" s="188"/>
      <c r="M17" s="188"/>
      <c r="N17" s="188"/>
    </row>
    <row r="18" spans="1:14">
      <c r="A18" s="323" t="s">
        <v>13</v>
      </c>
      <c r="B18" s="37" t="s">
        <v>74</v>
      </c>
      <c r="C18" s="188"/>
      <c r="D18" s="188"/>
      <c r="E18" s="188"/>
      <c r="F18" s="188"/>
      <c r="G18" s="188"/>
      <c r="H18" s="188"/>
      <c r="I18" s="188"/>
      <c r="J18" s="188"/>
      <c r="K18" s="188"/>
      <c r="L18" s="188"/>
      <c r="M18" s="188"/>
      <c r="N18" s="188"/>
    </row>
    <row r="19" spans="1:14">
      <c r="A19" s="323" t="s">
        <v>15</v>
      </c>
      <c r="B19" s="188">
        <v>1</v>
      </c>
      <c r="C19" s="188"/>
      <c r="D19" s="188"/>
      <c r="E19" s="188"/>
      <c r="F19" s="188"/>
      <c r="G19" s="188"/>
      <c r="H19" s="188"/>
      <c r="I19" s="188"/>
      <c r="J19" s="188"/>
      <c r="K19" s="188"/>
      <c r="L19" s="188"/>
      <c r="M19" s="188"/>
      <c r="N19" s="188"/>
    </row>
    <row r="20" spans="1:14">
      <c r="A20" s="323" t="s">
        <v>16</v>
      </c>
      <c r="B20" s="188" t="s">
        <v>17</v>
      </c>
      <c r="C20" s="188"/>
      <c r="D20" s="188"/>
      <c r="E20" s="188"/>
      <c r="F20" s="188"/>
      <c r="G20" s="188"/>
      <c r="H20" s="188"/>
      <c r="I20" s="188"/>
      <c r="J20" s="188"/>
      <c r="K20" s="188"/>
      <c r="L20" s="188"/>
      <c r="M20" s="188"/>
      <c r="N20" s="188"/>
    </row>
    <row r="21" spans="1:14">
      <c r="A21" s="323" t="s">
        <v>18</v>
      </c>
      <c r="B21" s="188" t="s">
        <v>37</v>
      </c>
      <c r="C21" s="188"/>
      <c r="D21" s="188"/>
      <c r="E21" s="188"/>
      <c r="F21" s="188"/>
      <c r="G21" s="188"/>
      <c r="H21" s="188"/>
      <c r="I21" s="188"/>
      <c r="J21" s="188"/>
      <c r="K21" s="188"/>
      <c r="L21" s="188"/>
      <c r="M21" s="188"/>
      <c r="N21" s="188"/>
    </row>
    <row r="22" spans="1:14">
      <c r="A22" s="320" t="s">
        <v>19</v>
      </c>
      <c r="B22" s="188"/>
      <c r="C22" s="188"/>
      <c r="D22" s="188"/>
      <c r="E22" s="188"/>
      <c r="F22" s="188"/>
      <c r="G22" s="188"/>
      <c r="H22" s="188"/>
      <c r="I22" s="188"/>
      <c r="J22" s="188"/>
      <c r="K22" s="188"/>
      <c r="L22" s="188"/>
      <c r="M22" s="188"/>
      <c r="N22" s="188"/>
    </row>
    <row r="23" spans="1:14">
      <c r="A23" s="320" t="s">
        <v>20</v>
      </c>
      <c r="B23" s="321" t="s">
        <v>21</v>
      </c>
      <c r="C23" s="321" t="s">
        <v>18</v>
      </c>
      <c r="D23" s="321" t="s">
        <v>22</v>
      </c>
      <c r="E23" s="321" t="s">
        <v>7</v>
      </c>
      <c r="F23" s="321" t="s">
        <v>13</v>
      </c>
      <c r="G23" s="321" t="s">
        <v>16</v>
      </c>
      <c r="H23" s="321" t="s">
        <v>23</v>
      </c>
      <c r="I23" s="321" t="s">
        <v>24</v>
      </c>
      <c r="J23" s="321" t="s">
        <v>25</v>
      </c>
      <c r="K23" s="321" t="s">
        <v>26</v>
      </c>
      <c r="L23" s="321" t="s">
        <v>27</v>
      </c>
      <c r="M23" s="321" t="s">
        <v>28</v>
      </c>
      <c r="N23" s="321" t="s">
        <v>11</v>
      </c>
    </row>
    <row r="24" spans="1:14">
      <c r="A24" s="188" t="s">
        <v>835</v>
      </c>
      <c r="B24" s="188">
        <v>1</v>
      </c>
      <c r="C24" s="188" t="s">
        <v>37</v>
      </c>
      <c r="D24" s="188" t="s">
        <v>2</v>
      </c>
      <c r="E24" s="188" t="s">
        <v>29</v>
      </c>
      <c r="F24" s="37" t="s">
        <v>74</v>
      </c>
      <c r="G24" s="188" t="s">
        <v>30</v>
      </c>
      <c r="H24" s="188">
        <v>1</v>
      </c>
      <c r="I24" s="188">
        <v>1</v>
      </c>
      <c r="J24" s="188" t="s">
        <v>31</v>
      </c>
      <c r="K24" s="188" t="s">
        <v>31</v>
      </c>
      <c r="L24" s="188" t="s">
        <v>31</v>
      </c>
      <c r="M24" s="188" t="s">
        <v>31</v>
      </c>
      <c r="N24" s="188"/>
    </row>
    <row r="25" spans="1:14">
      <c r="A25" s="323" t="s">
        <v>223</v>
      </c>
      <c r="B25" s="188">
        <v>-1</v>
      </c>
      <c r="C25" s="188" t="s">
        <v>37</v>
      </c>
      <c r="D25" s="188" t="s">
        <v>40</v>
      </c>
      <c r="E25" s="188" t="s">
        <v>29</v>
      </c>
      <c r="F25" s="188" t="s">
        <v>74</v>
      </c>
      <c r="G25" s="188" t="s">
        <v>33</v>
      </c>
      <c r="H25" s="188">
        <v>1</v>
      </c>
      <c r="I25" s="188">
        <v>1</v>
      </c>
      <c r="J25" s="188" t="s">
        <v>31</v>
      </c>
      <c r="K25" s="188" t="s">
        <v>31</v>
      </c>
      <c r="L25" s="188" t="s">
        <v>31</v>
      </c>
      <c r="M25" s="188" t="s">
        <v>31</v>
      </c>
      <c r="N25" s="188"/>
    </row>
    <row r="26" spans="1:14">
      <c r="A26" s="347" t="s">
        <v>5</v>
      </c>
      <c r="B26" s="348" t="s">
        <v>787</v>
      </c>
      <c r="C26" s="349"/>
      <c r="D26" s="330"/>
      <c r="E26" s="330"/>
      <c r="F26" s="330"/>
      <c r="G26" s="330"/>
      <c r="H26" s="330"/>
      <c r="I26" s="330"/>
      <c r="J26" s="330"/>
      <c r="K26" s="330"/>
      <c r="L26" s="330"/>
      <c r="M26" s="330"/>
      <c r="N26" s="188"/>
    </row>
    <row r="27" spans="1:14">
      <c r="A27" s="323" t="s">
        <v>7</v>
      </c>
      <c r="B27" s="188" t="s">
        <v>831</v>
      </c>
      <c r="C27" s="322"/>
      <c r="D27" s="188"/>
      <c r="E27" s="188"/>
      <c r="F27" s="188"/>
      <c r="G27" s="188"/>
      <c r="H27" s="188"/>
      <c r="I27" s="188"/>
      <c r="J27" s="188"/>
      <c r="K27" s="188"/>
      <c r="L27" s="188"/>
      <c r="M27" s="188"/>
      <c r="N27" s="188"/>
    </row>
    <row r="28" spans="1:14">
      <c r="A28" s="323" t="s">
        <v>9</v>
      </c>
      <c r="B28" s="359" t="s">
        <v>837</v>
      </c>
      <c r="C28" s="322"/>
      <c r="D28" s="188"/>
      <c r="E28" s="188"/>
      <c r="F28" s="188"/>
      <c r="G28" s="188"/>
      <c r="H28" s="188"/>
      <c r="I28" s="188"/>
      <c r="J28" s="188"/>
      <c r="K28" s="188"/>
      <c r="L28" s="188"/>
      <c r="M28" s="188"/>
      <c r="N28" s="188"/>
    </row>
    <row r="29" spans="1:14">
      <c r="A29" s="323" t="s">
        <v>11</v>
      </c>
      <c r="B29" s="324" t="s">
        <v>833</v>
      </c>
      <c r="C29" s="188"/>
      <c r="D29" s="188"/>
      <c r="E29" s="188"/>
      <c r="F29" s="188"/>
      <c r="G29" s="188"/>
      <c r="H29" s="188"/>
      <c r="I29" s="188"/>
      <c r="J29" s="188"/>
      <c r="K29" s="188"/>
      <c r="L29" s="188"/>
      <c r="M29" s="188"/>
      <c r="N29" s="188"/>
    </row>
    <row r="30" spans="1:14">
      <c r="A30" s="323" t="s">
        <v>13</v>
      </c>
      <c r="B30" s="37" t="s">
        <v>74</v>
      </c>
      <c r="C30" s="188"/>
      <c r="D30" s="188"/>
      <c r="E30" s="188"/>
      <c r="F30" s="188"/>
      <c r="G30" s="188"/>
      <c r="H30" s="188"/>
      <c r="I30" s="188"/>
      <c r="J30" s="188"/>
      <c r="K30" s="188"/>
      <c r="L30" s="188"/>
      <c r="M30" s="188"/>
      <c r="N30" s="188"/>
    </row>
    <row r="31" spans="1:14">
      <c r="A31" s="323" t="s">
        <v>15</v>
      </c>
      <c r="B31" s="188">
        <v>1</v>
      </c>
      <c r="C31" s="188"/>
      <c r="D31" s="188"/>
      <c r="E31" s="188"/>
      <c r="F31" s="188"/>
      <c r="G31" s="188"/>
      <c r="H31" s="188"/>
      <c r="I31" s="188"/>
      <c r="J31" s="188"/>
      <c r="K31" s="188"/>
      <c r="L31" s="188"/>
      <c r="M31" s="188"/>
      <c r="N31" s="188"/>
    </row>
    <row r="32" spans="1:14">
      <c r="A32" s="323" t="s">
        <v>16</v>
      </c>
      <c r="B32" s="188" t="s">
        <v>17</v>
      </c>
      <c r="C32" s="188"/>
      <c r="D32" s="188"/>
      <c r="E32" s="188"/>
      <c r="F32" s="188"/>
      <c r="G32" s="188"/>
      <c r="H32" s="188"/>
      <c r="I32" s="188"/>
      <c r="J32" s="188"/>
      <c r="K32" s="188"/>
      <c r="L32" s="188"/>
      <c r="M32" s="188"/>
      <c r="N32" s="188"/>
    </row>
    <row r="33" spans="1:14">
      <c r="A33" s="323" t="s">
        <v>18</v>
      </c>
      <c r="B33" s="188" t="s">
        <v>37</v>
      </c>
      <c r="C33" s="188"/>
      <c r="D33" s="188"/>
      <c r="E33" s="188"/>
      <c r="F33" s="188"/>
      <c r="G33" s="188"/>
      <c r="H33" s="188"/>
      <c r="I33" s="188"/>
      <c r="J33" s="188"/>
      <c r="K33" s="188"/>
      <c r="L33" s="188"/>
      <c r="M33" s="188"/>
      <c r="N33" s="188"/>
    </row>
    <row r="34" spans="1:14">
      <c r="A34" s="320" t="s">
        <v>19</v>
      </c>
      <c r="B34" s="188"/>
      <c r="C34" s="188"/>
      <c r="D34" s="188"/>
      <c r="E34" s="188"/>
      <c r="F34" s="188"/>
      <c r="G34" s="188"/>
      <c r="H34" s="188"/>
      <c r="I34" s="188"/>
      <c r="J34" s="188"/>
      <c r="K34" s="188"/>
      <c r="L34" s="188"/>
      <c r="M34" s="188"/>
      <c r="N34" s="188"/>
    </row>
    <row r="35" spans="1:14">
      <c r="A35" s="320" t="s">
        <v>20</v>
      </c>
      <c r="B35" s="321" t="s">
        <v>21</v>
      </c>
      <c r="C35" s="321" t="s">
        <v>18</v>
      </c>
      <c r="D35" s="321" t="s">
        <v>22</v>
      </c>
      <c r="E35" s="321" t="s">
        <v>7</v>
      </c>
      <c r="F35" s="321" t="s">
        <v>13</v>
      </c>
      <c r="G35" s="321" t="s">
        <v>16</v>
      </c>
      <c r="H35" s="321" t="s">
        <v>23</v>
      </c>
      <c r="I35" s="321" t="s">
        <v>24</v>
      </c>
      <c r="J35" s="321" t="s">
        <v>25</v>
      </c>
      <c r="K35" s="321" t="s">
        <v>26</v>
      </c>
      <c r="L35" s="321" t="s">
        <v>27</v>
      </c>
      <c r="M35" s="321" t="s">
        <v>28</v>
      </c>
      <c r="N35" s="321" t="s">
        <v>11</v>
      </c>
    </row>
    <row r="36" spans="1:14">
      <c r="A36" s="188" t="s">
        <v>787</v>
      </c>
      <c r="B36" s="188">
        <v>1</v>
      </c>
      <c r="C36" s="188" t="s">
        <v>37</v>
      </c>
      <c r="D36" s="188" t="s">
        <v>2</v>
      </c>
      <c r="E36" s="188" t="s">
        <v>29</v>
      </c>
      <c r="F36" s="37" t="s">
        <v>74</v>
      </c>
      <c r="G36" s="188" t="s">
        <v>30</v>
      </c>
      <c r="H36" s="188">
        <v>1</v>
      </c>
      <c r="I36" s="188">
        <v>1</v>
      </c>
      <c r="J36" s="188" t="s">
        <v>31</v>
      </c>
      <c r="K36" s="188" t="s">
        <v>31</v>
      </c>
      <c r="L36" s="188" t="s">
        <v>31</v>
      </c>
      <c r="M36" s="188" t="s">
        <v>31</v>
      </c>
      <c r="N36" s="188"/>
    </row>
    <row r="37" spans="1:14">
      <c r="A37" s="37" t="s">
        <v>838</v>
      </c>
      <c r="B37" s="188">
        <v>-1</v>
      </c>
      <c r="C37" s="188" t="s">
        <v>37</v>
      </c>
      <c r="D37" s="188" t="s">
        <v>40</v>
      </c>
      <c r="E37" s="188" t="s">
        <v>29</v>
      </c>
      <c r="F37" s="37" t="s">
        <v>82</v>
      </c>
      <c r="G37" s="188" t="s">
        <v>33</v>
      </c>
      <c r="H37" s="188">
        <v>1</v>
      </c>
      <c r="I37" s="188">
        <v>1</v>
      </c>
      <c r="J37" s="188" t="s">
        <v>31</v>
      </c>
      <c r="K37" s="188" t="s">
        <v>31</v>
      </c>
      <c r="L37" s="188" t="s">
        <v>31</v>
      </c>
      <c r="M37" s="188" t="s">
        <v>31</v>
      </c>
      <c r="N37" s="188"/>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B073-EC1E-40D6-8616-F06780A4B087}">
  <sheetPr>
    <tabColor theme="0"/>
  </sheetPr>
  <dimension ref="A1:T52"/>
  <sheetViews>
    <sheetView workbookViewId="0">
      <selection activeCell="A12" sqref="A12"/>
    </sheetView>
  </sheetViews>
  <sheetFormatPr defaultColWidth="9.140625" defaultRowHeight="12.95"/>
  <cols>
    <col min="1" max="1" width="67.140625" style="188" customWidth="1"/>
    <col min="2" max="3" width="9.140625" style="188" customWidth="1"/>
    <col min="4" max="4" width="13.28515625" style="188" customWidth="1"/>
    <col min="5" max="5" width="39.5703125" style="188" customWidth="1"/>
    <col min="6" max="6" width="12.28515625" style="188" customWidth="1"/>
    <col min="7" max="7" width="27.85546875" style="188" customWidth="1"/>
    <col min="8" max="8" width="13.7109375" style="188" customWidth="1"/>
    <col min="9" max="18" width="9.140625" style="188"/>
    <col min="19" max="20" width="5.7109375" style="188" customWidth="1"/>
    <col min="21" max="16384" width="9.140625" style="188"/>
  </cols>
  <sheetData>
    <row r="1" spans="1:16">
      <c r="A1" s="188" t="s">
        <v>0</v>
      </c>
      <c r="B1" s="188">
        <v>14</v>
      </c>
    </row>
    <row r="2" spans="1:16">
      <c r="A2" s="347" t="s">
        <v>5</v>
      </c>
      <c r="B2" s="348" t="s">
        <v>839</v>
      </c>
      <c r="C2" s="348"/>
      <c r="D2" s="349"/>
      <c r="E2" s="330"/>
      <c r="F2" s="330"/>
      <c r="G2" s="330"/>
      <c r="H2" s="330"/>
      <c r="I2" s="330"/>
      <c r="J2" s="330"/>
      <c r="K2" s="330"/>
      <c r="L2" s="330"/>
      <c r="M2" s="330"/>
      <c r="N2" s="330"/>
      <c r="P2" s="188" t="s">
        <v>830</v>
      </c>
    </row>
    <row r="3" spans="1:16">
      <c r="A3" s="323" t="s">
        <v>7</v>
      </c>
      <c r="B3" s="188" t="s">
        <v>831</v>
      </c>
      <c r="D3" s="322"/>
    </row>
    <row r="4" spans="1:16">
      <c r="A4" s="323" t="s">
        <v>9</v>
      </c>
      <c r="B4" s="188" t="s">
        <v>840</v>
      </c>
      <c r="D4" s="322"/>
    </row>
    <row r="5" spans="1:16" ht="15" customHeight="1">
      <c r="A5" s="323" t="s">
        <v>11</v>
      </c>
      <c r="B5" s="324" t="s">
        <v>841</v>
      </c>
      <c r="C5" s="324"/>
    </row>
    <row r="6" spans="1:16">
      <c r="A6" s="323" t="s">
        <v>13</v>
      </c>
      <c r="B6" s="188" t="s">
        <v>14</v>
      </c>
    </row>
    <row r="7" spans="1:16">
      <c r="A7" s="323" t="s">
        <v>15</v>
      </c>
      <c r="B7" s="188">
        <v>7.7843999999999997E-2</v>
      </c>
    </row>
    <row r="8" spans="1:16">
      <c r="A8" s="323" t="s">
        <v>16</v>
      </c>
      <c r="B8" s="188" t="s">
        <v>17</v>
      </c>
    </row>
    <row r="9" spans="1:16">
      <c r="A9" s="323" t="s">
        <v>18</v>
      </c>
      <c r="B9" s="188" t="s">
        <v>37</v>
      </c>
    </row>
    <row r="10" spans="1:16">
      <c r="A10" s="320" t="s">
        <v>19</v>
      </c>
    </row>
    <row r="11" spans="1:16">
      <c r="A11" s="320"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16">
      <c r="A12" s="323" t="s">
        <v>839</v>
      </c>
      <c r="B12" s="188">
        <v>7.7843999999999997E-2</v>
      </c>
      <c r="D12" s="188" t="s">
        <v>37</v>
      </c>
      <c r="E12" s="188" t="s">
        <v>2</v>
      </c>
      <c r="F12" s="188" t="s">
        <v>29</v>
      </c>
      <c r="G12" s="37" t="s">
        <v>14</v>
      </c>
      <c r="H12" s="188" t="s">
        <v>30</v>
      </c>
      <c r="I12" s="188">
        <v>1</v>
      </c>
      <c r="J12" s="188">
        <f>B12</f>
        <v>7.7843999999999997E-2</v>
      </c>
      <c r="K12" s="188" t="s">
        <v>31</v>
      </c>
      <c r="L12" s="188" t="s">
        <v>31</v>
      </c>
      <c r="M12" s="188" t="s">
        <v>31</v>
      </c>
      <c r="N12" s="188" t="s">
        <v>31</v>
      </c>
    </row>
    <row r="13" spans="1:16">
      <c r="A13" s="323" t="s">
        <v>842</v>
      </c>
      <c r="B13" s="188">
        <v>1</v>
      </c>
      <c r="D13" s="188" t="s">
        <v>18</v>
      </c>
      <c r="E13" s="188" t="s">
        <v>2</v>
      </c>
      <c r="F13" s="188" t="s">
        <v>29</v>
      </c>
      <c r="G13" s="37" t="s">
        <v>14</v>
      </c>
      <c r="H13" s="188" t="s">
        <v>33</v>
      </c>
      <c r="I13" s="188">
        <v>1</v>
      </c>
      <c r="J13" s="188">
        <f>B13</f>
        <v>1</v>
      </c>
      <c r="K13" s="188" t="s">
        <v>31</v>
      </c>
      <c r="L13" s="188" t="s">
        <v>31</v>
      </c>
      <c r="M13" s="188" t="s">
        <v>31</v>
      </c>
      <c r="N13" s="188" t="s">
        <v>31</v>
      </c>
    </row>
    <row r="14" spans="1:16">
      <c r="A14" s="323" t="s">
        <v>265</v>
      </c>
      <c r="B14" s="188">
        <v>1.02</v>
      </c>
      <c r="D14" s="188" t="s">
        <v>39</v>
      </c>
      <c r="E14" s="188" t="s">
        <v>40</v>
      </c>
      <c r="F14" s="188" t="s">
        <v>29</v>
      </c>
      <c r="G14" s="37" t="s">
        <v>14</v>
      </c>
      <c r="H14" s="188" t="s">
        <v>33</v>
      </c>
      <c r="I14" s="188">
        <v>2</v>
      </c>
      <c r="J14" s="188">
        <f>LN(B14)</f>
        <v>1.980262729617973E-2</v>
      </c>
      <c r="K14" s="188">
        <v>3.7749171999999998E-2</v>
      </c>
      <c r="L14" s="188" t="s">
        <v>31</v>
      </c>
      <c r="M14" s="188" t="s">
        <v>31</v>
      </c>
      <c r="N14" s="188" t="s">
        <v>31</v>
      </c>
    </row>
    <row r="15" spans="1:16">
      <c r="A15" s="323" t="s">
        <v>843</v>
      </c>
      <c r="B15" s="188">
        <f>1.4/1000</f>
        <v>1.4E-3</v>
      </c>
      <c r="D15" s="188" t="s">
        <v>37</v>
      </c>
      <c r="E15" s="188" t="s">
        <v>40</v>
      </c>
      <c r="F15" s="188" t="s">
        <v>29</v>
      </c>
      <c r="G15" s="37" t="s">
        <v>35</v>
      </c>
      <c r="H15" s="188" t="s">
        <v>33</v>
      </c>
      <c r="I15" s="188">
        <v>2</v>
      </c>
      <c r="J15" s="188">
        <f t="shared" ref="J15:J27" si="0">LN(B15)</f>
        <v>-6.5712830423609239</v>
      </c>
      <c r="K15" s="188">
        <v>3.7749171999999998E-2</v>
      </c>
      <c r="L15" s="188" t="s">
        <v>31</v>
      </c>
      <c r="M15" s="188" t="s">
        <v>31</v>
      </c>
      <c r="N15" s="188" t="s">
        <v>31</v>
      </c>
    </row>
    <row r="16" spans="1:16">
      <c r="A16" s="323" t="s">
        <v>489</v>
      </c>
      <c r="B16" s="188">
        <f>0.2/1000</f>
        <v>2.0000000000000001E-4</v>
      </c>
      <c r="D16" s="188" t="s">
        <v>37</v>
      </c>
      <c r="E16" s="188" t="s">
        <v>40</v>
      </c>
      <c r="F16" s="188" t="s">
        <v>29</v>
      </c>
      <c r="G16" s="37" t="s">
        <v>59</v>
      </c>
      <c r="H16" s="188" t="s">
        <v>33</v>
      </c>
      <c r="I16" s="188">
        <v>2</v>
      </c>
      <c r="J16" s="188">
        <f t="shared" si="0"/>
        <v>-8.5171931914162382</v>
      </c>
      <c r="K16" s="188">
        <v>3.7749171999999998E-2</v>
      </c>
      <c r="L16" s="188" t="s">
        <v>31</v>
      </c>
      <c r="M16" s="188" t="s">
        <v>31</v>
      </c>
      <c r="N16" s="188" t="s">
        <v>31</v>
      </c>
    </row>
    <row r="17" spans="1:14">
      <c r="A17" s="323" t="s">
        <v>844</v>
      </c>
      <c r="B17" s="188">
        <f>7.1/1000</f>
        <v>7.0999999999999995E-3</v>
      </c>
      <c r="D17" s="188" t="s">
        <v>37</v>
      </c>
      <c r="E17" s="188" t="s">
        <v>40</v>
      </c>
      <c r="F17" s="188" t="s">
        <v>29</v>
      </c>
      <c r="G17" s="37" t="s">
        <v>74</v>
      </c>
      <c r="H17" s="188" t="s">
        <v>33</v>
      </c>
      <c r="I17" s="188">
        <v>2</v>
      </c>
      <c r="J17" s="188">
        <f t="shared" si="0"/>
        <v>-4.9476604949348673</v>
      </c>
      <c r="K17" s="188">
        <v>3.7749171999999998E-2</v>
      </c>
      <c r="L17" s="188" t="s">
        <v>31</v>
      </c>
      <c r="M17" s="188" t="s">
        <v>31</v>
      </c>
      <c r="N17" s="188" t="s">
        <v>31</v>
      </c>
    </row>
    <row r="18" spans="1:14">
      <c r="A18" s="323" t="s">
        <v>845</v>
      </c>
      <c r="B18" s="188">
        <v>1.4</v>
      </c>
      <c r="D18" s="188" t="s">
        <v>37</v>
      </c>
      <c r="E18" s="188" t="s">
        <v>40</v>
      </c>
      <c r="F18" s="188" t="s">
        <v>29</v>
      </c>
      <c r="G18" s="37" t="s">
        <v>35</v>
      </c>
      <c r="H18" s="188" t="s">
        <v>33</v>
      </c>
      <c r="I18" s="188">
        <v>2</v>
      </c>
      <c r="J18" s="188">
        <f t="shared" si="0"/>
        <v>0.33647223662121289</v>
      </c>
      <c r="K18" s="188">
        <v>3.7749171999999998E-2</v>
      </c>
      <c r="L18" s="188" t="s">
        <v>31</v>
      </c>
      <c r="M18" s="188" t="s">
        <v>31</v>
      </c>
      <c r="N18" s="188" t="s">
        <v>31</v>
      </c>
    </row>
    <row r="19" spans="1:14">
      <c r="A19" s="323" t="s">
        <v>846</v>
      </c>
      <c r="B19" s="188">
        <v>2E-3</v>
      </c>
      <c r="D19" s="188" t="s">
        <v>37</v>
      </c>
      <c r="E19" s="188" t="s">
        <v>40</v>
      </c>
      <c r="F19" s="188" t="s">
        <v>29</v>
      </c>
      <c r="G19" s="37" t="s">
        <v>59</v>
      </c>
      <c r="H19" s="188" t="s">
        <v>33</v>
      </c>
      <c r="I19" s="188">
        <v>2</v>
      </c>
      <c r="J19" s="188">
        <f t="shared" si="0"/>
        <v>-6.2146080984221914</v>
      </c>
      <c r="K19" s="188">
        <v>3.7749171999999998E-2</v>
      </c>
      <c r="L19" s="188" t="s">
        <v>31</v>
      </c>
      <c r="M19" s="188" t="s">
        <v>31</v>
      </c>
      <c r="N19" s="188" t="s">
        <v>31</v>
      </c>
    </row>
    <row r="20" spans="1:14">
      <c r="A20" s="323" t="s">
        <v>847</v>
      </c>
      <c r="B20" s="188">
        <v>3.0000000000000001E-3</v>
      </c>
      <c r="D20" s="188" t="s">
        <v>37</v>
      </c>
      <c r="E20" s="188" t="s">
        <v>40</v>
      </c>
      <c r="F20" s="188" t="s">
        <v>29</v>
      </c>
      <c r="G20" s="37" t="s">
        <v>59</v>
      </c>
      <c r="H20" s="188" t="s">
        <v>33</v>
      </c>
      <c r="I20" s="188">
        <v>2</v>
      </c>
      <c r="J20" s="188">
        <f t="shared" si="0"/>
        <v>-5.8091429903140277</v>
      </c>
      <c r="K20" s="188">
        <v>3.7749171999999998E-2</v>
      </c>
      <c r="L20" s="188" t="s">
        <v>31</v>
      </c>
      <c r="M20" s="188" t="s">
        <v>31</v>
      </c>
      <c r="N20" s="188" t="s">
        <v>31</v>
      </c>
    </row>
    <row r="21" spans="1:14">
      <c r="A21" s="323" t="s">
        <v>848</v>
      </c>
      <c r="B21" s="188">
        <v>2.9999999999999997E-4</v>
      </c>
      <c r="D21" s="188" t="s">
        <v>37</v>
      </c>
      <c r="E21" s="188" t="s">
        <v>40</v>
      </c>
      <c r="F21" s="188" t="s">
        <v>29</v>
      </c>
      <c r="G21" s="37" t="s">
        <v>35</v>
      </c>
      <c r="H21" s="188" t="s">
        <v>33</v>
      </c>
      <c r="I21" s="188">
        <v>2</v>
      </c>
      <c r="J21" s="188">
        <f t="shared" si="0"/>
        <v>-8.1117280833080727</v>
      </c>
      <c r="K21" s="188">
        <v>3.7749171999999998E-2</v>
      </c>
      <c r="L21" s="188" t="s">
        <v>31</v>
      </c>
      <c r="M21" s="188" t="s">
        <v>31</v>
      </c>
      <c r="N21" s="188" t="s">
        <v>31</v>
      </c>
    </row>
    <row r="22" spans="1:14">
      <c r="A22" s="323" t="s">
        <v>849</v>
      </c>
      <c r="B22" s="188">
        <v>1.5E-3</v>
      </c>
      <c r="D22" s="188" t="s">
        <v>37</v>
      </c>
      <c r="E22" s="188" t="s">
        <v>40</v>
      </c>
      <c r="F22" s="188" t="s">
        <v>29</v>
      </c>
      <c r="G22" s="37" t="s">
        <v>59</v>
      </c>
      <c r="H22" s="188" t="s">
        <v>33</v>
      </c>
      <c r="I22" s="188">
        <v>2</v>
      </c>
      <c r="J22" s="188">
        <f t="shared" si="0"/>
        <v>-6.5022901708739722</v>
      </c>
      <c r="K22" s="188">
        <v>3.7749171999999998E-2</v>
      </c>
      <c r="L22" s="188" t="s">
        <v>31</v>
      </c>
      <c r="M22" s="188" t="s">
        <v>31</v>
      </c>
      <c r="N22" s="188" t="s">
        <v>31</v>
      </c>
    </row>
    <row r="23" spans="1:14">
      <c r="A23" s="323" t="s">
        <v>850</v>
      </c>
      <c r="B23" s="188">
        <v>5.0000000000000001E-4</v>
      </c>
      <c r="D23" s="188" t="s">
        <v>37</v>
      </c>
      <c r="E23" s="188" t="s">
        <v>40</v>
      </c>
      <c r="F23" s="188" t="s">
        <v>29</v>
      </c>
      <c r="G23" s="37" t="s">
        <v>35</v>
      </c>
      <c r="H23" s="188" t="s">
        <v>33</v>
      </c>
      <c r="I23" s="188">
        <v>2</v>
      </c>
      <c r="J23" s="188">
        <f t="shared" si="0"/>
        <v>-7.6009024595420822</v>
      </c>
      <c r="K23" s="188">
        <v>3.7749171999999998E-2</v>
      </c>
      <c r="L23" s="188" t="s">
        <v>31</v>
      </c>
      <c r="M23" s="188" t="s">
        <v>31</v>
      </c>
      <c r="N23" s="188" t="s">
        <v>31</v>
      </c>
    </row>
    <row r="24" spans="1:14">
      <c r="A24" s="323" t="s">
        <v>502</v>
      </c>
      <c r="B24" s="188">
        <v>8.9999999999999992E-5</v>
      </c>
      <c r="D24" s="188" t="s">
        <v>37</v>
      </c>
      <c r="E24" s="188" t="s">
        <v>43</v>
      </c>
      <c r="F24" s="188" t="s">
        <v>44</v>
      </c>
      <c r="G24" s="37" t="s">
        <v>29</v>
      </c>
      <c r="H24" s="188" t="s">
        <v>45</v>
      </c>
      <c r="I24" s="188">
        <v>2</v>
      </c>
      <c r="J24" s="188">
        <f t="shared" si="0"/>
        <v>-9.3157008876340086</v>
      </c>
      <c r="K24" s="188">
        <v>3.7749171999999998E-2</v>
      </c>
      <c r="L24" s="188" t="s">
        <v>31</v>
      </c>
      <c r="M24" s="188" t="s">
        <v>31</v>
      </c>
      <c r="N24" s="188" t="s">
        <v>31</v>
      </c>
    </row>
    <row r="25" spans="1:14">
      <c r="A25" s="323" t="s">
        <v>807</v>
      </c>
      <c r="B25" s="188">
        <v>3.3999999999999998E-3</v>
      </c>
      <c r="D25" s="188" t="s">
        <v>37</v>
      </c>
      <c r="E25" s="188" t="s">
        <v>43</v>
      </c>
      <c r="F25" s="188" t="s">
        <v>44</v>
      </c>
      <c r="G25" s="37" t="s">
        <v>29</v>
      </c>
      <c r="H25" s="188" t="s">
        <v>45</v>
      </c>
      <c r="I25" s="188">
        <v>2</v>
      </c>
      <c r="J25" s="188">
        <f t="shared" si="0"/>
        <v>-5.6839798473600212</v>
      </c>
      <c r="K25" s="188">
        <v>3.7749171999999998E-2</v>
      </c>
      <c r="L25" s="188" t="s">
        <v>31</v>
      </c>
      <c r="M25" s="188" t="s">
        <v>31</v>
      </c>
      <c r="N25" s="188" t="s">
        <v>31</v>
      </c>
    </row>
    <row r="26" spans="1:14">
      <c r="A26" s="188" t="s">
        <v>829</v>
      </c>
      <c r="B26" s="188">
        <v>1.4E-3</v>
      </c>
      <c r="D26" s="188" t="s">
        <v>37</v>
      </c>
      <c r="E26" s="188" t="s">
        <v>2</v>
      </c>
      <c r="F26" s="188" t="s">
        <v>29</v>
      </c>
      <c r="G26" s="37" t="s">
        <v>74</v>
      </c>
      <c r="H26" s="188" t="s">
        <v>33</v>
      </c>
      <c r="I26" s="188">
        <v>2</v>
      </c>
      <c r="J26" s="188">
        <f t="shared" si="0"/>
        <v>-6.5712830423609239</v>
      </c>
      <c r="K26" s="188">
        <v>3.7749171999999998E-2</v>
      </c>
      <c r="L26" s="188" t="s">
        <v>31</v>
      </c>
      <c r="M26" s="188" t="s">
        <v>31</v>
      </c>
      <c r="N26" s="188" t="s">
        <v>31</v>
      </c>
    </row>
    <row r="27" spans="1:14">
      <c r="A27" s="188" t="s">
        <v>835</v>
      </c>
      <c r="B27" s="188">
        <v>6.0000000000000002E-5</v>
      </c>
      <c r="D27" s="188" t="s">
        <v>37</v>
      </c>
      <c r="E27" s="188" t="s">
        <v>2</v>
      </c>
      <c r="F27" s="188" t="s">
        <v>29</v>
      </c>
      <c r="G27" s="188" t="s">
        <v>74</v>
      </c>
      <c r="H27" s="188" t="s">
        <v>33</v>
      </c>
      <c r="I27" s="188">
        <v>2</v>
      </c>
      <c r="J27" s="188">
        <f t="shared" si="0"/>
        <v>-9.7211659957421741</v>
      </c>
      <c r="K27" s="188">
        <v>3.7749171999999998E-2</v>
      </c>
      <c r="L27" s="188" t="s">
        <v>31</v>
      </c>
      <c r="M27" s="188" t="s">
        <v>31</v>
      </c>
      <c r="N27" s="188" t="s">
        <v>31</v>
      </c>
    </row>
    <row r="28" spans="1:14">
      <c r="A28" s="347" t="s">
        <v>5</v>
      </c>
      <c r="B28" s="348" t="s">
        <v>842</v>
      </c>
      <c r="C28" s="348"/>
      <c r="D28" s="349"/>
      <c r="E28" s="330"/>
      <c r="F28" s="330"/>
      <c r="G28" s="330"/>
      <c r="H28" s="330"/>
      <c r="I28" s="330"/>
      <c r="J28" s="330"/>
      <c r="K28" s="330"/>
      <c r="L28" s="330"/>
      <c r="M28" s="330"/>
      <c r="N28" s="330"/>
    </row>
    <row r="29" spans="1:14">
      <c r="A29" s="323" t="s">
        <v>7</v>
      </c>
      <c r="B29" s="188" t="s">
        <v>831</v>
      </c>
      <c r="D29" s="322"/>
    </row>
    <row r="30" spans="1:14">
      <c r="A30" s="323" t="s">
        <v>9</v>
      </c>
      <c r="B30" s="188" t="s">
        <v>851</v>
      </c>
      <c r="D30" s="322"/>
    </row>
    <row r="31" spans="1:14" ht="15.75" customHeight="1">
      <c r="A31" s="323" t="s">
        <v>11</v>
      </c>
      <c r="B31" s="324" t="s">
        <v>841</v>
      </c>
      <c r="C31" s="324"/>
    </row>
    <row r="32" spans="1:14">
      <c r="A32" s="323" t="s">
        <v>13</v>
      </c>
      <c r="B32" s="188" t="s">
        <v>14</v>
      </c>
    </row>
    <row r="33" spans="1:20">
      <c r="A33" s="323" t="s">
        <v>15</v>
      </c>
      <c r="B33" s="188">
        <v>1</v>
      </c>
    </row>
    <row r="34" spans="1:20">
      <c r="A34" s="323" t="s">
        <v>16</v>
      </c>
      <c r="B34" s="188" t="s">
        <v>17</v>
      </c>
    </row>
    <row r="35" spans="1:20">
      <c r="A35" s="323" t="s">
        <v>18</v>
      </c>
      <c r="B35" s="188" t="s">
        <v>18</v>
      </c>
    </row>
    <row r="36" spans="1:20">
      <c r="A36" s="320" t="s">
        <v>19</v>
      </c>
    </row>
    <row r="37" spans="1:20">
      <c r="A37" s="320" t="s">
        <v>20</v>
      </c>
      <c r="B37" s="321" t="s">
        <v>21</v>
      </c>
      <c r="C37" s="360" t="s">
        <v>186</v>
      </c>
      <c r="D37" s="321" t="s">
        <v>18</v>
      </c>
      <c r="E37" s="321" t="s">
        <v>22</v>
      </c>
      <c r="F37" s="321" t="s">
        <v>7</v>
      </c>
      <c r="G37" s="321" t="s">
        <v>13</v>
      </c>
      <c r="H37" s="321" t="s">
        <v>16</v>
      </c>
      <c r="I37" s="321" t="s">
        <v>23</v>
      </c>
      <c r="J37" s="321" t="s">
        <v>24</v>
      </c>
      <c r="K37" s="321" t="s">
        <v>25</v>
      </c>
      <c r="L37" s="321" t="s">
        <v>26</v>
      </c>
      <c r="M37" s="321" t="s">
        <v>27</v>
      </c>
      <c r="N37" s="321" t="s">
        <v>28</v>
      </c>
      <c r="O37" s="321" t="s">
        <v>11</v>
      </c>
    </row>
    <row r="38" spans="1:20">
      <c r="A38" s="323" t="s">
        <v>842</v>
      </c>
      <c r="B38" s="188">
        <v>1</v>
      </c>
      <c r="D38" s="188" t="s">
        <v>18</v>
      </c>
      <c r="E38" s="188" t="s">
        <v>2</v>
      </c>
      <c r="F38" s="188" t="s">
        <v>29</v>
      </c>
      <c r="G38" s="37" t="s">
        <v>14</v>
      </c>
      <c r="H38" s="188" t="s">
        <v>30</v>
      </c>
      <c r="I38" s="188">
        <v>1</v>
      </c>
      <c r="J38" s="188">
        <f>B38</f>
        <v>1</v>
      </c>
      <c r="K38" s="188" t="s">
        <v>31</v>
      </c>
      <c r="L38" s="188" t="s">
        <v>31</v>
      </c>
      <c r="M38" s="188" t="s">
        <v>31</v>
      </c>
      <c r="N38" s="188" t="s">
        <v>31</v>
      </c>
    </row>
    <row r="39" spans="1:20">
      <c r="A39" s="323" t="s">
        <v>852</v>
      </c>
      <c r="B39" s="188">
        <f>T39</f>
        <v>1.4999999999999999E-2</v>
      </c>
      <c r="D39" s="188" t="s">
        <v>853</v>
      </c>
      <c r="E39" s="188" t="s">
        <v>40</v>
      </c>
      <c r="F39" s="188" t="s">
        <v>29</v>
      </c>
      <c r="G39" s="37" t="s">
        <v>59</v>
      </c>
      <c r="H39" s="188" t="s">
        <v>33</v>
      </c>
      <c r="I39" s="188">
        <v>2</v>
      </c>
      <c r="J39" s="188">
        <f>LN(B39)</f>
        <v>-4.1997050778799272</v>
      </c>
      <c r="K39" s="188">
        <v>2.8722813232690055E-2</v>
      </c>
      <c r="L39" s="188" t="s">
        <v>31</v>
      </c>
      <c r="M39" s="188" t="s">
        <v>31</v>
      </c>
      <c r="N39" s="188" t="s">
        <v>31</v>
      </c>
      <c r="Q39" s="361" t="s">
        <v>854</v>
      </c>
      <c r="R39" s="362">
        <v>1.5</v>
      </c>
      <c r="S39" s="188" t="s">
        <v>855</v>
      </c>
      <c r="T39" s="188">
        <f>R39*0.01</f>
        <v>1.4999999999999999E-2</v>
      </c>
    </row>
    <row r="40" spans="1:20">
      <c r="A40" s="323" t="s">
        <v>856</v>
      </c>
      <c r="B40" s="188">
        <f>T40</f>
        <v>2.8E-3</v>
      </c>
      <c r="D40" s="188" t="s">
        <v>37</v>
      </c>
      <c r="E40" s="188" t="s">
        <v>40</v>
      </c>
      <c r="F40" s="188" t="s">
        <v>29</v>
      </c>
      <c r="G40" s="37" t="s">
        <v>59</v>
      </c>
      <c r="H40" s="188" t="s">
        <v>33</v>
      </c>
      <c r="I40" s="188">
        <v>2</v>
      </c>
      <c r="J40" s="188">
        <f t="shared" ref="J40:J50" si="1">LN(B40)</f>
        <v>-5.8781358618009785</v>
      </c>
      <c r="K40" s="188">
        <v>2.8722813232690055E-2</v>
      </c>
      <c r="L40" s="188" t="s">
        <v>31</v>
      </c>
      <c r="M40" s="188" t="s">
        <v>31</v>
      </c>
      <c r="N40" s="188" t="s">
        <v>31</v>
      </c>
      <c r="Q40" s="363" t="s">
        <v>857</v>
      </c>
      <c r="R40" s="364">
        <v>2.8</v>
      </c>
      <c r="S40" s="188" t="s">
        <v>275</v>
      </c>
      <c r="T40" s="188">
        <f>R40*0.001</f>
        <v>2.8E-3</v>
      </c>
    </row>
    <row r="41" spans="1:20">
      <c r="A41" s="323" t="s">
        <v>858</v>
      </c>
      <c r="B41" s="188">
        <f t="shared" ref="B41:B50" si="2">T41</f>
        <v>2.2000000000000001E-3</v>
      </c>
      <c r="D41" s="188" t="s">
        <v>37</v>
      </c>
      <c r="E41" s="188" t="s">
        <v>40</v>
      </c>
      <c r="F41" s="188" t="s">
        <v>29</v>
      </c>
      <c r="G41" s="37" t="s">
        <v>59</v>
      </c>
      <c r="H41" s="188" t="s">
        <v>33</v>
      </c>
      <c r="I41" s="188">
        <v>2</v>
      </c>
      <c r="J41" s="188">
        <f t="shared" si="1"/>
        <v>-6.1192979186178666</v>
      </c>
      <c r="K41" s="188">
        <v>2.8722813232690055E-2</v>
      </c>
      <c r="L41" s="188" t="s">
        <v>31</v>
      </c>
      <c r="M41" s="188" t="s">
        <v>31</v>
      </c>
      <c r="N41" s="188" t="s">
        <v>31</v>
      </c>
      <c r="Q41" s="361" t="s">
        <v>857</v>
      </c>
      <c r="R41" s="362">
        <v>2.2000000000000002</v>
      </c>
      <c r="S41" s="188" t="s">
        <v>275</v>
      </c>
      <c r="T41" s="188">
        <f t="shared" ref="T41:T50" si="3">R41*0.001</f>
        <v>2.2000000000000001E-3</v>
      </c>
    </row>
    <row r="42" spans="1:20">
      <c r="A42" s="323" t="s">
        <v>859</v>
      </c>
      <c r="B42" s="188">
        <f t="shared" si="2"/>
        <v>2.2000000000000001E-3</v>
      </c>
      <c r="D42" s="188" t="s">
        <v>37</v>
      </c>
      <c r="E42" s="188" t="s">
        <v>40</v>
      </c>
      <c r="F42" s="188" t="s">
        <v>29</v>
      </c>
      <c r="G42" s="37" t="s">
        <v>59</v>
      </c>
      <c r="H42" s="188" t="s">
        <v>33</v>
      </c>
      <c r="I42" s="188">
        <v>2</v>
      </c>
      <c r="J42" s="188">
        <f t="shared" si="1"/>
        <v>-6.1192979186178666</v>
      </c>
      <c r="K42" s="188">
        <v>2.8722813232690055E-2</v>
      </c>
      <c r="L42" s="188" t="s">
        <v>31</v>
      </c>
      <c r="M42" s="188" t="s">
        <v>31</v>
      </c>
      <c r="N42" s="188" t="s">
        <v>31</v>
      </c>
      <c r="Q42" s="363" t="s">
        <v>857</v>
      </c>
      <c r="R42" s="364">
        <v>2.2000000000000002</v>
      </c>
      <c r="S42" s="188" t="s">
        <v>275</v>
      </c>
      <c r="T42" s="188">
        <f t="shared" si="3"/>
        <v>2.2000000000000001E-3</v>
      </c>
    </row>
    <row r="43" spans="1:20">
      <c r="A43" s="323" t="s">
        <v>860</v>
      </c>
      <c r="B43" s="188">
        <f t="shared" si="2"/>
        <v>1.8000000000000002E-2</v>
      </c>
      <c r="D43" s="188" t="s">
        <v>37</v>
      </c>
      <c r="E43" s="188" t="s">
        <v>40</v>
      </c>
      <c r="F43" s="188" t="s">
        <v>29</v>
      </c>
      <c r="G43" s="37" t="s">
        <v>59</v>
      </c>
      <c r="H43" s="188" t="s">
        <v>33</v>
      </c>
      <c r="I43" s="188">
        <v>2</v>
      </c>
      <c r="J43" s="188">
        <f t="shared" si="1"/>
        <v>-4.0173835210859723</v>
      </c>
      <c r="K43" s="188">
        <v>2.8722813232690055E-2</v>
      </c>
      <c r="L43" s="188" t="s">
        <v>31</v>
      </c>
      <c r="M43" s="188" t="s">
        <v>31</v>
      </c>
      <c r="N43" s="188" t="s">
        <v>31</v>
      </c>
      <c r="Q43" s="361" t="s">
        <v>857</v>
      </c>
      <c r="R43" s="365">
        <v>18</v>
      </c>
      <c r="S43" s="188" t="s">
        <v>275</v>
      </c>
      <c r="T43" s="188">
        <f t="shared" si="3"/>
        <v>1.8000000000000002E-2</v>
      </c>
    </row>
    <row r="44" spans="1:20">
      <c r="A44" s="323" t="s">
        <v>861</v>
      </c>
      <c r="B44" s="188">
        <f t="shared" si="2"/>
        <v>9.0000000000000002E-6</v>
      </c>
      <c r="D44" s="188" t="s">
        <v>37</v>
      </c>
      <c r="E44" s="188" t="s">
        <v>40</v>
      </c>
      <c r="F44" s="188" t="s">
        <v>29</v>
      </c>
      <c r="G44" s="37" t="s">
        <v>59</v>
      </c>
      <c r="H44" s="188" t="s">
        <v>33</v>
      </c>
      <c r="I44" s="188">
        <v>2</v>
      </c>
      <c r="J44" s="188">
        <f t="shared" si="1"/>
        <v>-11.618285980628055</v>
      </c>
      <c r="K44" s="188">
        <v>2.8722813232690055E-2</v>
      </c>
      <c r="L44" s="188" t="s">
        <v>31</v>
      </c>
      <c r="M44" s="188" t="s">
        <v>31</v>
      </c>
      <c r="N44" s="188" t="s">
        <v>31</v>
      </c>
      <c r="Q44" s="363" t="s">
        <v>862</v>
      </c>
      <c r="R44" s="364">
        <v>9</v>
      </c>
      <c r="S44" s="188" t="s">
        <v>275</v>
      </c>
      <c r="T44" s="188">
        <f>R44*0.000001</f>
        <v>9.0000000000000002E-6</v>
      </c>
    </row>
    <row r="45" spans="1:20">
      <c r="A45" s="323" t="s">
        <v>863</v>
      </c>
      <c r="B45" s="188">
        <f t="shared" si="2"/>
        <v>3.8E-3</v>
      </c>
      <c r="D45" s="188" t="s">
        <v>37</v>
      </c>
      <c r="E45" s="188" t="s">
        <v>40</v>
      </c>
      <c r="F45" s="188" t="s">
        <v>29</v>
      </c>
      <c r="G45" s="37" t="s">
        <v>59</v>
      </c>
      <c r="H45" s="188" t="s">
        <v>33</v>
      </c>
      <c r="I45" s="188">
        <v>2</v>
      </c>
      <c r="J45" s="188">
        <f t="shared" si="1"/>
        <v>-5.5727542122497971</v>
      </c>
      <c r="K45" s="188">
        <v>2.8722813232690055E-2</v>
      </c>
      <c r="L45" s="188" t="s">
        <v>31</v>
      </c>
      <c r="M45" s="188" t="s">
        <v>31</v>
      </c>
      <c r="N45" s="188" t="s">
        <v>31</v>
      </c>
      <c r="Q45" s="361" t="s">
        <v>857</v>
      </c>
      <c r="R45" s="362">
        <v>3.8</v>
      </c>
      <c r="S45" s="188" t="s">
        <v>275</v>
      </c>
      <c r="T45" s="188">
        <f t="shared" si="3"/>
        <v>3.8E-3</v>
      </c>
    </row>
    <row r="46" spans="1:20">
      <c r="A46" s="323" t="s">
        <v>864</v>
      </c>
      <c r="B46" s="188">
        <f t="shared" si="2"/>
        <v>3.7000000000000002E-3</v>
      </c>
      <c r="D46" s="188" t="s">
        <v>37</v>
      </c>
      <c r="E46" s="188" t="s">
        <v>40</v>
      </c>
      <c r="F46" s="188" t="s">
        <v>29</v>
      </c>
      <c r="G46" s="37" t="s">
        <v>59</v>
      </c>
      <c r="H46" s="188" t="s">
        <v>33</v>
      </c>
      <c r="I46" s="188">
        <v>2</v>
      </c>
      <c r="J46" s="188">
        <f t="shared" si="1"/>
        <v>-5.5994224593319579</v>
      </c>
      <c r="K46" s="188">
        <v>2.8722813232690055E-2</v>
      </c>
      <c r="L46" s="188" t="s">
        <v>31</v>
      </c>
      <c r="M46" s="188" t="s">
        <v>31</v>
      </c>
      <c r="N46" s="188" t="s">
        <v>31</v>
      </c>
      <c r="Q46" s="363" t="s">
        <v>857</v>
      </c>
      <c r="R46" s="364">
        <v>3.7</v>
      </c>
      <c r="S46" s="188" t="s">
        <v>275</v>
      </c>
      <c r="T46" s="188">
        <f t="shared" si="3"/>
        <v>3.7000000000000002E-3</v>
      </c>
    </row>
    <row r="47" spans="1:20">
      <c r="A47" s="323" t="s">
        <v>865</v>
      </c>
      <c r="B47" s="188">
        <f t="shared" si="2"/>
        <v>3.4999999999999997E-5</v>
      </c>
      <c r="D47" s="188" t="s">
        <v>37</v>
      </c>
      <c r="E47" s="188" t="s">
        <v>40</v>
      </c>
      <c r="F47" s="188" t="s">
        <v>29</v>
      </c>
      <c r="G47" s="37" t="s">
        <v>59</v>
      </c>
      <c r="H47" s="188" t="s">
        <v>33</v>
      </c>
      <c r="I47" s="188">
        <v>2</v>
      </c>
      <c r="J47" s="188">
        <f t="shared" si="1"/>
        <v>-10.260162496474861</v>
      </c>
      <c r="K47" s="188">
        <v>2.8722813232690055E-2</v>
      </c>
      <c r="L47" s="188" t="s">
        <v>31</v>
      </c>
      <c r="M47" s="188" t="s">
        <v>31</v>
      </c>
      <c r="N47" s="188" t="s">
        <v>31</v>
      </c>
      <c r="Q47" s="361" t="s">
        <v>862</v>
      </c>
      <c r="R47" s="366">
        <v>35</v>
      </c>
      <c r="S47" s="188" t="s">
        <v>275</v>
      </c>
      <c r="T47" s="188">
        <f>R47*0.000001</f>
        <v>3.4999999999999997E-5</v>
      </c>
    </row>
    <row r="48" spans="1:20">
      <c r="A48" s="323" t="s">
        <v>866</v>
      </c>
      <c r="B48" s="188">
        <f t="shared" si="2"/>
        <v>1E-3</v>
      </c>
      <c r="D48" s="188" t="s">
        <v>37</v>
      </c>
      <c r="E48" s="188" t="s">
        <v>40</v>
      </c>
      <c r="F48" s="188" t="s">
        <v>29</v>
      </c>
      <c r="G48" s="37" t="s">
        <v>59</v>
      </c>
      <c r="H48" s="188" t="s">
        <v>33</v>
      </c>
      <c r="I48" s="188">
        <v>2</v>
      </c>
      <c r="J48" s="188">
        <f t="shared" si="1"/>
        <v>-6.9077552789821368</v>
      </c>
      <c r="K48" s="188">
        <v>2.8722813232690055E-2</v>
      </c>
      <c r="L48" s="188" t="s">
        <v>31</v>
      </c>
      <c r="M48" s="188" t="s">
        <v>31</v>
      </c>
      <c r="N48" s="188" t="s">
        <v>31</v>
      </c>
      <c r="Q48" s="363" t="s">
        <v>857</v>
      </c>
      <c r="R48" s="364">
        <v>1</v>
      </c>
      <c r="S48" s="188" t="s">
        <v>275</v>
      </c>
      <c r="T48" s="188">
        <f t="shared" si="3"/>
        <v>1E-3</v>
      </c>
    </row>
    <row r="49" spans="1:20">
      <c r="A49" s="323" t="s">
        <v>867</v>
      </c>
      <c r="B49" s="188">
        <f t="shared" si="2"/>
        <v>0.03</v>
      </c>
      <c r="D49" s="188" t="s">
        <v>37</v>
      </c>
      <c r="E49" s="188" t="s">
        <v>40</v>
      </c>
      <c r="F49" s="188" t="s">
        <v>29</v>
      </c>
      <c r="G49" s="37" t="s">
        <v>59</v>
      </c>
      <c r="H49" s="188" t="s">
        <v>33</v>
      </c>
      <c r="I49" s="188">
        <v>2</v>
      </c>
      <c r="J49" s="188">
        <f t="shared" si="1"/>
        <v>-3.5065578973199818</v>
      </c>
      <c r="K49" s="188">
        <v>2.8722813232690055E-2</v>
      </c>
      <c r="L49" s="188" t="s">
        <v>31</v>
      </c>
      <c r="M49" s="188" t="s">
        <v>31</v>
      </c>
      <c r="N49" s="188" t="s">
        <v>31</v>
      </c>
      <c r="Q49" s="361" t="s">
        <v>857</v>
      </c>
      <c r="R49" s="366">
        <v>30</v>
      </c>
      <c r="S49" s="188" t="s">
        <v>275</v>
      </c>
      <c r="T49" s="188">
        <f t="shared" si="3"/>
        <v>0.03</v>
      </c>
    </row>
    <row r="50" spans="1:20">
      <c r="A50" s="323" t="s">
        <v>868</v>
      </c>
      <c r="B50" s="188">
        <f t="shared" si="2"/>
        <v>1.3000000000000002E-3</v>
      </c>
      <c r="D50" s="188" t="s">
        <v>37</v>
      </c>
      <c r="E50" s="188" t="s">
        <v>40</v>
      </c>
      <c r="F50" s="188" t="s">
        <v>29</v>
      </c>
      <c r="G50" s="37" t="s">
        <v>59</v>
      </c>
      <c r="H50" s="188" t="s">
        <v>33</v>
      </c>
      <c r="I50" s="188">
        <v>2</v>
      </c>
      <c r="J50" s="188">
        <f t="shared" si="1"/>
        <v>-6.6453910145146455</v>
      </c>
      <c r="K50" s="188">
        <v>2.8722813232690055E-2</v>
      </c>
      <c r="L50" s="188" t="s">
        <v>31</v>
      </c>
      <c r="M50" s="188" t="s">
        <v>31</v>
      </c>
      <c r="N50" s="188" t="s">
        <v>31</v>
      </c>
      <c r="Q50" s="363" t="s">
        <v>857</v>
      </c>
      <c r="R50" s="364">
        <v>1.3</v>
      </c>
      <c r="S50" s="188" t="s">
        <v>275</v>
      </c>
      <c r="T50" s="188">
        <f t="shared" si="3"/>
        <v>1.3000000000000002E-3</v>
      </c>
    </row>
    <row r="51" spans="1:20">
      <c r="A51" s="323"/>
      <c r="G51" s="37"/>
    </row>
    <row r="52" spans="1:20">
      <c r="G52"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FD2B-C97A-45E6-9A6C-503FBE4F60B2}">
  <sheetPr>
    <tabColor theme="0"/>
  </sheetPr>
  <dimension ref="A1:T75"/>
  <sheetViews>
    <sheetView topLeftCell="A21" workbookViewId="0">
      <selection activeCell="A12" sqref="A12"/>
    </sheetView>
  </sheetViews>
  <sheetFormatPr defaultColWidth="9.140625" defaultRowHeight="12.95"/>
  <cols>
    <col min="1" max="1" width="70" style="188" customWidth="1"/>
    <col min="2" max="3" width="9.140625" style="188"/>
    <col min="4" max="4" width="13.5703125" style="188" customWidth="1"/>
    <col min="5" max="5" width="34.5703125" style="188" customWidth="1"/>
    <col min="6" max="6" width="12.7109375" style="188" customWidth="1"/>
    <col min="7" max="7" width="9.140625" style="188"/>
    <col min="8" max="8" width="14.7109375" style="188" customWidth="1"/>
    <col min="9" max="16384" width="9.140625" style="188"/>
  </cols>
  <sheetData>
    <row r="1" spans="1:20">
      <c r="A1" s="188" t="s">
        <v>0</v>
      </c>
      <c r="B1" s="188">
        <v>14</v>
      </c>
    </row>
    <row r="2" spans="1:20">
      <c r="A2" s="347" t="s">
        <v>5</v>
      </c>
      <c r="B2" s="348" t="s">
        <v>869</v>
      </c>
      <c r="C2" s="348"/>
      <c r="D2" s="349"/>
      <c r="E2" s="330"/>
      <c r="F2" s="330"/>
      <c r="G2" s="330"/>
      <c r="H2" s="330"/>
      <c r="I2" s="330"/>
      <c r="J2" s="330"/>
      <c r="K2" s="330"/>
      <c r="L2" s="330"/>
      <c r="M2" s="330"/>
      <c r="N2" s="330"/>
      <c r="P2" s="188" t="s">
        <v>830</v>
      </c>
    </row>
    <row r="3" spans="1:20">
      <c r="A3" s="323" t="s">
        <v>7</v>
      </c>
      <c r="B3" s="188" t="s">
        <v>831</v>
      </c>
      <c r="D3" s="322"/>
    </row>
    <row r="4" spans="1:20">
      <c r="A4" s="323" t="s">
        <v>9</v>
      </c>
      <c r="B4" s="359" t="s">
        <v>870</v>
      </c>
      <c r="C4" s="359"/>
      <c r="D4" s="322"/>
    </row>
    <row r="5" spans="1:20" ht="16.5" customHeight="1">
      <c r="A5" s="323" t="s">
        <v>11</v>
      </c>
      <c r="B5" s="324" t="s">
        <v>841</v>
      </c>
      <c r="C5" s="324"/>
    </row>
    <row r="6" spans="1:20">
      <c r="A6" s="323" t="s">
        <v>13</v>
      </c>
      <c r="B6" s="188" t="s">
        <v>14</v>
      </c>
    </row>
    <row r="7" spans="1:20">
      <c r="A7" s="323" t="s">
        <v>15</v>
      </c>
      <c r="B7" s="188">
        <v>9.8095000000000002E-2</v>
      </c>
    </row>
    <row r="8" spans="1:20">
      <c r="A8" s="323" t="s">
        <v>16</v>
      </c>
      <c r="B8" s="188" t="s">
        <v>17</v>
      </c>
    </row>
    <row r="9" spans="1:20">
      <c r="A9" s="323" t="s">
        <v>18</v>
      </c>
      <c r="B9" s="188" t="s">
        <v>37</v>
      </c>
    </row>
    <row r="10" spans="1:20">
      <c r="A10" s="320" t="s">
        <v>19</v>
      </c>
    </row>
    <row r="11" spans="1:20">
      <c r="A11" s="320"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20">
      <c r="A12" s="323" t="s">
        <v>869</v>
      </c>
      <c r="B12" s="188">
        <v>9.8095000000000002E-2</v>
      </c>
      <c r="D12" s="188" t="s">
        <v>37</v>
      </c>
      <c r="E12" s="188" t="s">
        <v>2</v>
      </c>
      <c r="F12" s="188" t="s">
        <v>29</v>
      </c>
      <c r="G12" s="37" t="s">
        <v>14</v>
      </c>
      <c r="H12" s="188" t="s">
        <v>30</v>
      </c>
      <c r="I12" s="188">
        <v>1</v>
      </c>
      <c r="J12" s="188">
        <f>B12</f>
        <v>9.8095000000000002E-2</v>
      </c>
      <c r="K12" s="188" t="s">
        <v>31</v>
      </c>
      <c r="L12" s="188" t="s">
        <v>31</v>
      </c>
      <c r="M12" s="188" t="s">
        <v>31</v>
      </c>
      <c r="N12" s="188" t="s">
        <v>31</v>
      </c>
      <c r="Q12" s="367" t="s">
        <v>871</v>
      </c>
    </row>
    <row r="13" spans="1:20">
      <c r="A13" s="323" t="s">
        <v>872</v>
      </c>
      <c r="B13" s="188">
        <f>S13</f>
        <v>6.9999999999999999E-4</v>
      </c>
      <c r="D13" s="188" t="s">
        <v>853</v>
      </c>
      <c r="E13" s="188" t="s">
        <v>2</v>
      </c>
      <c r="F13" s="188" t="s">
        <v>29</v>
      </c>
      <c r="G13" s="37" t="s">
        <v>14</v>
      </c>
      <c r="H13" s="188" t="s">
        <v>33</v>
      </c>
      <c r="I13" s="188">
        <v>2</v>
      </c>
      <c r="J13" s="188">
        <f>LN(B13)</f>
        <v>-7.2644302229208693</v>
      </c>
      <c r="K13" s="188">
        <v>2.8722813232690055E-2</v>
      </c>
      <c r="L13" s="188" t="s">
        <v>31</v>
      </c>
      <c r="M13" s="188" t="s">
        <v>31</v>
      </c>
      <c r="N13" s="188" t="s">
        <v>31</v>
      </c>
      <c r="Q13" s="368" t="s">
        <v>873</v>
      </c>
      <c r="R13" s="369">
        <v>6.9999999999999999E-4</v>
      </c>
      <c r="S13" s="370">
        <f>R13</f>
        <v>6.9999999999999999E-4</v>
      </c>
      <c r="T13" s="188" t="s">
        <v>855</v>
      </c>
    </row>
    <row r="14" spans="1:20">
      <c r="A14" s="84" t="s">
        <v>874</v>
      </c>
      <c r="B14" s="188">
        <f t="shared" ref="B14:B19" si="0">S14</f>
        <v>4.9000000000000002E-2</v>
      </c>
      <c r="D14" s="188" t="s">
        <v>37</v>
      </c>
      <c r="E14" s="188" t="s">
        <v>40</v>
      </c>
      <c r="F14" s="188" t="s">
        <v>29</v>
      </c>
      <c r="G14" s="37" t="s">
        <v>59</v>
      </c>
      <c r="H14" s="188" t="s">
        <v>33</v>
      </c>
      <c r="I14" s="188">
        <v>2</v>
      </c>
      <c r="J14" s="188">
        <f>LN(B14)</f>
        <v>-3.0159349808715104</v>
      </c>
      <c r="K14" s="188">
        <v>5.8523499553598146E-2</v>
      </c>
      <c r="L14" s="188" t="s">
        <v>31</v>
      </c>
      <c r="M14" s="188" t="s">
        <v>31</v>
      </c>
      <c r="N14" s="188" t="s">
        <v>31</v>
      </c>
      <c r="Q14" s="361" t="s">
        <v>857</v>
      </c>
      <c r="R14" s="366">
        <v>49</v>
      </c>
      <c r="S14" s="188">
        <f>R14*0.001</f>
        <v>4.9000000000000002E-2</v>
      </c>
      <c r="T14" s="188" t="s">
        <v>275</v>
      </c>
    </row>
    <row r="15" spans="1:20">
      <c r="A15" s="84" t="s">
        <v>846</v>
      </c>
      <c r="B15" s="188">
        <f t="shared" si="0"/>
        <v>3.1E-4</v>
      </c>
      <c r="D15" s="188" t="s">
        <v>37</v>
      </c>
      <c r="E15" s="188" t="s">
        <v>40</v>
      </c>
      <c r="F15" s="188" t="s">
        <v>29</v>
      </c>
      <c r="G15" s="37" t="s">
        <v>59</v>
      </c>
      <c r="H15" s="188" t="s">
        <v>33</v>
      </c>
      <c r="I15" s="188">
        <v>2</v>
      </c>
      <c r="J15" s="188">
        <f t="shared" ref="J15:J19" si="1">LN(B15)</f>
        <v>-8.0789382604850815</v>
      </c>
      <c r="K15" s="188">
        <v>5.8523499553598146E-2</v>
      </c>
      <c r="L15" s="188" t="s">
        <v>31</v>
      </c>
      <c r="M15" s="188" t="s">
        <v>31</v>
      </c>
      <c r="N15" s="188" t="s">
        <v>31</v>
      </c>
      <c r="Q15" s="361" t="s">
        <v>857</v>
      </c>
      <c r="R15" s="371">
        <v>0.31</v>
      </c>
      <c r="S15" s="188">
        <f>R15*0.001</f>
        <v>3.1E-4</v>
      </c>
      <c r="T15" s="188" t="s">
        <v>275</v>
      </c>
    </row>
    <row r="16" spans="1:20">
      <c r="A16" s="323" t="s">
        <v>265</v>
      </c>
      <c r="B16" s="188">
        <f t="shared" si="0"/>
        <v>0.05</v>
      </c>
      <c r="D16" s="188" t="s">
        <v>39</v>
      </c>
      <c r="E16" s="188" t="s">
        <v>40</v>
      </c>
      <c r="F16" s="188" t="s">
        <v>29</v>
      </c>
      <c r="G16" s="37" t="s">
        <v>35</v>
      </c>
      <c r="H16" s="188" t="s">
        <v>33</v>
      </c>
      <c r="I16" s="188">
        <v>2</v>
      </c>
      <c r="J16" s="188">
        <f t="shared" si="1"/>
        <v>-2.9957322735539909</v>
      </c>
      <c r="K16" s="188">
        <v>3.7749172176353707E-2</v>
      </c>
      <c r="L16" s="188" t="s">
        <v>31</v>
      </c>
      <c r="M16" s="188" t="s">
        <v>31</v>
      </c>
      <c r="N16" s="188" t="s">
        <v>31</v>
      </c>
      <c r="Q16" s="361" t="s">
        <v>271</v>
      </c>
      <c r="R16" s="371">
        <v>0.05</v>
      </c>
      <c r="S16" s="335">
        <f>R16</f>
        <v>0.05</v>
      </c>
      <c r="T16" s="188" t="s">
        <v>271</v>
      </c>
    </row>
    <row r="17" spans="1:20">
      <c r="A17" s="84" t="s">
        <v>875</v>
      </c>
      <c r="B17" s="188">
        <f t="shared" si="0"/>
        <v>6.9999999999999999E-6</v>
      </c>
      <c r="D17" s="188" t="s">
        <v>37</v>
      </c>
      <c r="E17" s="188" t="s">
        <v>40</v>
      </c>
      <c r="F17" s="188" t="s">
        <v>29</v>
      </c>
      <c r="G17" s="37" t="s">
        <v>59</v>
      </c>
      <c r="H17" s="188" t="s">
        <v>33</v>
      </c>
      <c r="I17" s="188">
        <v>2</v>
      </c>
      <c r="J17" s="188">
        <f t="shared" si="1"/>
        <v>-11.86960040890896</v>
      </c>
      <c r="K17" s="188">
        <v>3.7749172176353707E-2</v>
      </c>
      <c r="L17" s="188" t="s">
        <v>31</v>
      </c>
      <c r="M17" s="188" t="s">
        <v>31</v>
      </c>
      <c r="N17" s="188" t="s">
        <v>31</v>
      </c>
      <c r="Q17" s="361" t="s">
        <v>857</v>
      </c>
      <c r="R17" s="372">
        <v>7.0000000000000001E-3</v>
      </c>
      <c r="S17" s="188">
        <f>R17*0.001</f>
        <v>6.9999999999999999E-6</v>
      </c>
      <c r="T17" s="188" t="s">
        <v>275</v>
      </c>
    </row>
    <row r="18" spans="1:20">
      <c r="A18" s="84" t="s">
        <v>844</v>
      </c>
      <c r="B18" s="188">
        <f t="shared" si="0"/>
        <v>1.26E-4</v>
      </c>
      <c r="D18" s="188" t="s">
        <v>37</v>
      </c>
      <c r="E18" s="188" t="s">
        <v>40</v>
      </c>
      <c r="F18" s="188" t="s">
        <v>29</v>
      </c>
      <c r="G18" s="37" t="s">
        <v>74</v>
      </c>
      <c r="H18" s="188" t="s">
        <v>33</v>
      </c>
      <c r="I18" s="188">
        <v>2</v>
      </c>
      <c r="J18" s="188">
        <f t="shared" si="1"/>
        <v>-8.9792286510127965</v>
      </c>
      <c r="K18" s="188">
        <v>3.7749172176353707E-2</v>
      </c>
      <c r="L18" s="188" t="s">
        <v>31</v>
      </c>
      <c r="M18" s="188" t="s">
        <v>31</v>
      </c>
      <c r="N18" s="188" t="s">
        <v>31</v>
      </c>
      <c r="Q18" s="361" t="s">
        <v>857</v>
      </c>
      <c r="R18" s="372">
        <v>0.126</v>
      </c>
      <c r="S18" s="188">
        <f>R18*0.001</f>
        <v>1.26E-4</v>
      </c>
      <c r="T18" s="188" t="s">
        <v>275</v>
      </c>
    </row>
    <row r="19" spans="1:20">
      <c r="A19" s="84" t="s">
        <v>845</v>
      </c>
      <c r="B19" s="188">
        <f t="shared" si="0"/>
        <v>1.4999999999999999E-2</v>
      </c>
      <c r="D19" s="188" t="s">
        <v>37</v>
      </c>
      <c r="E19" s="188" t="s">
        <v>40</v>
      </c>
      <c r="F19" s="188" t="s">
        <v>29</v>
      </c>
      <c r="G19" s="37" t="s">
        <v>35</v>
      </c>
      <c r="H19" s="188" t="s">
        <v>33</v>
      </c>
      <c r="I19" s="188">
        <v>2</v>
      </c>
      <c r="J19" s="188">
        <f t="shared" si="1"/>
        <v>-4.1997050778799272</v>
      </c>
      <c r="K19" s="188">
        <v>3.7749172176353707E-2</v>
      </c>
      <c r="L19" s="188" t="s">
        <v>31</v>
      </c>
      <c r="M19" s="188" t="s">
        <v>31</v>
      </c>
      <c r="N19" s="188" t="s">
        <v>31</v>
      </c>
      <c r="Q19" s="361" t="s">
        <v>275</v>
      </c>
      <c r="R19" s="372">
        <v>1.4999999999999999E-2</v>
      </c>
      <c r="S19" s="370">
        <f>R19</f>
        <v>1.4999999999999999E-2</v>
      </c>
      <c r="T19" s="188" t="s">
        <v>275</v>
      </c>
    </row>
    <row r="20" spans="1:20">
      <c r="A20" s="347" t="s">
        <v>5</v>
      </c>
      <c r="B20" s="348" t="s">
        <v>872</v>
      </c>
      <c r="C20" s="348"/>
      <c r="D20" s="349"/>
      <c r="E20" s="330"/>
      <c r="F20" s="330"/>
      <c r="G20" s="330"/>
      <c r="H20" s="330"/>
      <c r="I20" s="330"/>
      <c r="J20" s="330"/>
      <c r="K20" s="330"/>
      <c r="L20" s="330"/>
      <c r="M20" s="330"/>
      <c r="N20" s="330"/>
    </row>
    <row r="21" spans="1:20">
      <c r="A21" s="323" t="s">
        <v>7</v>
      </c>
      <c r="B21" s="188" t="s">
        <v>831</v>
      </c>
      <c r="D21" s="322"/>
    </row>
    <row r="22" spans="1:20">
      <c r="A22" s="323" t="s">
        <v>9</v>
      </c>
      <c r="B22" s="359" t="s">
        <v>876</v>
      </c>
      <c r="C22" s="359"/>
      <c r="D22" s="322"/>
    </row>
    <row r="23" spans="1:20" ht="14.25" customHeight="1">
      <c r="A23" s="323" t="s">
        <v>11</v>
      </c>
      <c r="B23" s="324" t="s">
        <v>841</v>
      </c>
      <c r="C23" s="324"/>
    </row>
    <row r="24" spans="1:20">
      <c r="A24" s="323" t="s">
        <v>13</v>
      </c>
      <c r="B24" s="188" t="s">
        <v>14</v>
      </c>
    </row>
    <row r="25" spans="1:20">
      <c r="A25" s="323" t="s">
        <v>15</v>
      </c>
      <c r="B25" s="188">
        <v>7.0000000000000001E-3</v>
      </c>
    </row>
    <row r="26" spans="1:20">
      <c r="A26" s="323" t="s">
        <v>16</v>
      </c>
      <c r="B26" s="188" t="s">
        <v>17</v>
      </c>
    </row>
    <row r="27" spans="1:20">
      <c r="A27" s="323" t="s">
        <v>18</v>
      </c>
      <c r="B27" s="188" t="s">
        <v>853</v>
      </c>
    </row>
    <row r="28" spans="1:20">
      <c r="A28" s="320" t="s">
        <v>19</v>
      </c>
    </row>
    <row r="29" spans="1:20">
      <c r="A29" s="320" t="s">
        <v>20</v>
      </c>
      <c r="B29" s="321" t="s">
        <v>21</v>
      </c>
      <c r="C29" s="360" t="s">
        <v>186</v>
      </c>
      <c r="D29" s="321" t="s">
        <v>18</v>
      </c>
      <c r="E29" s="321" t="s">
        <v>22</v>
      </c>
      <c r="F29" s="321" t="s">
        <v>7</v>
      </c>
      <c r="G29" s="321" t="s">
        <v>13</v>
      </c>
      <c r="H29" s="321" t="s">
        <v>16</v>
      </c>
      <c r="I29" s="321" t="s">
        <v>23</v>
      </c>
      <c r="J29" s="321" t="s">
        <v>24</v>
      </c>
      <c r="K29" s="321" t="s">
        <v>25</v>
      </c>
      <c r="L29" s="321" t="s">
        <v>26</v>
      </c>
      <c r="M29" s="321" t="s">
        <v>27</v>
      </c>
      <c r="N29" s="321" t="s">
        <v>28</v>
      </c>
      <c r="O29" s="321" t="s">
        <v>11</v>
      </c>
    </row>
    <row r="30" spans="1:20">
      <c r="A30" s="323" t="s">
        <v>872</v>
      </c>
      <c r="B30" s="188">
        <v>7.0000000000000001E-3</v>
      </c>
      <c r="D30" s="188" t="s">
        <v>853</v>
      </c>
      <c r="E30" s="188" t="s">
        <v>2</v>
      </c>
      <c r="F30" s="188" t="s">
        <v>29</v>
      </c>
      <c r="G30" s="37" t="s">
        <v>14</v>
      </c>
      <c r="H30" s="188" t="s">
        <v>30</v>
      </c>
      <c r="I30" s="188">
        <v>1</v>
      </c>
      <c r="J30" s="188">
        <f>B30</f>
        <v>7.0000000000000001E-3</v>
      </c>
      <c r="K30" s="188" t="s">
        <v>31</v>
      </c>
      <c r="L30" s="188" t="s">
        <v>31</v>
      </c>
      <c r="M30" s="188" t="s">
        <v>31</v>
      </c>
      <c r="N30" s="188" t="s">
        <v>31</v>
      </c>
    </row>
    <row r="31" spans="1:20">
      <c r="A31" s="323" t="s">
        <v>877</v>
      </c>
      <c r="B31" s="188">
        <v>1</v>
      </c>
      <c r="D31" s="188" t="s">
        <v>18</v>
      </c>
      <c r="E31" s="188" t="s">
        <v>2</v>
      </c>
      <c r="F31" s="188" t="s">
        <v>29</v>
      </c>
      <c r="G31" s="37" t="s">
        <v>14</v>
      </c>
      <c r="H31" s="188" t="s">
        <v>33</v>
      </c>
      <c r="I31" s="188">
        <v>1</v>
      </c>
      <c r="J31" s="188">
        <f>B31</f>
        <v>1</v>
      </c>
      <c r="K31" s="188" t="s">
        <v>31</v>
      </c>
      <c r="L31" s="188" t="s">
        <v>31</v>
      </c>
      <c r="M31" s="188" t="s">
        <v>31</v>
      </c>
      <c r="N31" s="188" t="s">
        <v>31</v>
      </c>
    </row>
    <row r="32" spans="1:20">
      <c r="A32" s="323" t="s">
        <v>265</v>
      </c>
      <c r="B32" s="188">
        <v>1.02</v>
      </c>
      <c r="D32" s="188" t="s">
        <v>39</v>
      </c>
      <c r="E32" s="188" t="s">
        <v>40</v>
      </c>
      <c r="F32" s="188" t="s">
        <v>29</v>
      </c>
      <c r="G32" s="37" t="s">
        <v>14</v>
      </c>
      <c r="H32" s="188" t="s">
        <v>33</v>
      </c>
      <c r="I32" s="188">
        <v>2</v>
      </c>
      <c r="J32" s="188">
        <f>LN(B32)</f>
        <v>1.980262729617973E-2</v>
      </c>
      <c r="K32" s="188">
        <v>3.7749171999999998E-2</v>
      </c>
      <c r="L32" s="188" t="s">
        <v>31</v>
      </c>
      <c r="M32" s="188" t="s">
        <v>31</v>
      </c>
      <c r="N32" s="188" t="s">
        <v>31</v>
      </c>
    </row>
    <row r="33" spans="1:14">
      <c r="A33" s="323" t="s">
        <v>843</v>
      </c>
      <c r="B33" s="188">
        <f>1.4/1000</f>
        <v>1.4E-3</v>
      </c>
      <c r="D33" s="188" t="s">
        <v>37</v>
      </c>
      <c r="E33" s="188" t="s">
        <v>40</v>
      </c>
      <c r="F33" s="188" t="s">
        <v>29</v>
      </c>
      <c r="G33" s="37" t="s">
        <v>35</v>
      </c>
      <c r="H33" s="188" t="s">
        <v>33</v>
      </c>
      <c r="I33" s="188">
        <v>2</v>
      </c>
      <c r="J33" s="188">
        <f t="shared" ref="J33:J45" si="2">LN(B33)</f>
        <v>-6.5712830423609239</v>
      </c>
      <c r="K33" s="188">
        <v>3.7749171999999998E-2</v>
      </c>
      <c r="L33" s="188" t="s">
        <v>31</v>
      </c>
      <c r="M33" s="188" t="s">
        <v>31</v>
      </c>
      <c r="N33" s="188" t="s">
        <v>31</v>
      </c>
    </row>
    <row r="34" spans="1:14">
      <c r="A34" s="323" t="s">
        <v>489</v>
      </c>
      <c r="B34" s="188">
        <f>0.2/1000</f>
        <v>2.0000000000000001E-4</v>
      </c>
      <c r="D34" s="188" t="s">
        <v>37</v>
      </c>
      <c r="E34" s="188" t="s">
        <v>40</v>
      </c>
      <c r="F34" s="188" t="s">
        <v>29</v>
      </c>
      <c r="G34" s="37" t="s">
        <v>59</v>
      </c>
      <c r="H34" s="188" t="s">
        <v>33</v>
      </c>
      <c r="I34" s="188">
        <v>2</v>
      </c>
      <c r="J34" s="188">
        <f t="shared" si="2"/>
        <v>-8.5171931914162382</v>
      </c>
      <c r="K34" s="188">
        <v>3.7749171999999998E-2</v>
      </c>
      <c r="L34" s="188" t="s">
        <v>31</v>
      </c>
      <c r="M34" s="188" t="s">
        <v>31</v>
      </c>
      <c r="N34" s="188" t="s">
        <v>31</v>
      </c>
    </row>
    <row r="35" spans="1:14">
      <c r="A35" s="323" t="s">
        <v>844</v>
      </c>
      <c r="B35" s="188">
        <f>7.1/1000</f>
        <v>7.0999999999999995E-3</v>
      </c>
      <c r="D35" s="188" t="s">
        <v>37</v>
      </c>
      <c r="E35" s="188" t="s">
        <v>40</v>
      </c>
      <c r="F35" s="188" t="s">
        <v>29</v>
      </c>
      <c r="G35" s="37" t="s">
        <v>74</v>
      </c>
      <c r="H35" s="188" t="s">
        <v>33</v>
      </c>
      <c r="I35" s="188">
        <v>2</v>
      </c>
      <c r="J35" s="188">
        <f t="shared" si="2"/>
        <v>-4.9476604949348673</v>
      </c>
      <c r="K35" s="188">
        <v>3.7749171999999998E-2</v>
      </c>
      <c r="L35" s="188" t="s">
        <v>31</v>
      </c>
      <c r="M35" s="188" t="s">
        <v>31</v>
      </c>
      <c r="N35" s="188" t="s">
        <v>31</v>
      </c>
    </row>
    <row r="36" spans="1:14">
      <c r="A36" s="323" t="s">
        <v>845</v>
      </c>
      <c r="B36" s="188">
        <v>1.4</v>
      </c>
      <c r="D36" s="188" t="s">
        <v>37</v>
      </c>
      <c r="E36" s="188" t="s">
        <v>40</v>
      </c>
      <c r="F36" s="188" t="s">
        <v>29</v>
      </c>
      <c r="G36" s="37" t="s">
        <v>35</v>
      </c>
      <c r="H36" s="188" t="s">
        <v>33</v>
      </c>
      <c r="I36" s="188">
        <v>2</v>
      </c>
      <c r="J36" s="188">
        <f t="shared" si="2"/>
        <v>0.33647223662121289</v>
      </c>
      <c r="K36" s="188">
        <v>3.7749171999999998E-2</v>
      </c>
      <c r="L36" s="188" t="s">
        <v>31</v>
      </c>
      <c r="M36" s="188" t="s">
        <v>31</v>
      </c>
      <c r="N36" s="188" t="s">
        <v>31</v>
      </c>
    </row>
    <row r="37" spans="1:14">
      <c r="A37" s="323" t="s">
        <v>846</v>
      </c>
      <c r="B37" s="188">
        <v>2E-3</v>
      </c>
      <c r="D37" s="188" t="s">
        <v>37</v>
      </c>
      <c r="E37" s="188" t="s">
        <v>40</v>
      </c>
      <c r="F37" s="188" t="s">
        <v>29</v>
      </c>
      <c r="G37" s="37" t="s">
        <v>59</v>
      </c>
      <c r="H37" s="188" t="s">
        <v>33</v>
      </c>
      <c r="I37" s="188">
        <v>2</v>
      </c>
      <c r="J37" s="188">
        <f t="shared" si="2"/>
        <v>-6.2146080984221914</v>
      </c>
      <c r="K37" s="188">
        <v>3.7749171999999998E-2</v>
      </c>
      <c r="L37" s="188" t="s">
        <v>31</v>
      </c>
      <c r="M37" s="188" t="s">
        <v>31</v>
      </c>
      <c r="N37" s="188" t="s">
        <v>31</v>
      </c>
    </row>
    <row r="38" spans="1:14">
      <c r="A38" s="323" t="s">
        <v>847</v>
      </c>
      <c r="B38" s="188">
        <v>3.0000000000000001E-3</v>
      </c>
      <c r="D38" s="188" t="s">
        <v>37</v>
      </c>
      <c r="E38" s="188" t="s">
        <v>40</v>
      </c>
      <c r="F38" s="188" t="s">
        <v>29</v>
      </c>
      <c r="G38" s="37" t="s">
        <v>59</v>
      </c>
      <c r="H38" s="188" t="s">
        <v>33</v>
      </c>
      <c r="I38" s="188">
        <v>2</v>
      </c>
      <c r="J38" s="188">
        <f t="shared" si="2"/>
        <v>-5.8091429903140277</v>
      </c>
      <c r="K38" s="188">
        <v>3.7749171999999998E-2</v>
      </c>
      <c r="L38" s="188" t="s">
        <v>31</v>
      </c>
      <c r="M38" s="188" t="s">
        <v>31</v>
      </c>
      <c r="N38" s="188" t="s">
        <v>31</v>
      </c>
    </row>
    <row r="39" spans="1:14">
      <c r="A39" s="323" t="s">
        <v>848</v>
      </c>
      <c r="B39" s="188">
        <v>2.9999999999999997E-4</v>
      </c>
      <c r="D39" s="188" t="s">
        <v>37</v>
      </c>
      <c r="E39" s="188" t="s">
        <v>40</v>
      </c>
      <c r="F39" s="188" t="s">
        <v>29</v>
      </c>
      <c r="G39" s="37" t="s">
        <v>35</v>
      </c>
      <c r="H39" s="188" t="s">
        <v>33</v>
      </c>
      <c r="I39" s="188">
        <v>2</v>
      </c>
      <c r="J39" s="188">
        <f t="shared" si="2"/>
        <v>-8.1117280833080727</v>
      </c>
      <c r="K39" s="188">
        <v>3.7749171999999998E-2</v>
      </c>
      <c r="L39" s="188" t="s">
        <v>31</v>
      </c>
      <c r="M39" s="188" t="s">
        <v>31</v>
      </c>
      <c r="N39" s="188" t="s">
        <v>31</v>
      </c>
    </row>
    <row r="40" spans="1:14">
      <c r="A40" s="323" t="s">
        <v>849</v>
      </c>
      <c r="B40" s="188">
        <v>1.5E-3</v>
      </c>
      <c r="D40" s="188" t="s">
        <v>37</v>
      </c>
      <c r="E40" s="188" t="s">
        <v>40</v>
      </c>
      <c r="F40" s="188" t="s">
        <v>29</v>
      </c>
      <c r="G40" s="37" t="s">
        <v>59</v>
      </c>
      <c r="H40" s="188" t="s">
        <v>33</v>
      </c>
      <c r="I40" s="188">
        <v>2</v>
      </c>
      <c r="J40" s="188">
        <f t="shared" si="2"/>
        <v>-6.5022901708739722</v>
      </c>
      <c r="K40" s="188">
        <v>3.7749171999999998E-2</v>
      </c>
      <c r="L40" s="188" t="s">
        <v>31</v>
      </c>
      <c r="M40" s="188" t="s">
        <v>31</v>
      </c>
      <c r="N40" s="188" t="s">
        <v>31</v>
      </c>
    </row>
    <row r="41" spans="1:14">
      <c r="A41" s="323" t="s">
        <v>850</v>
      </c>
      <c r="B41" s="188">
        <v>5.0000000000000001E-4</v>
      </c>
      <c r="D41" s="188" t="s">
        <v>37</v>
      </c>
      <c r="E41" s="188" t="s">
        <v>40</v>
      </c>
      <c r="F41" s="188" t="s">
        <v>29</v>
      </c>
      <c r="G41" s="37" t="s">
        <v>35</v>
      </c>
      <c r="H41" s="188" t="s">
        <v>33</v>
      </c>
      <c r="I41" s="188">
        <v>2</v>
      </c>
      <c r="J41" s="188">
        <f t="shared" si="2"/>
        <v>-7.6009024595420822</v>
      </c>
      <c r="K41" s="188">
        <v>3.7749171999999998E-2</v>
      </c>
      <c r="L41" s="188" t="s">
        <v>31</v>
      </c>
      <c r="M41" s="188" t="s">
        <v>31</v>
      </c>
      <c r="N41" s="188" t="s">
        <v>31</v>
      </c>
    </row>
    <row r="42" spans="1:14">
      <c r="A42" s="323" t="s">
        <v>502</v>
      </c>
      <c r="B42" s="188">
        <v>8.9999999999999992E-5</v>
      </c>
      <c r="D42" s="188" t="s">
        <v>37</v>
      </c>
      <c r="E42" s="188" t="s">
        <v>43</v>
      </c>
      <c r="F42" s="188" t="s">
        <v>44</v>
      </c>
      <c r="G42" s="37" t="s">
        <v>29</v>
      </c>
      <c r="H42" s="188" t="s">
        <v>45</v>
      </c>
      <c r="I42" s="188">
        <v>2</v>
      </c>
      <c r="J42" s="188">
        <f t="shared" si="2"/>
        <v>-9.3157008876340086</v>
      </c>
      <c r="K42" s="188">
        <v>3.7749171999999998E-2</v>
      </c>
      <c r="L42" s="188" t="s">
        <v>31</v>
      </c>
      <c r="M42" s="188" t="s">
        <v>31</v>
      </c>
      <c r="N42" s="188" t="s">
        <v>31</v>
      </c>
    </row>
    <row r="43" spans="1:14">
      <c r="A43" s="323" t="s">
        <v>807</v>
      </c>
      <c r="B43" s="188">
        <v>3.3999999999999998E-3</v>
      </c>
      <c r="D43" s="188" t="s">
        <v>37</v>
      </c>
      <c r="E43" s="188" t="s">
        <v>43</v>
      </c>
      <c r="F43" s="188" t="s">
        <v>44</v>
      </c>
      <c r="G43" s="37" t="s">
        <v>29</v>
      </c>
      <c r="H43" s="188" t="s">
        <v>45</v>
      </c>
      <c r="I43" s="188">
        <v>2</v>
      </c>
      <c r="J43" s="188">
        <f t="shared" si="2"/>
        <v>-5.6839798473600212</v>
      </c>
      <c r="K43" s="188">
        <v>3.7749171999999998E-2</v>
      </c>
      <c r="L43" s="188" t="s">
        <v>31</v>
      </c>
      <c r="M43" s="188" t="s">
        <v>31</v>
      </c>
      <c r="N43" s="188" t="s">
        <v>31</v>
      </c>
    </row>
    <row r="44" spans="1:14">
      <c r="A44" s="188" t="s">
        <v>829</v>
      </c>
      <c r="B44" s="188">
        <v>1.4E-3</v>
      </c>
      <c r="D44" s="188" t="s">
        <v>37</v>
      </c>
      <c r="E44" s="188" t="s">
        <v>2</v>
      </c>
      <c r="F44" s="188" t="s">
        <v>29</v>
      </c>
      <c r="G44" s="37" t="s">
        <v>74</v>
      </c>
      <c r="H44" s="188" t="s">
        <v>33</v>
      </c>
      <c r="I44" s="188">
        <v>2</v>
      </c>
      <c r="J44" s="188">
        <f t="shared" si="2"/>
        <v>-6.5712830423609239</v>
      </c>
      <c r="K44" s="188">
        <v>3.7749171999999998E-2</v>
      </c>
      <c r="L44" s="188" t="s">
        <v>31</v>
      </c>
      <c r="M44" s="188" t="s">
        <v>31</v>
      </c>
      <c r="N44" s="188" t="s">
        <v>31</v>
      </c>
    </row>
    <row r="45" spans="1:14">
      <c r="A45" s="188" t="s">
        <v>835</v>
      </c>
      <c r="B45" s="188">
        <v>6.0000000000000002E-5</v>
      </c>
      <c r="D45" s="188" t="s">
        <v>37</v>
      </c>
      <c r="E45" s="188" t="s">
        <v>2</v>
      </c>
      <c r="F45" s="188" t="s">
        <v>29</v>
      </c>
      <c r="G45" s="188" t="s">
        <v>74</v>
      </c>
      <c r="H45" s="188" t="s">
        <v>33</v>
      </c>
      <c r="I45" s="188">
        <v>2</v>
      </c>
      <c r="J45" s="188">
        <f t="shared" si="2"/>
        <v>-9.7211659957421741</v>
      </c>
      <c r="K45" s="188">
        <v>3.7749171999999998E-2</v>
      </c>
      <c r="L45" s="188" t="s">
        <v>31</v>
      </c>
      <c r="M45" s="188" t="s">
        <v>31</v>
      </c>
      <c r="N45" s="188" t="s">
        <v>31</v>
      </c>
    </row>
    <row r="46" spans="1:14">
      <c r="A46" s="347" t="s">
        <v>5</v>
      </c>
      <c r="B46" s="348" t="s">
        <v>877</v>
      </c>
      <c r="C46" s="348"/>
      <c r="D46" s="349"/>
      <c r="E46" s="330"/>
      <c r="F46" s="330"/>
      <c r="G46" s="330"/>
      <c r="H46" s="330"/>
      <c r="I46" s="330"/>
      <c r="J46" s="330"/>
      <c r="K46" s="330"/>
      <c r="L46" s="330"/>
      <c r="M46" s="330"/>
      <c r="N46" s="330"/>
    </row>
    <row r="47" spans="1:14">
      <c r="A47" s="323" t="s">
        <v>7</v>
      </c>
      <c r="B47" s="188" t="s">
        <v>831</v>
      </c>
      <c r="D47" s="322"/>
    </row>
    <row r="48" spans="1:14">
      <c r="A48" s="323" t="s">
        <v>9</v>
      </c>
      <c r="B48" s="188" t="s">
        <v>878</v>
      </c>
      <c r="D48" s="322"/>
    </row>
    <row r="49" spans="1:20" ht="14.25" customHeight="1">
      <c r="A49" s="323" t="s">
        <v>11</v>
      </c>
      <c r="B49" s="324" t="s">
        <v>841</v>
      </c>
      <c r="C49" s="324"/>
    </row>
    <row r="50" spans="1:20">
      <c r="A50" s="323" t="s">
        <v>13</v>
      </c>
      <c r="B50" s="188" t="s">
        <v>14</v>
      </c>
    </row>
    <row r="51" spans="1:20">
      <c r="A51" s="323" t="s">
        <v>15</v>
      </c>
      <c r="B51" s="188">
        <v>1</v>
      </c>
    </row>
    <row r="52" spans="1:20">
      <c r="A52" s="323" t="s">
        <v>16</v>
      </c>
      <c r="B52" s="188" t="s">
        <v>17</v>
      </c>
    </row>
    <row r="53" spans="1:20">
      <c r="A53" s="323" t="s">
        <v>18</v>
      </c>
      <c r="B53" s="188" t="s">
        <v>18</v>
      </c>
    </row>
    <row r="54" spans="1:20">
      <c r="A54" s="320" t="s">
        <v>19</v>
      </c>
    </row>
    <row r="55" spans="1:20">
      <c r="A55" s="320" t="s">
        <v>20</v>
      </c>
      <c r="B55" s="321" t="s">
        <v>21</v>
      </c>
      <c r="C55" s="360" t="s">
        <v>186</v>
      </c>
      <c r="D55" s="321" t="s">
        <v>18</v>
      </c>
      <c r="E55" s="321" t="s">
        <v>22</v>
      </c>
      <c r="F55" s="321" t="s">
        <v>7</v>
      </c>
      <c r="G55" s="321" t="s">
        <v>13</v>
      </c>
      <c r="H55" s="321" t="s">
        <v>16</v>
      </c>
      <c r="I55" s="321" t="s">
        <v>23</v>
      </c>
      <c r="J55" s="321" t="s">
        <v>24</v>
      </c>
      <c r="K55" s="321" t="s">
        <v>25</v>
      </c>
      <c r="L55" s="321" t="s">
        <v>26</v>
      </c>
      <c r="M55" s="321" t="s">
        <v>27</v>
      </c>
      <c r="N55" s="321" t="s">
        <v>28</v>
      </c>
      <c r="O55" s="321" t="s">
        <v>11</v>
      </c>
    </row>
    <row r="56" spans="1:20">
      <c r="A56" s="323" t="s">
        <v>877</v>
      </c>
      <c r="B56" s="188">
        <v>1</v>
      </c>
      <c r="D56" s="188" t="s">
        <v>18</v>
      </c>
      <c r="E56" s="188" t="s">
        <v>2</v>
      </c>
      <c r="F56" s="188" t="s">
        <v>29</v>
      </c>
      <c r="G56" s="37" t="s">
        <v>14</v>
      </c>
      <c r="H56" s="188" t="s">
        <v>30</v>
      </c>
      <c r="I56" s="188">
        <v>1</v>
      </c>
      <c r="J56" s="188">
        <f>B56</f>
        <v>1</v>
      </c>
      <c r="K56" s="188" t="s">
        <v>31</v>
      </c>
      <c r="L56" s="188" t="s">
        <v>31</v>
      </c>
      <c r="M56" s="188" t="s">
        <v>31</v>
      </c>
      <c r="N56" s="188" t="s">
        <v>31</v>
      </c>
    </row>
    <row r="57" spans="1:20">
      <c r="A57" s="323" t="s">
        <v>852</v>
      </c>
      <c r="B57" s="188">
        <f>T57</f>
        <v>6.9999999999999993E-3</v>
      </c>
      <c r="D57" s="188" t="s">
        <v>853</v>
      </c>
      <c r="E57" s="188" t="s">
        <v>40</v>
      </c>
      <c r="F57" s="188" t="s">
        <v>29</v>
      </c>
      <c r="G57" s="37" t="s">
        <v>59</v>
      </c>
      <c r="H57" s="188" t="s">
        <v>33</v>
      </c>
      <c r="I57" s="188">
        <v>2</v>
      </c>
      <c r="J57" s="188">
        <f>LN(B57)</f>
        <v>-4.9618451299268242</v>
      </c>
      <c r="K57" s="188">
        <v>2.8722813232690055E-2</v>
      </c>
      <c r="L57" s="188" t="s">
        <v>31</v>
      </c>
      <c r="M57" s="188" t="s">
        <v>31</v>
      </c>
      <c r="N57" s="188" t="s">
        <v>31</v>
      </c>
      <c r="Q57" s="361" t="s">
        <v>854</v>
      </c>
      <c r="R57" s="362">
        <v>0.7</v>
      </c>
      <c r="S57" s="188" t="s">
        <v>855</v>
      </c>
      <c r="T57" s="188">
        <f>R57*0.01</f>
        <v>6.9999999999999993E-3</v>
      </c>
    </row>
    <row r="58" spans="1:20">
      <c r="A58" s="323" t="s">
        <v>856</v>
      </c>
      <c r="B58" s="188">
        <f t="shared" ref="B58:B70" si="3">T58</f>
        <v>3.7000000000000002E-3</v>
      </c>
      <c r="D58" s="188" t="s">
        <v>37</v>
      </c>
      <c r="E58" s="188" t="s">
        <v>40</v>
      </c>
      <c r="F58" s="188" t="s">
        <v>29</v>
      </c>
      <c r="G58" s="37" t="s">
        <v>59</v>
      </c>
      <c r="H58" s="188" t="s">
        <v>33</v>
      </c>
      <c r="I58" s="188">
        <v>2</v>
      </c>
      <c r="J58" s="188">
        <f t="shared" ref="J58:J70" si="4">LN(B58)</f>
        <v>-5.5994224593319579</v>
      </c>
      <c r="K58" s="188">
        <v>2.8722813232690055E-2</v>
      </c>
      <c r="L58" s="188" t="s">
        <v>31</v>
      </c>
      <c r="M58" s="188" t="s">
        <v>31</v>
      </c>
      <c r="N58" s="188" t="s">
        <v>31</v>
      </c>
      <c r="Q58" s="363" t="s">
        <v>857</v>
      </c>
      <c r="R58" s="364">
        <v>3.7</v>
      </c>
      <c r="S58" s="188" t="s">
        <v>275</v>
      </c>
      <c r="T58" s="188">
        <f>R58*0.001</f>
        <v>3.7000000000000002E-3</v>
      </c>
    </row>
    <row r="59" spans="1:20">
      <c r="A59" s="323" t="s">
        <v>858</v>
      </c>
      <c r="B59" s="188">
        <f t="shared" si="3"/>
        <v>1.9E-3</v>
      </c>
      <c r="D59" s="188" t="s">
        <v>37</v>
      </c>
      <c r="E59" s="188" t="s">
        <v>40</v>
      </c>
      <c r="F59" s="188" t="s">
        <v>29</v>
      </c>
      <c r="G59" s="37" t="s">
        <v>59</v>
      </c>
      <c r="H59" s="188" t="s">
        <v>33</v>
      </c>
      <c r="I59" s="188">
        <v>2</v>
      </c>
      <c r="J59" s="188">
        <f t="shared" si="4"/>
        <v>-6.2659013928097425</v>
      </c>
      <c r="K59" s="188">
        <v>2.8722813232690055E-2</v>
      </c>
      <c r="L59" s="188" t="s">
        <v>31</v>
      </c>
      <c r="M59" s="188" t="s">
        <v>31</v>
      </c>
      <c r="N59" s="188" t="s">
        <v>31</v>
      </c>
      <c r="Q59" s="361" t="s">
        <v>857</v>
      </c>
      <c r="R59" s="362">
        <v>1.9</v>
      </c>
      <c r="S59" s="188" t="s">
        <v>275</v>
      </c>
      <c r="T59" s="188">
        <f t="shared" ref="T59:T60" si="5">R59*0.001</f>
        <v>1.9E-3</v>
      </c>
    </row>
    <row r="60" spans="1:20">
      <c r="A60" s="323" t="s">
        <v>860</v>
      </c>
      <c r="B60" s="188">
        <f t="shared" si="3"/>
        <v>4.7999999999999996E-3</v>
      </c>
      <c r="D60" s="188" t="s">
        <v>37</v>
      </c>
      <c r="E60" s="188" t="s">
        <v>40</v>
      </c>
      <c r="F60" s="188" t="s">
        <v>29</v>
      </c>
      <c r="G60" s="37" t="s">
        <v>59</v>
      </c>
      <c r="H60" s="188" t="s">
        <v>33</v>
      </c>
      <c r="I60" s="188">
        <v>2</v>
      </c>
      <c r="J60" s="188">
        <f t="shared" si="4"/>
        <v>-5.339139361068292</v>
      </c>
      <c r="K60" s="188">
        <v>2.8722813232690055E-2</v>
      </c>
      <c r="L60" s="188" t="s">
        <v>31</v>
      </c>
      <c r="M60" s="188" t="s">
        <v>31</v>
      </c>
      <c r="N60" s="188" t="s">
        <v>31</v>
      </c>
      <c r="Q60" s="361" t="s">
        <v>857</v>
      </c>
      <c r="R60" s="364">
        <v>4.8</v>
      </c>
      <c r="S60" s="188" t="s">
        <v>275</v>
      </c>
      <c r="T60" s="188">
        <f t="shared" si="5"/>
        <v>4.7999999999999996E-3</v>
      </c>
    </row>
    <row r="61" spans="1:20">
      <c r="A61" s="188" t="s">
        <v>879</v>
      </c>
      <c r="B61" s="188">
        <f t="shared" si="3"/>
        <v>2.9999999999999997E-4</v>
      </c>
      <c r="D61" s="188" t="s">
        <v>37</v>
      </c>
      <c r="E61" s="188" t="s">
        <v>40</v>
      </c>
      <c r="F61" s="188" t="s">
        <v>29</v>
      </c>
      <c r="G61" s="37" t="s">
        <v>59</v>
      </c>
      <c r="H61" s="188" t="s">
        <v>33</v>
      </c>
      <c r="I61" s="188">
        <v>2</v>
      </c>
      <c r="J61" s="188">
        <f t="shared" si="4"/>
        <v>-8.1117280833080727</v>
      </c>
      <c r="K61" s="188">
        <v>2.8722813232690055E-2</v>
      </c>
      <c r="L61" s="188" t="s">
        <v>31</v>
      </c>
      <c r="M61" s="188" t="s">
        <v>31</v>
      </c>
      <c r="N61" s="188" t="s">
        <v>31</v>
      </c>
      <c r="Q61" s="363" t="s">
        <v>862</v>
      </c>
      <c r="R61" s="365">
        <v>300</v>
      </c>
      <c r="S61" s="188" t="s">
        <v>275</v>
      </c>
      <c r="T61" s="188">
        <f>R61*0.000001</f>
        <v>2.9999999999999997E-4</v>
      </c>
    </row>
    <row r="62" spans="1:20">
      <c r="A62" s="323" t="s">
        <v>861</v>
      </c>
      <c r="B62" s="188">
        <f t="shared" si="3"/>
        <v>1.1E-5</v>
      </c>
      <c r="D62" s="188" t="s">
        <v>37</v>
      </c>
      <c r="E62" s="188" t="s">
        <v>40</v>
      </c>
      <c r="F62" s="188" t="s">
        <v>29</v>
      </c>
      <c r="G62" s="37" t="s">
        <v>59</v>
      </c>
      <c r="H62" s="188" t="s">
        <v>33</v>
      </c>
      <c r="I62" s="188">
        <v>2</v>
      </c>
      <c r="J62" s="188">
        <f t="shared" si="4"/>
        <v>-11.417615285165903</v>
      </c>
      <c r="K62" s="188">
        <v>2.8722813232690055E-2</v>
      </c>
      <c r="L62" s="188" t="s">
        <v>31</v>
      </c>
      <c r="M62" s="188" t="s">
        <v>31</v>
      </c>
      <c r="N62" s="188" t="s">
        <v>31</v>
      </c>
      <c r="Q62" s="363" t="s">
        <v>862</v>
      </c>
      <c r="R62" s="365">
        <v>11</v>
      </c>
      <c r="S62" s="188" t="s">
        <v>275</v>
      </c>
      <c r="T62" s="188">
        <f>R62*0.000001</f>
        <v>1.1E-5</v>
      </c>
    </row>
    <row r="63" spans="1:20">
      <c r="A63" s="323" t="s">
        <v>863</v>
      </c>
      <c r="B63" s="188">
        <f t="shared" si="3"/>
        <v>5.4000000000000001E-4</v>
      </c>
      <c r="D63" s="188" t="s">
        <v>37</v>
      </c>
      <c r="E63" s="188" t="s">
        <v>40</v>
      </c>
      <c r="F63" s="188" t="s">
        <v>29</v>
      </c>
      <c r="G63" s="37" t="s">
        <v>59</v>
      </c>
      <c r="H63" s="188" t="s">
        <v>33</v>
      </c>
      <c r="I63" s="188">
        <v>2</v>
      </c>
      <c r="J63" s="188">
        <f t="shared" si="4"/>
        <v>-7.5239414184059541</v>
      </c>
      <c r="K63" s="188">
        <v>2.8722813232690055E-2</v>
      </c>
      <c r="L63" s="188" t="s">
        <v>31</v>
      </c>
      <c r="M63" s="188" t="s">
        <v>31</v>
      </c>
      <c r="N63" s="188" t="s">
        <v>31</v>
      </c>
      <c r="Q63" s="363" t="s">
        <v>862</v>
      </c>
      <c r="R63" s="365">
        <v>540</v>
      </c>
      <c r="S63" s="188" t="s">
        <v>275</v>
      </c>
      <c r="T63" s="188">
        <f>R63*0.000001</f>
        <v>5.4000000000000001E-4</v>
      </c>
    </row>
    <row r="64" spans="1:20">
      <c r="A64" s="323" t="s">
        <v>864</v>
      </c>
      <c r="B64" s="188">
        <f t="shared" si="3"/>
        <v>6.5000000000000006E-3</v>
      </c>
      <c r="D64" s="188" t="s">
        <v>37</v>
      </c>
      <c r="E64" s="188" t="s">
        <v>40</v>
      </c>
      <c r="F64" s="188" t="s">
        <v>29</v>
      </c>
      <c r="G64" s="37" t="s">
        <v>59</v>
      </c>
      <c r="H64" s="188" t="s">
        <v>33</v>
      </c>
      <c r="I64" s="188">
        <v>2</v>
      </c>
      <c r="J64" s="188">
        <f t="shared" si="4"/>
        <v>-5.0359531020805459</v>
      </c>
      <c r="K64" s="188">
        <v>2.8722813232690055E-2</v>
      </c>
      <c r="L64" s="188" t="s">
        <v>31</v>
      </c>
      <c r="M64" s="188" t="s">
        <v>31</v>
      </c>
      <c r="N64" s="188" t="s">
        <v>31</v>
      </c>
      <c r="Q64" s="363" t="s">
        <v>857</v>
      </c>
      <c r="R64" s="364">
        <v>6.5</v>
      </c>
      <c r="S64" s="188" t="s">
        <v>275</v>
      </c>
      <c r="T64" s="188">
        <f t="shared" ref="T64" si="6">R64*0.001</f>
        <v>6.5000000000000006E-3</v>
      </c>
    </row>
    <row r="65" spans="1:20">
      <c r="A65" s="84" t="s">
        <v>880</v>
      </c>
      <c r="B65" s="188">
        <f t="shared" si="3"/>
        <v>3.6000000000000001E-5</v>
      </c>
      <c r="D65" s="188" t="s">
        <v>37</v>
      </c>
      <c r="E65" s="188" t="s">
        <v>40</v>
      </c>
      <c r="F65" s="188" t="s">
        <v>29</v>
      </c>
      <c r="G65" s="37" t="s">
        <v>59</v>
      </c>
      <c r="H65" s="188" t="s">
        <v>33</v>
      </c>
      <c r="I65" s="188">
        <v>2</v>
      </c>
      <c r="J65" s="188">
        <f t="shared" si="4"/>
        <v>-10.231991619508165</v>
      </c>
      <c r="K65" s="188">
        <v>2.8722813232690055E-2</v>
      </c>
      <c r="L65" s="188" t="s">
        <v>31</v>
      </c>
      <c r="M65" s="188" t="s">
        <v>31</v>
      </c>
      <c r="N65" s="188" t="s">
        <v>31</v>
      </c>
      <c r="Q65" s="361" t="s">
        <v>862</v>
      </c>
      <c r="R65" s="366">
        <v>36</v>
      </c>
      <c r="S65" s="188" t="s">
        <v>275</v>
      </c>
      <c r="T65" s="188">
        <f>R65*0.000001</f>
        <v>3.6000000000000001E-5</v>
      </c>
    </row>
    <row r="66" spans="1:20">
      <c r="A66" s="323" t="s">
        <v>865</v>
      </c>
      <c r="B66" s="188">
        <f t="shared" si="3"/>
        <v>3.5E-4</v>
      </c>
      <c r="D66" s="188" t="s">
        <v>37</v>
      </c>
      <c r="E66" s="188" t="s">
        <v>40</v>
      </c>
      <c r="F66" s="188" t="s">
        <v>29</v>
      </c>
      <c r="G66" s="37" t="s">
        <v>59</v>
      </c>
      <c r="H66" s="188" t="s">
        <v>33</v>
      </c>
      <c r="I66" s="188">
        <v>2</v>
      </c>
      <c r="J66" s="188">
        <f t="shared" si="4"/>
        <v>-7.9575774034808147</v>
      </c>
      <c r="K66" s="188">
        <v>2.8722813232690055E-2</v>
      </c>
      <c r="L66" s="188" t="s">
        <v>31</v>
      </c>
      <c r="M66" s="188" t="s">
        <v>31</v>
      </c>
      <c r="N66" s="188" t="s">
        <v>31</v>
      </c>
      <c r="Q66" s="363" t="s">
        <v>862</v>
      </c>
      <c r="R66" s="365">
        <v>350</v>
      </c>
      <c r="S66" s="188" t="s">
        <v>275</v>
      </c>
      <c r="T66" s="188">
        <f>R66*0.000001</f>
        <v>3.5E-4</v>
      </c>
    </row>
    <row r="67" spans="1:20">
      <c r="A67" s="84" t="s">
        <v>881</v>
      </c>
      <c r="B67" s="188">
        <f t="shared" si="3"/>
        <v>1.8E-5</v>
      </c>
      <c r="D67" s="188" t="s">
        <v>37</v>
      </c>
      <c r="E67" s="188" t="s">
        <v>40</v>
      </c>
      <c r="F67" s="188" t="s">
        <v>29</v>
      </c>
      <c r="G67" s="37" t="s">
        <v>59</v>
      </c>
      <c r="H67" s="188" t="s">
        <v>33</v>
      </c>
      <c r="I67" s="188">
        <v>2</v>
      </c>
      <c r="J67" s="188">
        <f t="shared" si="4"/>
        <v>-10.92513880006811</v>
      </c>
      <c r="K67" s="188">
        <v>2.8722813232690055E-2</v>
      </c>
      <c r="L67" s="188" t="s">
        <v>31</v>
      </c>
      <c r="M67" s="188" t="s">
        <v>31</v>
      </c>
      <c r="N67" s="188" t="s">
        <v>31</v>
      </c>
      <c r="Q67" s="361" t="s">
        <v>862</v>
      </c>
      <c r="R67" s="366">
        <v>18</v>
      </c>
      <c r="S67" s="188" t="s">
        <v>275</v>
      </c>
      <c r="T67" s="188">
        <f>R67*0.000001</f>
        <v>1.8E-5</v>
      </c>
    </row>
    <row r="68" spans="1:20">
      <c r="A68" s="84" t="s">
        <v>882</v>
      </c>
      <c r="B68" s="188">
        <f t="shared" si="3"/>
        <v>5.7000000000000002E-3</v>
      </c>
      <c r="D68" s="188" t="s">
        <v>37</v>
      </c>
      <c r="E68" s="188" t="s">
        <v>40</v>
      </c>
      <c r="F68" s="188" t="s">
        <v>29</v>
      </c>
      <c r="G68" s="37" t="s">
        <v>59</v>
      </c>
      <c r="H68" s="188" t="s">
        <v>33</v>
      </c>
      <c r="I68" s="188">
        <v>2</v>
      </c>
      <c r="J68" s="188">
        <f t="shared" si="4"/>
        <v>-5.1672891041416324</v>
      </c>
      <c r="K68" s="188">
        <v>2.8722813232690055E-2</v>
      </c>
      <c r="L68" s="188" t="s">
        <v>31</v>
      </c>
      <c r="M68" s="188" t="s">
        <v>31</v>
      </c>
      <c r="N68" s="188" t="s">
        <v>31</v>
      </c>
      <c r="Q68" s="363" t="s">
        <v>857</v>
      </c>
      <c r="R68" s="364">
        <v>5.7</v>
      </c>
      <c r="S68" s="188" t="s">
        <v>275</v>
      </c>
      <c r="T68" s="188">
        <f>R68*0.001</f>
        <v>5.7000000000000002E-3</v>
      </c>
    </row>
    <row r="69" spans="1:20">
      <c r="A69" s="323" t="s">
        <v>866</v>
      </c>
      <c r="B69" s="188">
        <f t="shared" si="3"/>
        <v>2.9999999999999997E-4</v>
      </c>
      <c r="D69" s="188" t="s">
        <v>37</v>
      </c>
      <c r="E69" s="188" t="s">
        <v>40</v>
      </c>
      <c r="F69" s="188" t="s">
        <v>29</v>
      </c>
      <c r="G69" s="37" t="s">
        <v>59</v>
      </c>
      <c r="H69" s="188" t="s">
        <v>33</v>
      </c>
      <c r="I69" s="188">
        <v>2</v>
      </c>
      <c r="J69" s="188">
        <f t="shared" si="4"/>
        <v>-8.1117280833080727</v>
      </c>
      <c r="K69" s="188">
        <v>2.8722813232690055E-2</v>
      </c>
      <c r="L69" s="188" t="s">
        <v>31</v>
      </c>
      <c r="M69" s="188" t="s">
        <v>31</v>
      </c>
      <c r="N69" s="188" t="s">
        <v>31</v>
      </c>
      <c r="Q69" s="361" t="s">
        <v>862</v>
      </c>
      <c r="R69" s="366">
        <v>300</v>
      </c>
      <c r="S69" s="188" t="s">
        <v>275</v>
      </c>
      <c r="T69" s="188">
        <f>R69*0.000001</f>
        <v>2.9999999999999997E-4</v>
      </c>
    </row>
    <row r="70" spans="1:20">
      <c r="A70" s="323" t="s">
        <v>868</v>
      </c>
      <c r="B70" s="188">
        <f t="shared" si="3"/>
        <v>5.4000000000000001E-4</v>
      </c>
      <c r="D70" s="188" t="s">
        <v>37</v>
      </c>
      <c r="E70" s="188" t="s">
        <v>40</v>
      </c>
      <c r="F70" s="188" t="s">
        <v>29</v>
      </c>
      <c r="G70" s="37" t="s">
        <v>59</v>
      </c>
      <c r="H70" s="188" t="s">
        <v>33</v>
      </c>
      <c r="I70" s="188">
        <v>2</v>
      </c>
      <c r="J70" s="188">
        <f t="shared" si="4"/>
        <v>-7.5239414184059541</v>
      </c>
      <c r="K70" s="188">
        <v>2.8722813232690055E-2</v>
      </c>
      <c r="L70" s="188" t="s">
        <v>31</v>
      </c>
      <c r="M70" s="188" t="s">
        <v>31</v>
      </c>
      <c r="N70" s="188" t="s">
        <v>31</v>
      </c>
      <c r="Q70" s="363" t="s">
        <v>862</v>
      </c>
      <c r="R70" s="365">
        <v>540</v>
      </c>
      <c r="S70" s="188" t="s">
        <v>275</v>
      </c>
      <c r="T70" s="188">
        <f>R70*0.000001</f>
        <v>5.4000000000000001E-4</v>
      </c>
    </row>
    <row r="75" spans="1:20">
      <c r="B75" s="359"/>
      <c r="C75" s="359"/>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1B10-765F-405C-A10E-A504535D8935}">
  <sheetPr>
    <tabColor theme="9"/>
  </sheetPr>
  <dimension ref="A1:U56"/>
  <sheetViews>
    <sheetView topLeftCell="B1" zoomScale="85" zoomScaleNormal="85" workbookViewId="0">
      <selection activeCell="F37" sqref="F37"/>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819</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883</v>
      </c>
      <c r="C4" s="322"/>
      <c r="D4" s="188"/>
      <c r="E4" s="188"/>
      <c r="F4" s="188"/>
      <c r="G4" s="188"/>
      <c r="H4" s="188"/>
      <c r="I4" s="188"/>
      <c r="J4" s="188"/>
      <c r="K4" s="188"/>
      <c r="L4" s="188"/>
      <c r="M4" s="188"/>
      <c r="N4" s="188"/>
      <c r="O4" s="188"/>
      <c r="P4" s="188"/>
      <c r="Q4" s="188"/>
      <c r="R4" s="188"/>
      <c r="S4" s="188"/>
      <c r="T4" s="188"/>
      <c r="U4" s="188"/>
    </row>
    <row r="5" spans="1:21" ht="26.45">
      <c r="A5" s="323" t="s">
        <v>11</v>
      </c>
      <c r="B5" s="324" t="s">
        <v>884</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v>1</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18</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48" t="s">
        <v>819</v>
      </c>
      <c r="B12" s="188">
        <v>1</v>
      </c>
      <c r="C12" s="188" t="s">
        <v>18</v>
      </c>
      <c r="D12" s="188" t="s">
        <v>2</v>
      </c>
      <c r="E12" s="188" t="s">
        <v>29</v>
      </c>
      <c r="F12" s="37" t="s">
        <v>14</v>
      </c>
      <c r="G12" s="188" t="s">
        <v>30</v>
      </c>
      <c r="H12" s="188">
        <v>1</v>
      </c>
      <c r="I12" s="188">
        <v>1</v>
      </c>
      <c r="J12" s="188" t="s">
        <v>31</v>
      </c>
      <c r="K12" s="188" t="s">
        <v>31</v>
      </c>
      <c r="L12" s="188" t="s">
        <v>31</v>
      </c>
      <c r="M12" s="188" t="s">
        <v>31</v>
      </c>
      <c r="N12" s="188"/>
      <c r="O12" s="188" t="s">
        <v>268</v>
      </c>
      <c r="P12" s="188"/>
      <c r="Q12" s="188"/>
      <c r="R12" s="188"/>
      <c r="S12" s="188"/>
      <c r="T12" s="188"/>
      <c r="U12" s="188"/>
    </row>
    <row r="13" spans="1:21">
      <c r="A13" s="373" t="s">
        <v>839</v>
      </c>
      <c r="B13" s="188">
        <v>7.7843999999999997E-2</v>
      </c>
      <c r="C13" s="188" t="s">
        <v>37</v>
      </c>
      <c r="D13" s="188" t="s">
        <v>2</v>
      </c>
      <c r="E13" s="188" t="s">
        <v>29</v>
      </c>
      <c r="F13" s="37" t="s">
        <v>14</v>
      </c>
      <c r="G13" s="188" t="s">
        <v>33</v>
      </c>
      <c r="H13" s="188">
        <v>1</v>
      </c>
      <c r="I13" s="188">
        <f>B13</f>
        <v>7.7843999999999997E-2</v>
      </c>
      <c r="J13" s="188" t="s">
        <v>31</v>
      </c>
      <c r="K13" s="188" t="s">
        <v>31</v>
      </c>
      <c r="L13" s="188" t="s">
        <v>31</v>
      </c>
      <c r="M13" s="188" t="s">
        <v>31</v>
      </c>
      <c r="N13" s="188"/>
      <c r="O13" s="188" t="s">
        <v>268</v>
      </c>
      <c r="P13" s="374" t="s">
        <v>857</v>
      </c>
      <c r="Q13" s="375">
        <v>78</v>
      </c>
      <c r="R13" s="188" t="str">
        <f>C13</f>
        <v>kilogram</v>
      </c>
      <c r="S13" s="188">
        <f>0.001*Q13</f>
        <v>7.8E-2</v>
      </c>
      <c r="T13" s="188"/>
      <c r="U13" s="188"/>
    </row>
    <row r="14" spans="1:21">
      <c r="A14" s="373" t="s">
        <v>869</v>
      </c>
      <c r="B14" s="188">
        <v>9.8095000000000002E-2</v>
      </c>
      <c r="C14" s="188" t="s">
        <v>37</v>
      </c>
      <c r="D14" s="188" t="s">
        <v>2</v>
      </c>
      <c r="E14" s="188" t="s">
        <v>29</v>
      </c>
      <c r="F14" s="37" t="s">
        <v>14</v>
      </c>
      <c r="G14" s="188" t="s">
        <v>33</v>
      </c>
      <c r="H14" s="188">
        <v>1</v>
      </c>
      <c r="I14" s="188">
        <f t="shared" ref="I14:I29" si="0">B14</f>
        <v>9.8095000000000002E-2</v>
      </c>
      <c r="J14" s="188" t="s">
        <v>31</v>
      </c>
      <c r="K14" s="188" t="s">
        <v>31</v>
      </c>
      <c r="L14" s="188" t="s">
        <v>31</v>
      </c>
      <c r="M14" s="188" t="s">
        <v>31</v>
      </c>
      <c r="N14" s="188"/>
      <c r="O14" s="188" t="s">
        <v>268</v>
      </c>
      <c r="P14" s="374" t="s">
        <v>857</v>
      </c>
      <c r="Q14" s="375">
        <v>98</v>
      </c>
      <c r="R14" s="188" t="str">
        <f t="shared" ref="R14:R27" si="1">C14</f>
        <v>kilogram</v>
      </c>
      <c r="S14" s="188">
        <f>0.001*Q14</f>
        <v>9.8000000000000004E-2</v>
      </c>
      <c r="T14" s="188"/>
      <c r="U14" s="188"/>
    </row>
    <row r="15" spans="1:21">
      <c r="A15" s="376" t="s">
        <v>885</v>
      </c>
      <c r="B15" s="188">
        <v>0.26748225000000003</v>
      </c>
      <c r="C15" s="188" t="s">
        <v>37</v>
      </c>
      <c r="D15" s="188" t="s">
        <v>40</v>
      </c>
      <c r="E15" s="188" t="s">
        <v>29</v>
      </c>
      <c r="F15" s="37" t="s">
        <v>59</v>
      </c>
      <c r="G15" s="188" t="s">
        <v>33</v>
      </c>
      <c r="H15" s="188">
        <v>1</v>
      </c>
      <c r="I15" s="188">
        <f t="shared" si="0"/>
        <v>0.26748225000000003</v>
      </c>
      <c r="J15" s="188" t="s">
        <v>31</v>
      </c>
      <c r="K15" s="188" t="s">
        <v>31</v>
      </c>
      <c r="L15" s="188" t="s">
        <v>31</v>
      </c>
      <c r="M15" s="188" t="s">
        <v>31</v>
      </c>
      <c r="N15" s="188"/>
      <c r="O15" s="188" t="s">
        <v>268</v>
      </c>
      <c r="P15" s="374" t="s">
        <v>275</v>
      </c>
      <c r="Q15" s="375">
        <v>0.1</v>
      </c>
      <c r="R15" s="188" t="str">
        <f t="shared" si="1"/>
        <v>kilogram</v>
      </c>
      <c r="S15" s="188">
        <f>Q15</f>
        <v>0.1</v>
      </c>
      <c r="T15" s="188"/>
      <c r="U15" s="188"/>
    </row>
    <row r="16" spans="1:21">
      <c r="A16" s="373" t="s">
        <v>886</v>
      </c>
      <c r="B16" s="188">
        <v>0.31379100000000004</v>
      </c>
      <c r="C16" s="188" t="s">
        <v>37</v>
      </c>
      <c r="D16" s="188" t="s">
        <v>2</v>
      </c>
      <c r="E16" s="188" t="s">
        <v>29</v>
      </c>
      <c r="F16" s="37" t="s">
        <v>14</v>
      </c>
      <c r="G16" s="188" t="s">
        <v>33</v>
      </c>
      <c r="H16" s="188">
        <v>1</v>
      </c>
      <c r="I16" s="188">
        <f t="shared" si="0"/>
        <v>0.31379100000000004</v>
      </c>
      <c r="J16" s="188" t="s">
        <v>31</v>
      </c>
      <c r="K16" s="188" t="s">
        <v>31</v>
      </c>
      <c r="L16" s="188" t="s">
        <v>31</v>
      </c>
      <c r="M16" s="188" t="s">
        <v>31</v>
      </c>
      <c r="N16" s="188"/>
      <c r="O16" s="188" t="s">
        <v>268</v>
      </c>
      <c r="P16" s="374" t="s">
        <v>275</v>
      </c>
      <c r="Q16" s="375">
        <v>0.9</v>
      </c>
      <c r="R16" s="188" t="str">
        <f t="shared" si="1"/>
        <v>kilogram</v>
      </c>
      <c r="S16" s="188">
        <f>Q16</f>
        <v>0.9</v>
      </c>
      <c r="T16" s="188"/>
      <c r="U16" s="188"/>
    </row>
    <row r="17" spans="1:21">
      <c r="A17" s="377" t="s">
        <v>887</v>
      </c>
      <c r="B17" s="188">
        <f>S17</f>
        <v>4.9000000000000002E-2</v>
      </c>
      <c r="C17" s="188" t="s">
        <v>853</v>
      </c>
      <c r="D17" s="188" t="s">
        <v>2</v>
      </c>
      <c r="E17" s="188" t="s">
        <v>29</v>
      </c>
      <c r="F17" s="37" t="s">
        <v>14</v>
      </c>
      <c r="G17" s="188" t="s">
        <v>33</v>
      </c>
      <c r="H17" s="188">
        <v>1</v>
      </c>
      <c r="I17" s="188">
        <f t="shared" si="0"/>
        <v>4.9000000000000002E-2</v>
      </c>
      <c r="J17" s="188" t="s">
        <v>31</v>
      </c>
      <c r="K17" s="188" t="s">
        <v>31</v>
      </c>
      <c r="L17" s="188" t="s">
        <v>31</v>
      </c>
      <c r="M17" s="188" t="s">
        <v>31</v>
      </c>
      <c r="N17" s="188"/>
      <c r="O17" s="188" t="s">
        <v>268</v>
      </c>
      <c r="P17" s="374" t="s">
        <v>857</v>
      </c>
      <c r="Q17" s="375">
        <v>245</v>
      </c>
      <c r="R17" s="188" t="str">
        <f t="shared" si="1"/>
        <v>square meter</v>
      </c>
      <c r="S17" s="188">
        <f>(Q17*0.001)*T17</f>
        <v>4.9000000000000002E-2</v>
      </c>
      <c r="T17" s="354">
        <f>'2A. Reusable'!O37</f>
        <v>0.2</v>
      </c>
      <c r="U17" s="354" t="s">
        <v>888</v>
      </c>
    </row>
    <row r="18" spans="1:21">
      <c r="A18" s="373" t="s">
        <v>889</v>
      </c>
      <c r="B18" s="188">
        <v>0.38606000000000001</v>
      </c>
      <c r="C18" s="188" t="s">
        <v>37</v>
      </c>
      <c r="D18" s="188" t="s">
        <v>2</v>
      </c>
      <c r="E18" s="188" t="s">
        <v>29</v>
      </c>
      <c r="F18" s="37" t="s">
        <v>14</v>
      </c>
      <c r="G18" s="188" t="s">
        <v>33</v>
      </c>
      <c r="H18" s="188">
        <v>1</v>
      </c>
      <c r="I18" s="188">
        <f t="shared" si="0"/>
        <v>0.38606000000000001</v>
      </c>
      <c r="J18" s="188" t="s">
        <v>31</v>
      </c>
      <c r="K18" s="188" t="s">
        <v>31</v>
      </c>
      <c r="L18" s="188" t="s">
        <v>31</v>
      </c>
      <c r="M18" s="188" t="s">
        <v>31</v>
      </c>
      <c r="N18" s="188"/>
      <c r="O18" s="188" t="s">
        <v>268</v>
      </c>
      <c r="P18" s="374" t="s">
        <v>857</v>
      </c>
      <c r="Q18" s="375">
        <v>507</v>
      </c>
      <c r="R18" s="188" t="str">
        <f t="shared" si="1"/>
        <v>kilogram</v>
      </c>
      <c r="S18" s="188">
        <f t="shared" ref="S18:S21" si="2">0.001*Q18</f>
        <v>0.50700000000000001</v>
      </c>
      <c r="T18" s="188"/>
      <c r="U18" s="188"/>
    </row>
    <row r="19" spans="1:21">
      <c r="A19" s="15" t="s">
        <v>890</v>
      </c>
      <c r="B19" s="188">
        <v>3.98E-3</v>
      </c>
      <c r="C19" s="188" t="s">
        <v>37</v>
      </c>
      <c r="D19" s="188" t="s">
        <v>40</v>
      </c>
      <c r="E19" s="188" t="s">
        <v>29</v>
      </c>
      <c r="F19" s="37" t="s">
        <v>35</v>
      </c>
      <c r="G19" s="188" t="s">
        <v>33</v>
      </c>
      <c r="H19" s="188">
        <v>1</v>
      </c>
      <c r="I19" s="188">
        <f t="shared" si="0"/>
        <v>3.98E-3</v>
      </c>
      <c r="J19" s="188" t="s">
        <v>31</v>
      </c>
      <c r="K19" s="188" t="s">
        <v>31</v>
      </c>
      <c r="L19" s="188" t="s">
        <v>31</v>
      </c>
      <c r="M19" s="188" t="s">
        <v>31</v>
      </c>
      <c r="N19" s="323" t="s">
        <v>891</v>
      </c>
      <c r="O19" s="188" t="s">
        <v>268</v>
      </c>
      <c r="P19" s="374" t="s">
        <v>857</v>
      </c>
      <c r="Q19" s="375">
        <v>3</v>
      </c>
      <c r="R19" s="188" t="str">
        <f t="shared" si="1"/>
        <v>kilogram</v>
      </c>
      <c r="S19" s="188">
        <f t="shared" si="2"/>
        <v>3.0000000000000001E-3</v>
      </c>
      <c r="T19" s="188"/>
      <c r="U19" s="188"/>
    </row>
    <row r="20" spans="1:21">
      <c r="A20" s="15" t="s">
        <v>179</v>
      </c>
      <c r="B20" s="188">
        <v>1.592E-2</v>
      </c>
      <c r="C20" s="188" t="s">
        <v>37</v>
      </c>
      <c r="D20" s="188" t="s">
        <v>40</v>
      </c>
      <c r="E20" s="188" t="s">
        <v>29</v>
      </c>
      <c r="F20" s="37" t="s">
        <v>35</v>
      </c>
      <c r="G20" s="188" t="s">
        <v>33</v>
      </c>
      <c r="H20" s="188">
        <v>1</v>
      </c>
      <c r="I20" s="188">
        <f t="shared" si="0"/>
        <v>1.592E-2</v>
      </c>
      <c r="J20" s="188" t="s">
        <v>31</v>
      </c>
      <c r="K20" s="188" t="s">
        <v>31</v>
      </c>
      <c r="L20" s="188" t="s">
        <v>31</v>
      </c>
      <c r="M20" s="188" t="s">
        <v>31</v>
      </c>
      <c r="N20" s="323" t="s">
        <v>892</v>
      </c>
      <c r="O20" s="188" t="s">
        <v>268</v>
      </c>
      <c r="P20" s="374" t="s">
        <v>857</v>
      </c>
      <c r="Q20" s="375">
        <v>16</v>
      </c>
      <c r="R20" s="188" t="str">
        <f t="shared" si="1"/>
        <v>kilogram</v>
      </c>
      <c r="S20" s="188">
        <f t="shared" si="2"/>
        <v>1.6E-2</v>
      </c>
      <c r="T20" s="188"/>
      <c r="U20" s="188"/>
    </row>
    <row r="21" spans="1:21">
      <c r="A21" s="15" t="s">
        <v>179</v>
      </c>
      <c r="B21" s="188">
        <v>2E-3</v>
      </c>
      <c r="C21" s="188" t="s">
        <v>37</v>
      </c>
      <c r="D21" s="188" t="s">
        <v>40</v>
      </c>
      <c r="E21" s="188" t="s">
        <v>29</v>
      </c>
      <c r="F21" s="37" t="s">
        <v>35</v>
      </c>
      <c r="G21" s="188" t="s">
        <v>33</v>
      </c>
      <c r="H21" s="188">
        <v>1</v>
      </c>
      <c r="I21" s="188">
        <f t="shared" si="0"/>
        <v>2E-3</v>
      </c>
      <c r="J21" s="188" t="s">
        <v>31</v>
      </c>
      <c r="K21" s="188" t="s">
        <v>31</v>
      </c>
      <c r="L21" s="188" t="s">
        <v>31</v>
      </c>
      <c r="M21" s="188" t="s">
        <v>31</v>
      </c>
      <c r="N21" s="101" t="s">
        <v>893</v>
      </c>
      <c r="O21" s="188" t="s">
        <v>268</v>
      </c>
      <c r="P21" s="374" t="s">
        <v>857</v>
      </c>
      <c r="Q21" s="375">
        <v>2</v>
      </c>
      <c r="R21" s="188" t="str">
        <f t="shared" si="1"/>
        <v>kilogram</v>
      </c>
      <c r="S21" s="188">
        <f t="shared" si="2"/>
        <v>2E-3</v>
      </c>
      <c r="T21" s="188"/>
      <c r="U21" s="188"/>
    </row>
    <row r="22" spans="1:21">
      <c r="A22" s="376" t="s">
        <v>894</v>
      </c>
      <c r="B22" s="188">
        <v>4.2345067071908438E-2</v>
      </c>
      <c r="C22" s="188" t="s">
        <v>37</v>
      </c>
      <c r="D22" s="188" t="s">
        <v>2</v>
      </c>
      <c r="E22" s="188" t="s">
        <v>29</v>
      </c>
      <c r="F22" s="37" t="s">
        <v>14</v>
      </c>
      <c r="G22" s="188" t="s">
        <v>33</v>
      </c>
      <c r="H22" s="188">
        <v>1</v>
      </c>
      <c r="I22" s="188">
        <f t="shared" si="0"/>
        <v>4.2345067071908438E-2</v>
      </c>
      <c r="J22" s="188" t="s">
        <v>31</v>
      </c>
      <c r="K22" s="188" t="s">
        <v>31</v>
      </c>
      <c r="L22" s="188" t="s">
        <v>31</v>
      </c>
      <c r="M22" s="188" t="s">
        <v>31</v>
      </c>
      <c r="N22" s="323"/>
      <c r="O22" s="188" t="s">
        <v>268</v>
      </c>
      <c r="P22" s="374" t="s">
        <v>275</v>
      </c>
      <c r="Q22" s="375">
        <v>0.04</v>
      </c>
      <c r="R22" s="188" t="str">
        <f t="shared" si="1"/>
        <v>kilogram</v>
      </c>
      <c r="S22" s="188">
        <f>Q22</f>
        <v>0.04</v>
      </c>
      <c r="T22" s="188"/>
      <c r="U22" s="188"/>
    </row>
    <row r="23" spans="1:21">
      <c r="A23" s="373" t="s">
        <v>895</v>
      </c>
      <c r="B23" s="335">
        <f>'2A. Machined casing'!B7</f>
        <v>3.15</v>
      </c>
      <c r="C23" s="188" t="s">
        <v>37</v>
      </c>
      <c r="D23" s="188" t="s">
        <v>2</v>
      </c>
      <c r="E23" s="188" t="s">
        <v>29</v>
      </c>
      <c r="F23" s="37" t="s">
        <v>14</v>
      </c>
      <c r="G23" s="188" t="s">
        <v>33</v>
      </c>
      <c r="H23" s="188">
        <v>1</v>
      </c>
      <c r="I23" s="188">
        <f t="shared" si="0"/>
        <v>3.15</v>
      </c>
      <c r="J23" s="188" t="s">
        <v>31</v>
      </c>
      <c r="K23" s="188" t="s">
        <v>31</v>
      </c>
      <c r="L23" s="188" t="s">
        <v>31</v>
      </c>
      <c r="M23" s="188" t="s">
        <v>31</v>
      </c>
      <c r="N23" s="323" t="s">
        <v>896</v>
      </c>
      <c r="O23" s="188" t="s">
        <v>268</v>
      </c>
      <c r="P23" s="378" t="s">
        <v>275</v>
      </c>
      <c r="Q23" s="375">
        <v>3.08</v>
      </c>
      <c r="R23" s="188" t="str">
        <f t="shared" si="1"/>
        <v>kilogram</v>
      </c>
      <c r="S23" s="188">
        <f>Q23</f>
        <v>3.08</v>
      </c>
      <c r="T23" s="188" t="s">
        <v>897</v>
      </c>
      <c r="U23" s="188"/>
    </row>
    <row r="24" spans="1:21">
      <c r="A24" s="15" t="s">
        <v>898</v>
      </c>
      <c r="B24" s="188">
        <v>6.79E-3</v>
      </c>
      <c r="C24" s="188" t="s">
        <v>37</v>
      </c>
      <c r="D24" s="188" t="s">
        <v>40</v>
      </c>
      <c r="E24" s="188" t="s">
        <v>29</v>
      </c>
      <c r="F24" s="37" t="s">
        <v>82</v>
      </c>
      <c r="G24" s="188" t="s">
        <v>33</v>
      </c>
      <c r="H24" s="188">
        <v>1</v>
      </c>
      <c r="I24" s="188">
        <f t="shared" si="0"/>
        <v>6.79E-3</v>
      </c>
      <c r="J24" s="188" t="s">
        <v>31</v>
      </c>
      <c r="K24" s="188" t="s">
        <v>31</v>
      </c>
      <c r="L24" s="188" t="s">
        <v>31</v>
      </c>
      <c r="M24" s="188" t="s">
        <v>31</v>
      </c>
      <c r="N24" s="323" t="s">
        <v>899</v>
      </c>
      <c r="O24" s="188" t="s">
        <v>268</v>
      </c>
      <c r="P24" s="379" t="s">
        <v>857</v>
      </c>
      <c r="Q24" s="380">
        <v>7</v>
      </c>
      <c r="R24" s="188" t="str">
        <f t="shared" si="1"/>
        <v>kilogram</v>
      </c>
      <c r="S24" s="188">
        <f t="shared" ref="S24:S26" si="3">0.001*Q24</f>
        <v>7.0000000000000001E-3</v>
      </c>
      <c r="T24" s="188"/>
      <c r="U24" s="188"/>
    </row>
    <row r="25" spans="1:21">
      <c r="A25" s="15" t="s">
        <v>900</v>
      </c>
      <c r="B25" s="188">
        <v>1.4550000000000001E-3</v>
      </c>
      <c r="C25" s="188" t="s">
        <v>37</v>
      </c>
      <c r="D25" s="188" t="s">
        <v>40</v>
      </c>
      <c r="E25" s="188" t="s">
        <v>29</v>
      </c>
      <c r="F25" s="37" t="s">
        <v>59</v>
      </c>
      <c r="G25" s="188" t="s">
        <v>33</v>
      </c>
      <c r="H25" s="188">
        <v>1</v>
      </c>
      <c r="I25" s="188">
        <f t="shared" si="0"/>
        <v>1.4550000000000001E-3</v>
      </c>
      <c r="J25" s="188" t="s">
        <v>31</v>
      </c>
      <c r="K25" s="188" t="s">
        <v>31</v>
      </c>
      <c r="L25" s="188" t="s">
        <v>31</v>
      </c>
      <c r="M25" s="188" t="s">
        <v>31</v>
      </c>
      <c r="N25" s="188" t="s">
        <v>901</v>
      </c>
      <c r="O25" s="188" t="s">
        <v>268</v>
      </c>
      <c r="P25" s="379" t="s">
        <v>857</v>
      </c>
      <c r="Q25" s="380">
        <v>1</v>
      </c>
      <c r="R25" s="188" t="str">
        <f t="shared" si="1"/>
        <v>kilogram</v>
      </c>
      <c r="S25" s="188">
        <f t="shared" si="3"/>
        <v>1E-3</v>
      </c>
      <c r="T25" s="188"/>
      <c r="U25" s="188"/>
    </row>
    <row r="26" spans="1:21">
      <c r="A26" s="15" t="s">
        <v>179</v>
      </c>
      <c r="B26" s="188">
        <v>1.4550000000000001E-3</v>
      </c>
      <c r="C26" s="188" t="s">
        <v>37</v>
      </c>
      <c r="D26" s="188" t="s">
        <v>40</v>
      </c>
      <c r="E26" s="188" t="s">
        <v>29</v>
      </c>
      <c r="F26" s="37" t="s">
        <v>35</v>
      </c>
      <c r="G26" s="188" t="s">
        <v>33</v>
      </c>
      <c r="H26" s="188">
        <v>1</v>
      </c>
      <c r="I26" s="188">
        <f t="shared" si="0"/>
        <v>1.4550000000000001E-3</v>
      </c>
      <c r="J26" s="188" t="s">
        <v>31</v>
      </c>
      <c r="K26" s="188" t="s">
        <v>31</v>
      </c>
      <c r="L26" s="188" t="s">
        <v>31</v>
      </c>
      <c r="M26" s="188" t="s">
        <v>31</v>
      </c>
      <c r="N26" s="188" t="s">
        <v>902</v>
      </c>
      <c r="O26" s="188" t="s">
        <v>268</v>
      </c>
      <c r="P26" s="379" t="s">
        <v>857</v>
      </c>
      <c r="Q26" s="380">
        <v>1</v>
      </c>
      <c r="R26" s="188" t="str">
        <f t="shared" si="1"/>
        <v>kilogram</v>
      </c>
      <c r="S26" s="188">
        <f t="shared" si="3"/>
        <v>1E-3</v>
      </c>
      <c r="T26" s="188"/>
      <c r="U26" s="188"/>
    </row>
    <row r="27" spans="1:21">
      <c r="A27" s="381" t="s">
        <v>265</v>
      </c>
      <c r="B27" s="188">
        <f>0.4+0.6</f>
        <v>1</v>
      </c>
      <c r="C27" s="188" t="s">
        <v>39</v>
      </c>
      <c r="D27" s="188" t="s">
        <v>40</v>
      </c>
      <c r="E27" s="188" t="s">
        <v>29</v>
      </c>
      <c r="F27" s="188" t="s">
        <v>14</v>
      </c>
      <c r="G27" s="188" t="s">
        <v>33</v>
      </c>
      <c r="H27" s="188">
        <v>1</v>
      </c>
      <c r="I27" s="188">
        <f t="shared" si="0"/>
        <v>1</v>
      </c>
      <c r="J27" s="188" t="s">
        <v>31</v>
      </c>
      <c r="K27" s="188" t="s">
        <v>31</v>
      </c>
      <c r="L27" s="188" t="s">
        <v>31</v>
      </c>
      <c r="M27" s="188" t="s">
        <v>31</v>
      </c>
      <c r="N27" s="188" t="s">
        <v>903</v>
      </c>
      <c r="O27" s="188" t="s">
        <v>268</v>
      </c>
      <c r="P27" s="378"/>
      <c r="Q27" s="375"/>
      <c r="R27" s="188" t="str">
        <f t="shared" si="1"/>
        <v>kilowatt hour</v>
      </c>
      <c r="S27" s="188"/>
      <c r="T27" s="188"/>
      <c r="U27" s="188"/>
    </row>
    <row r="28" spans="1:21">
      <c r="A28" s="381" t="s">
        <v>265</v>
      </c>
      <c r="B28" s="188">
        <v>1.4</v>
      </c>
      <c r="C28" s="188" t="s">
        <v>39</v>
      </c>
      <c r="D28" s="188" t="s">
        <v>40</v>
      </c>
      <c r="E28" s="188" t="s">
        <v>29</v>
      </c>
      <c r="F28" s="188" t="s">
        <v>14</v>
      </c>
      <c r="G28" s="188" t="s">
        <v>33</v>
      </c>
      <c r="H28" s="188">
        <v>1</v>
      </c>
      <c r="I28" s="188">
        <f t="shared" si="0"/>
        <v>1.4</v>
      </c>
      <c r="J28" s="188" t="s">
        <v>31</v>
      </c>
      <c r="K28" s="188" t="s">
        <v>31</v>
      </c>
      <c r="L28" s="188" t="s">
        <v>31</v>
      </c>
      <c r="M28" s="188" t="s">
        <v>31</v>
      </c>
      <c r="N28" s="188" t="s">
        <v>904</v>
      </c>
      <c r="O28" s="188" t="s">
        <v>268</v>
      </c>
      <c r="P28" s="188"/>
      <c r="Q28" s="188"/>
      <c r="R28" s="188"/>
      <c r="S28" s="188"/>
      <c r="T28" s="188"/>
      <c r="U28" s="188"/>
    </row>
    <row r="29" spans="1:21">
      <c r="A29" s="381" t="s">
        <v>265</v>
      </c>
      <c r="B29" s="188">
        <v>1.5</v>
      </c>
      <c r="C29" s="188" t="s">
        <v>39</v>
      </c>
      <c r="D29" s="188" t="s">
        <v>40</v>
      </c>
      <c r="E29" s="188" t="s">
        <v>29</v>
      </c>
      <c r="F29" s="188" t="s">
        <v>14</v>
      </c>
      <c r="G29" s="188" t="s">
        <v>33</v>
      </c>
      <c r="H29" s="188">
        <v>1</v>
      </c>
      <c r="I29" s="188">
        <f t="shared" si="0"/>
        <v>1.5</v>
      </c>
      <c r="J29" s="188" t="s">
        <v>31</v>
      </c>
      <c r="K29" s="188" t="s">
        <v>31</v>
      </c>
      <c r="L29" s="188" t="s">
        <v>31</v>
      </c>
      <c r="M29" s="188" t="s">
        <v>31</v>
      </c>
      <c r="N29" s="188" t="s">
        <v>905</v>
      </c>
      <c r="O29" s="188" t="s">
        <v>268</v>
      </c>
      <c r="P29" s="188"/>
      <c r="Q29" s="188"/>
      <c r="R29" s="188"/>
      <c r="S29" s="188"/>
      <c r="T29" s="188"/>
      <c r="U29" s="188"/>
    </row>
    <row r="30" spans="1:21" ht="15.6">
      <c r="A30" s="76"/>
      <c r="B30" s="75"/>
      <c r="C30" s="74"/>
      <c r="D30" s="73"/>
      <c r="E30" s="73"/>
      <c r="F30" s="73"/>
      <c r="G30" s="73"/>
      <c r="H30" s="73"/>
      <c r="I30" s="73"/>
      <c r="J30" s="73"/>
      <c r="K30" s="73"/>
      <c r="L30" s="73"/>
      <c r="M30" s="73"/>
      <c r="N30" s="188"/>
      <c r="O30" s="188" t="s">
        <v>906</v>
      </c>
    </row>
    <row r="31" spans="1:21">
      <c r="A31" s="70"/>
      <c r="C31" s="72"/>
      <c r="N31" s="188"/>
      <c r="O31" s="132">
        <f>SUM(B13:B26)-B17+0.245</f>
        <v>4.6122173170719076</v>
      </c>
    </row>
    <row r="32" spans="1:21">
      <c r="A32" s="70"/>
      <c r="C32" s="72"/>
    </row>
    <row r="33" spans="1:14">
      <c r="A33" s="70"/>
      <c r="B33" s="71"/>
    </row>
    <row r="35" spans="1:14">
      <c r="A35" s="70"/>
    </row>
    <row r="37" spans="1:14" ht="15.6">
      <c r="A37" s="58"/>
      <c r="B37" s="122"/>
      <c r="D37" s="17"/>
      <c r="F37" s="68"/>
    </row>
    <row r="38" spans="1:14" ht="15.6">
      <c r="A38" s="69"/>
    </row>
    <row r="39" spans="1:14" ht="15.6">
      <c r="A39" s="69"/>
      <c r="B39" s="16"/>
      <c r="C39" s="16"/>
      <c r="D39" s="16"/>
      <c r="E39" s="16"/>
      <c r="F39" s="16"/>
      <c r="G39" s="16"/>
      <c r="H39" s="16"/>
      <c r="I39" s="16"/>
      <c r="J39" s="16"/>
      <c r="K39" s="16"/>
      <c r="L39" s="16"/>
      <c r="M39" s="16"/>
      <c r="N39" s="16"/>
    </row>
    <row r="40" spans="1:14" ht="15.6">
      <c r="A40" s="67"/>
      <c r="D40" s="17"/>
      <c r="F40" s="68"/>
    </row>
    <row r="41" spans="1:14" ht="15.6">
      <c r="A41" s="67"/>
      <c r="D41" s="17"/>
      <c r="F41" s="68"/>
    </row>
    <row r="42" spans="1:14" ht="15.6">
      <c r="A42" s="67"/>
      <c r="D42" s="17"/>
      <c r="F42" s="68"/>
    </row>
    <row r="43" spans="1:14" ht="15.6">
      <c r="A43" s="67"/>
      <c r="D43" s="17"/>
      <c r="F43" s="68"/>
    </row>
    <row r="44" spans="1:14" ht="15.6">
      <c r="A44" s="67"/>
      <c r="D44" s="17"/>
      <c r="F44" s="68"/>
    </row>
    <row r="45" spans="1:14" ht="15.6">
      <c r="A45" s="67"/>
      <c r="D45" s="17"/>
      <c r="F45" s="68"/>
    </row>
    <row r="46" spans="1:14" ht="15.6">
      <c r="A46" s="67"/>
      <c r="D46" s="17"/>
      <c r="F46" s="68"/>
    </row>
    <row r="47" spans="1:14" ht="15.6">
      <c r="A47" s="67"/>
      <c r="D47" s="17"/>
      <c r="F47" s="68"/>
    </row>
    <row r="48" spans="1:14" ht="15.6">
      <c r="A48" s="67"/>
      <c r="D48" s="17"/>
      <c r="F48" s="68"/>
    </row>
    <row r="49" spans="1:6" ht="15.6">
      <c r="A49" s="67"/>
      <c r="D49" s="17"/>
      <c r="F49" s="68"/>
    </row>
    <row r="50" spans="1:6" ht="15.6">
      <c r="A50" s="67"/>
      <c r="D50" s="17"/>
      <c r="F50" s="68"/>
    </row>
    <row r="51" spans="1:6" ht="15.6">
      <c r="A51" s="67"/>
      <c r="D51" s="17"/>
      <c r="F51" s="68"/>
    </row>
    <row r="52" spans="1:6" ht="15.6">
      <c r="A52" s="67"/>
      <c r="D52" s="17"/>
      <c r="F52" s="68"/>
    </row>
    <row r="53" spans="1:6" ht="15.6">
      <c r="A53" s="67"/>
      <c r="D53" s="17"/>
      <c r="F53" s="68"/>
    </row>
    <row r="54" spans="1:6" ht="15.6">
      <c r="A54" s="17"/>
      <c r="D54" s="17"/>
      <c r="F54" s="68"/>
    </row>
    <row r="55" spans="1:6" ht="15.6">
      <c r="A55" s="17"/>
      <c r="D55" s="17"/>
    </row>
    <row r="56" spans="1:6" ht="15.6">
      <c r="A56" s="67"/>
      <c r="D56" s="17"/>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D189-2FAC-42DC-8D04-88EBCDFE8C9D}">
  <sheetPr>
    <tabColor theme="9"/>
  </sheetPr>
  <dimension ref="A1:T104"/>
  <sheetViews>
    <sheetView topLeftCell="A70" workbookViewId="0">
      <selection activeCell="E108" sqref="E108"/>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0">
      <c r="A1" s="188" t="s">
        <v>0</v>
      </c>
      <c r="B1" s="188">
        <v>13</v>
      </c>
      <c r="C1" s="188"/>
      <c r="D1" s="188"/>
      <c r="E1" s="188"/>
      <c r="F1" s="188"/>
      <c r="G1" s="188"/>
      <c r="H1" s="188"/>
      <c r="I1" s="188"/>
      <c r="J1" s="188"/>
      <c r="K1" s="188"/>
      <c r="L1" s="188"/>
      <c r="M1" s="188"/>
      <c r="N1" s="188"/>
      <c r="O1" s="188"/>
      <c r="P1" s="188"/>
      <c r="Q1" s="188"/>
      <c r="R1" s="188"/>
      <c r="S1" s="188"/>
      <c r="T1" s="188"/>
    </row>
    <row r="2" spans="1:20">
      <c r="A2" s="382" t="s">
        <v>5</v>
      </c>
      <c r="B2" s="383" t="s">
        <v>887</v>
      </c>
      <c r="C2" s="349"/>
      <c r="D2" s="330"/>
      <c r="E2" s="330"/>
      <c r="F2" s="330"/>
      <c r="G2" s="330"/>
      <c r="H2" s="330"/>
      <c r="I2" s="330"/>
      <c r="J2" s="330"/>
      <c r="K2" s="330"/>
      <c r="L2" s="330"/>
      <c r="M2" s="330"/>
      <c r="N2" s="330"/>
      <c r="O2" s="330"/>
      <c r="P2" s="330"/>
      <c r="Q2" s="330"/>
      <c r="R2" s="330"/>
      <c r="S2" s="188"/>
      <c r="T2" s="188"/>
    </row>
    <row r="3" spans="1:20">
      <c r="A3" s="384" t="s">
        <v>7</v>
      </c>
      <c r="B3" s="188" t="s">
        <v>831</v>
      </c>
      <c r="C3" s="322"/>
      <c r="D3" s="188"/>
      <c r="E3" s="188"/>
      <c r="F3" s="188"/>
      <c r="G3" s="188"/>
      <c r="H3" s="188"/>
      <c r="I3" s="188"/>
      <c r="J3" s="188"/>
      <c r="K3" s="188"/>
      <c r="L3" s="188"/>
      <c r="M3" s="188"/>
      <c r="N3" s="188"/>
      <c r="O3" s="188"/>
      <c r="P3" s="188"/>
      <c r="Q3" s="188"/>
      <c r="R3" s="188"/>
      <c r="S3" s="188"/>
      <c r="T3" s="188"/>
    </row>
    <row r="4" spans="1:20">
      <c r="A4" s="384" t="s">
        <v>9</v>
      </c>
      <c r="B4" s="188" t="s">
        <v>907</v>
      </c>
      <c r="C4" s="322"/>
      <c r="D4" s="188"/>
      <c r="E4" s="188"/>
      <c r="F4" s="188"/>
      <c r="G4" s="188"/>
      <c r="H4" s="188"/>
      <c r="I4" s="188"/>
      <c r="J4" s="188"/>
      <c r="K4" s="188"/>
      <c r="L4" s="188"/>
      <c r="M4" s="188"/>
      <c r="N4" s="188"/>
      <c r="O4" s="188"/>
      <c r="P4" s="188"/>
      <c r="Q4" s="188"/>
      <c r="R4" s="188"/>
      <c r="S4" s="188"/>
      <c r="T4" s="188"/>
    </row>
    <row r="5" spans="1:20" ht="12.75" customHeight="1">
      <c r="A5" s="384" t="s">
        <v>11</v>
      </c>
      <c r="B5" s="324" t="s">
        <v>841</v>
      </c>
      <c r="C5" s="188"/>
      <c r="D5" s="188"/>
      <c r="E5" s="188"/>
      <c r="F5" s="188"/>
      <c r="G5" s="188"/>
      <c r="H5" s="188"/>
      <c r="I5" s="188"/>
      <c r="J5" s="188"/>
      <c r="K5" s="188"/>
      <c r="L5" s="188"/>
      <c r="M5" s="188"/>
      <c r="N5" s="188"/>
      <c r="O5" s="188"/>
      <c r="P5" s="188"/>
      <c r="Q5" s="188"/>
      <c r="R5" s="188"/>
      <c r="S5" s="188"/>
      <c r="T5" s="188"/>
    </row>
    <row r="6" spans="1:20">
      <c r="A6" s="384" t="s">
        <v>13</v>
      </c>
      <c r="B6" s="188" t="s">
        <v>14</v>
      </c>
      <c r="C6" s="188"/>
      <c r="D6" s="188"/>
      <c r="E6" s="188"/>
      <c r="F6" s="188"/>
      <c r="G6" s="188"/>
      <c r="H6" s="188"/>
      <c r="I6" s="188"/>
      <c r="J6" s="188"/>
      <c r="K6" s="188"/>
      <c r="L6" s="188"/>
      <c r="M6" s="188"/>
      <c r="N6" s="188"/>
      <c r="O6" s="188"/>
      <c r="P6" s="188"/>
      <c r="Q6" s="188"/>
      <c r="R6" s="188"/>
      <c r="S6" s="188"/>
      <c r="T6" s="188"/>
    </row>
    <row r="7" spans="1:20">
      <c r="A7" s="384" t="s">
        <v>15</v>
      </c>
      <c r="B7" s="188">
        <f>B12</f>
        <v>4.0000000000000001E-3</v>
      </c>
      <c r="C7" s="188"/>
      <c r="D7" s="188"/>
      <c r="E7" s="188"/>
      <c r="F7" s="188"/>
      <c r="G7" s="188"/>
      <c r="H7" s="188"/>
      <c r="I7" s="188"/>
      <c r="J7" s="188"/>
      <c r="K7" s="188"/>
      <c r="L7" s="188"/>
      <c r="M7" s="188"/>
      <c r="N7" s="188"/>
      <c r="O7" s="188"/>
      <c r="P7" s="188"/>
      <c r="Q7" s="188"/>
      <c r="R7" s="188"/>
      <c r="S7" s="188"/>
      <c r="T7" s="188"/>
    </row>
    <row r="8" spans="1:20">
      <c r="A8" s="384" t="s">
        <v>16</v>
      </c>
      <c r="B8" s="188" t="s">
        <v>17</v>
      </c>
      <c r="C8" s="188"/>
      <c r="D8" s="188"/>
      <c r="E8" s="188"/>
      <c r="F8" s="188"/>
      <c r="G8" s="188"/>
      <c r="H8" s="188"/>
      <c r="I8" s="188"/>
      <c r="J8" s="188"/>
      <c r="K8" s="188"/>
      <c r="L8" s="188"/>
      <c r="M8" s="188"/>
      <c r="N8" s="188"/>
      <c r="O8" s="188"/>
      <c r="P8" s="188"/>
      <c r="Q8" s="188"/>
      <c r="R8" s="188"/>
      <c r="S8" s="188"/>
      <c r="T8" s="188"/>
    </row>
    <row r="9" spans="1:20">
      <c r="A9" s="384" t="s">
        <v>18</v>
      </c>
      <c r="B9" s="188" t="s">
        <v>853</v>
      </c>
      <c r="C9" s="188"/>
      <c r="D9" s="188"/>
      <c r="E9" s="188"/>
      <c r="F9" s="188"/>
      <c r="G9" s="188"/>
      <c r="H9" s="188"/>
      <c r="I9" s="188"/>
      <c r="J9" s="188"/>
      <c r="K9" s="188"/>
      <c r="L9" s="188"/>
      <c r="M9" s="188"/>
      <c r="N9" s="188"/>
      <c r="O9" s="188"/>
      <c r="P9" s="188"/>
      <c r="Q9" s="188"/>
      <c r="R9" s="188"/>
      <c r="S9" s="188"/>
      <c r="T9" s="188"/>
    </row>
    <row r="10" spans="1:20">
      <c r="A10" s="385" t="s">
        <v>19</v>
      </c>
      <c r="B10" s="188"/>
      <c r="C10" s="188"/>
      <c r="D10" s="188"/>
      <c r="E10" s="188"/>
      <c r="F10" s="188"/>
      <c r="G10" s="188"/>
      <c r="H10" s="188"/>
      <c r="I10" s="188"/>
      <c r="J10" s="188"/>
      <c r="K10" s="188"/>
      <c r="L10" s="188"/>
      <c r="M10" s="188"/>
      <c r="N10" s="188"/>
      <c r="O10" s="188"/>
      <c r="P10" s="188"/>
      <c r="Q10" s="188"/>
      <c r="R10" s="188"/>
      <c r="S10" s="188"/>
      <c r="T10" s="188"/>
    </row>
    <row r="11" spans="1:20">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row>
    <row r="12" spans="1:20">
      <c r="A12" s="359" t="s">
        <v>887</v>
      </c>
      <c r="B12" s="188">
        <v>4.0000000000000001E-3</v>
      </c>
      <c r="C12" s="188" t="s">
        <v>853</v>
      </c>
      <c r="D12" s="386" t="s">
        <v>2</v>
      </c>
      <c r="E12" s="188" t="s">
        <v>29</v>
      </c>
      <c r="F12" s="37" t="s">
        <v>14</v>
      </c>
      <c r="G12" s="188" t="s">
        <v>30</v>
      </c>
      <c r="H12" s="188">
        <v>1</v>
      </c>
      <c r="I12" s="188">
        <f>B12</f>
        <v>4.0000000000000001E-3</v>
      </c>
      <c r="J12" s="188" t="s">
        <v>31</v>
      </c>
      <c r="K12" s="188" t="s">
        <v>31</v>
      </c>
      <c r="L12" s="188" t="s">
        <v>31</v>
      </c>
      <c r="M12" s="188" t="s">
        <v>31</v>
      </c>
      <c r="N12" s="188"/>
      <c r="O12" s="387"/>
      <c r="P12" s="388"/>
      <c r="Q12" s="188"/>
      <c r="R12" s="188"/>
      <c r="S12" s="188"/>
      <c r="T12" s="188"/>
    </row>
    <row r="13" spans="1:20">
      <c r="A13" s="359" t="s">
        <v>908</v>
      </c>
      <c r="B13" s="188">
        <v>4.0000000000000001E-3</v>
      </c>
      <c r="C13" s="188" t="s">
        <v>37</v>
      </c>
      <c r="D13" s="386" t="s">
        <v>2</v>
      </c>
      <c r="E13" s="188" t="s">
        <v>29</v>
      </c>
      <c r="F13" s="37" t="s">
        <v>14</v>
      </c>
      <c r="G13" s="188" t="s">
        <v>33</v>
      </c>
      <c r="H13" s="188">
        <v>1</v>
      </c>
      <c r="I13" s="188">
        <f t="shared" ref="I13:I14" si="0">B13</f>
        <v>4.0000000000000001E-3</v>
      </c>
      <c r="J13" s="188" t="s">
        <v>31</v>
      </c>
      <c r="K13" s="188" t="s">
        <v>31</v>
      </c>
      <c r="L13" s="188" t="s">
        <v>31</v>
      </c>
      <c r="M13" s="188" t="s">
        <v>31</v>
      </c>
      <c r="N13" s="188"/>
      <c r="O13" s="352" t="s">
        <v>855</v>
      </c>
      <c r="P13" s="188">
        <v>1E-3</v>
      </c>
      <c r="Q13" s="188">
        <f>O37</f>
        <v>0.2</v>
      </c>
      <c r="R13" s="188" t="s">
        <v>909</v>
      </c>
      <c r="S13" s="188">
        <f>P13/Q13</f>
        <v>5.0000000000000001E-3</v>
      </c>
      <c r="T13" s="188" t="s">
        <v>275</v>
      </c>
    </row>
    <row r="14" spans="1:20">
      <c r="A14" s="359" t="s">
        <v>910</v>
      </c>
      <c r="B14" s="188">
        <v>1E-3</v>
      </c>
      <c r="C14" s="188" t="s">
        <v>853</v>
      </c>
      <c r="D14" s="386" t="s">
        <v>2</v>
      </c>
      <c r="E14" s="188" t="s">
        <v>29</v>
      </c>
      <c r="F14" s="37" t="s">
        <v>14</v>
      </c>
      <c r="G14" s="188" t="s">
        <v>33</v>
      </c>
      <c r="H14" s="188">
        <v>1</v>
      </c>
      <c r="I14" s="188">
        <f t="shared" si="0"/>
        <v>1E-3</v>
      </c>
      <c r="J14" s="188" t="s">
        <v>31</v>
      </c>
      <c r="K14" s="188" t="s">
        <v>31</v>
      </c>
      <c r="L14" s="188" t="s">
        <v>31</v>
      </c>
      <c r="M14" s="188" t="s">
        <v>31</v>
      </c>
      <c r="N14" s="188"/>
      <c r="O14" s="188"/>
      <c r="P14" s="188"/>
      <c r="Q14" s="354"/>
      <c r="R14" s="389" t="s">
        <v>911</v>
      </c>
      <c r="S14" s="188"/>
      <c r="T14" s="188"/>
    </row>
    <row r="15" spans="1:20">
      <c r="A15" s="390" t="s">
        <v>844</v>
      </c>
      <c r="B15" s="188">
        <f>P15</f>
        <v>0.03</v>
      </c>
      <c r="C15" s="188" t="s">
        <v>37</v>
      </c>
      <c r="D15" s="188" t="s">
        <v>40</v>
      </c>
      <c r="E15" s="188" t="s">
        <v>29</v>
      </c>
      <c r="F15" s="37" t="s">
        <v>74</v>
      </c>
      <c r="G15" s="188" t="s">
        <v>33</v>
      </c>
      <c r="H15" s="188">
        <v>2</v>
      </c>
      <c r="I15" s="188">
        <f>LN(B15)</f>
        <v>-3.5065578973199818</v>
      </c>
      <c r="J15" s="391">
        <v>0.11236102527122109</v>
      </c>
      <c r="K15" s="188" t="s">
        <v>31</v>
      </c>
      <c r="L15" s="188" t="s">
        <v>31</v>
      </c>
      <c r="M15" s="188" t="s">
        <v>31</v>
      </c>
      <c r="N15" s="188"/>
      <c r="O15" s="379" t="s">
        <v>275</v>
      </c>
      <c r="P15" s="392">
        <v>0.03</v>
      </c>
      <c r="Q15" s="188"/>
      <c r="R15" s="188"/>
      <c r="S15" s="188"/>
      <c r="T15" s="188"/>
    </row>
    <row r="16" spans="1:20">
      <c r="A16" s="390" t="s">
        <v>912</v>
      </c>
      <c r="B16" s="393">
        <f>Q16</f>
        <v>1.6999999999999999E-9</v>
      </c>
      <c r="C16" s="188" t="s">
        <v>37</v>
      </c>
      <c r="D16" s="188" t="s">
        <v>40</v>
      </c>
      <c r="E16" s="188" t="s">
        <v>29</v>
      </c>
      <c r="F16" s="37" t="s">
        <v>59</v>
      </c>
      <c r="G16" s="188" t="s">
        <v>33</v>
      </c>
      <c r="H16" s="188">
        <v>2</v>
      </c>
      <c r="I16" s="188">
        <f t="shared" ref="I16:I17" si="1">LN(B16)</f>
        <v>-20.192637585884242</v>
      </c>
      <c r="J16" s="391">
        <v>0.11236102527122109</v>
      </c>
      <c r="K16" s="188" t="s">
        <v>31</v>
      </c>
      <c r="L16" s="188" t="s">
        <v>31</v>
      </c>
      <c r="M16" s="188" t="s">
        <v>31</v>
      </c>
      <c r="N16" s="188"/>
      <c r="O16" s="394" t="s">
        <v>862</v>
      </c>
      <c r="P16" s="395">
        <v>1.6999999999999999E-3</v>
      </c>
      <c r="Q16" s="393">
        <f>P16*10^(-6)</f>
        <v>1.6999999999999999E-9</v>
      </c>
      <c r="R16" s="188" t="s">
        <v>37</v>
      </c>
      <c r="S16" s="188"/>
      <c r="T16" s="188"/>
    </row>
    <row r="17" spans="1:20">
      <c r="A17" s="390" t="s">
        <v>76</v>
      </c>
      <c r="B17" s="188">
        <f>Q17</f>
        <v>2.9999999999999997E-5</v>
      </c>
      <c r="C17" s="188" t="s">
        <v>42</v>
      </c>
      <c r="D17" s="188" t="s">
        <v>40</v>
      </c>
      <c r="E17" s="188" t="s">
        <v>29</v>
      </c>
      <c r="F17" s="37" t="s">
        <v>74</v>
      </c>
      <c r="G17" s="188" t="s">
        <v>33</v>
      </c>
      <c r="H17" s="188">
        <v>2</v>
      </c>
      <c r="I17" s="188">
        <f t="shared" si="1"/>
        <v>-10.41431317630212</v>
      </c>
      <c r="J17" s="391">
        <v>0.11236102527122109</v>
      </c>
      <c r="K17" s="188" t="s">
        <v>31</v>
      </c>
      <c r="L17" s="188" t="s">
        <v>31</v>
      </c>
      <c r="M17" s="188" t="s">
        <v>31</v>
      </c>
      <c r="N17" s="188"/>
      <c r="O17" s="396" t="s">
        <v>913</v>
      </c>
      <c r="P17" s="397">
        <v>0.03</v>
      </c>
      <c r="Q17" s="188">
        <f>P17/1000</f>
        <v>2.9999999999999997E-5</v>
      </c>
      <c r="R17" s="188" t="s">
        <v>914</v>
      </c>
      <c r="S17" s="188"/>
      <c r="T17" s="188"/>
    </row>
    <row r="18" spans="1:20">
      <c r="A18" s="382" t="s">
        <v>5</v>
      </c>
      <c r="B18" s="383" t="s">
        <v>908</v>
      </c>
      <c r="C18" s="349"/>
      <c r="D18" s="330"/>
      <c r="E18" s="330"/>
      <c r="F18" s="330"/>
      <c r="G18" s="330"/>
      <c r="H18" s="330"/>
      <c r="I18" s="330"/>
      <c r="J18" s="330"/>
      <c r="K18" s="330"/>
      <c r="L18" s="330"/>
      <c r="M18" s="330"/>
      <c r="N18" s="330"/>
      <c r="O18" s="330"/>
      <c r="P18" s="330"/>
      <c r="Q18" s="330"/>
      <c r="R18" s="330"/>
      <c r="S18" s="188"/>
      <c r="T18" s="188"/>
    </row>
    <row r="19" spans="1:20">
      <c r="A19" s="384" t="s">
        <v>7</v>
      </c>
      <c r="B19" s="188" t="s">
        <v>831</v>
      </c>
      <c r="C19" s="322"/>
      <c r="D19" s="188"/>
      <c r="E19" s="188"/>
      <c r="F19" s="188"/>
      <c r="G19" s="188"/>
      <c r="H19" s="188"/>
      <c r="I19" s="188"/>
      <c r="J19" s="188"/>
      <c r="K19" s="188"/>
      <c r="L19" s="188"/>
      <c r="M19" s="188"/>
      <c r="N19" s="188"/>
      <c r="O19" s="188"/>
      <c r="P19" s="188"/>
      <c r="Q19" s="188"/>
      <c r="R19" s="188"/>
      <c r="S19" s="188"/>
      <c r="T19" s="188"/>
    </row>
    <row r="20" spans="1:20">
      <c r="A20" s="384" t="s">
        <v>9</v>
      </c>
      <c r="B20" s="188" t="s">
        <v>915</v>
      </c>
      <c r="C20" s="322"/>
      <c r="D20" s="188"/>
      <c r="E20" s="188"/>
      <c r="F20" s="188"/>
      <c r="G20" s="188"/>
      <c r="H20" s="188"/>
      <c r="I20" s="188"/>
      <c r="J20" s="188"/>
      <c r="K20" s="188"/>
      <c r="L20" s="188"/>
      <c r="M20" s="188"/>
      <c r="N20" s="188"/>
      <c r="O20" s="188"/>
      <c r="P20" s="188"/>
      <c r="Q20" s="188"/>
      <c r="R20" s="188"/>
      <c r="S20" s="188"/>
      <c r="T20" s="188"/>
    </row>
    <row r="21" spans="1:20" ht="10.5" customHeight="1">
      <c r="A21" s="384" t="s">
        <v>11</v>
      </c>
      <c r="B21" s="324" t="s">
        <v>841</v>
      </c>
      <c r="C21" s="188"/>
      <c r="D21" s="188"/>
      <c r="E21" s="188"/>
      <c r="F21" s="188"/>
      <c r="G21" s="188"/>
      <c r="H21" s="188"/>
      <c r="I21" s="188"/>
      <c r="J21" s="188"/>
      <c r="K21" s="188"/>
      <c r="L21" s="188"/>
      <c r="M21" s="188"/>
      <c r="N21" s="188"/>
      <c r="O21" s="188"/>
      <c r="P21" s="188"/>
      <c r="Q21" s="188"/>
      <c r="R21" s="188"/>
      <c r="S21" s="188"/>
      <c r="T21" s="188"/>
    </row>
    <row r="22" spans="1:20">
      <c r="A22" s="384" t="s">
        <v>13</v>
      </c>
      <c r="B22" s="188" t="s">
        <v>14</v>
      </c>
      <c r="C22" s="188"/>
      <c r="D22" s="188"/>
      <c r="E22" s="188"/>
      <c r="F22" s="188"/>
      <c r="G22" s="188"/>
      <c r="H22" s="188"/>
      <c r="I22" s="188"/>
      <c r="J22" s="188"/>
      <c r="K22" s="188"/>
      <c r="L22" s="188"/>
      <c r="M22" s="188"/>
      <c r="N22" s="188"/>
      <c r="O22" s="188"/>
      <c r="P22" s="188"/>
      <c r="Q22" s="188"/>
      <c r="R22" s="188"/>
      <c r="S22" s="188"/>
      <c r="T22" s="188"/>
    </row>
    <row r="23" spans="1:20">
      <c r="A23" s="384" t="s">
        <v>15</v>
      </c>
      <c r="B23" s="188">
        <f>B28</f>
        <v>5.0000000000000001E-3</v>
      </c>
      <c r="C23" s="188"/>
      <c r="D23" s="188"/>
      <c r="E23" s="188"/>
      <c r="F23" s="188"/>
      <c r="G23" s="188"/>
      <c r="H23" s="188"/>
      <c r="I23" s="188"/>
      <c r="J23" s="188"/>
      <c r="K23" s="188"/>
      <c r="L23" s="188"/>
      <c r="M23" s="188"/>
      <c r="N23" s="188"/>
      <c r="O23" s="188"/>
      <c r="P23" s="188"/>
      <c r="Q23" s="188"/>
      <c r="R23" s="188"/>
      <c r="S23" s="188"/>
      <c r="T23" s="188"/>
    </row>
    <row r="24" spans="1:20">
      <c r="A24" s="384" t="s">
        <v>16</v>
      </c>
      <c r="B24" s="188" t="s">
        <v>17</v>
      </c>
      <c r="C24" s="188"/>
      <c r="D24" s="188"/>
      <c r="E24" s="188"/>
      <c r="F24" s="188"/>
      <c r="G24" s="188"/>
      <c r="H24" s="188"/>
      <c r="I24" s="188"/>
      <c r="J24" s="188"/>
      <c r="K24" s="188"/>
      <c r="L24" s="188"/>
      <c r="M24" s="188"/>
      <c r="N24" s="188"/>
      <c r="O24" s="188"/>
      <c r="P24" s="188"/>
      <c r="Q24" s="188"/>
      <c r="R24" s="188"/>
      <c r="S24" s="188"/>
      <c r="T24" s="188"/>
    </row>
    <row r="25" spans="1:20">
      <c r="A25" s="384" t="s">
        <v>18</v>
      </c>
      <c r="B25" s="188" t="s">
        <v>37</v>
      </c>
      <c r="C25" s="188"/>
      <c r="D25" s="188"/>
      <c r="E25" s="188"/>
      <c r="F25" s="188"/>
      <c r="G25" s="188"/>
      <c r="H25" s="188"/>
      <c r="I25" s="188"/>
      <c r="J25" s="188"/>
      <c r="K25" s="188"/>
      <c r="L25" s="188"/>
      <c r="M25" s="188"/>
      <c r="N25" s="188"/>
      <c r="O25" s="188"/>
      <c r="P25" s="188"/>
      <c r="Q25" s="188"/>
      <c r="R25" s="188"/>
      <c r="S25" s="188"/>
      <c r="T25" s="188"/>
    </row>
    <row r="26" spans="1:20">
      <c r="A26" s="385" t="s">
        <v>19</v>
      </c>
      <c r="B26" s="188"/>
      <c r="C26" s="188"/>
      <c r="D26" s="188"/>
      <c r="E26" s="188"/>
      <c r="F26" s="188"/>
      <c r="G26" s="188"/>
      <c r="H26" s="188"/>
      <c r="I26" s="188"/>
      <c r="J26" s="188"/>
      <c r="K26" s="188"/>
      <c r="L26" s="188"/>
      <c r="M26" s="188"/>
      <c r="N26" s="188"/>
      <c r="O26" s="188"/>
      <c r="P26" s="188"/>
      <c r="Q26" s="188"/>
      <c r="R26" s="188"/>
      <c r="S26" s="188"/>
      <c r="T26" s="188"/>
    </row>
    <row r="27" spans="1:20">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188"/>
    </row>
    <row r="28" spans="1:20">
      <c r="A28" s="359" t="s">
        <v>908</v>
      </c>
      <c r="B28" s="188">
        <v>5.0000000000000001E-3</v>
      </c>
      <c r="C28" s="188" t="s">
        <v>37</v>
      </c>
      <c r="D28" s="386" t="s">
        <v>2</v>
      </c>
      <c r="E28" s="188" t="s">
        <v>29</v>
      </c>
      <c r="F28" s="37" t="s">
        <v>14</v>
      </c>
      <c r="G28" s="188" t="s">
        <v>30</v>
      </c>
      <c r="H28" s="188">
        <v>1</v>
      </c>
      <c r="I28" s="188">
        <f>B28</f>
        <v>5.0000000000000001E-3</v>
      </c>
      <c r="J28" s="188" t="s">
        <v>31</v>
      </c>
      <c r="K28" s="188" t="s">
        <v>31</v>
      </c>
      <c r="L28" s="188" t="s">
        <v>31</v>
      </c>
      <c r="M28" s="188" t="s">
        <v>31</v>
      </c>
      <c r="N28" s="188"/>
      <c r="O28" s="188"/>
      <c r="P28" s="188"/>
      <c r="Q28" s="188"/>
      <c r="R28" s="188"/>
      <c r="S28" s="188"/>
      <c r="T28" s="188"/>
    </row>
    <row r="29" spans="1:20">
      <c r="A29" s="390" t="s">
        <v>912</v>
      </c>
      <c r="B29" s="393">
        <f>R29</f>
        <v>5.7000000000000002E-3</v>
      </c>
      <c r="C29" s="188" t="s">
        <v>37</v>
      </c>
      <c r="D29" s="188" t="s">
        <v>40</v>
      </c>
      <c r="E29" s="188" t="s">
        <v>29</v>
      </c>
      <c r="F29" s="37" t="s">
        <v>59</v>
      </c>
      <c r="G29" s="188" t="s">
        <v>33</v>
      </c>
      <c r="H29" s="188">
        <v>2</v>
      </c>
      <c r="I29" s="188">
        <f t="shared" ref="I29:I31" si="2">LN(B29)</f>
        <v>-5.1672891041416324</v>
      </c>
      <c r="J29" s="391">
        <v>0.11236102527122109</v>
      </c>
      <c r="K29" s="188" t="s">
        <v>31</v>
      </c>
      <c r="L29" s="188" t="s">
        <v>31</v>
      </c>
      <c r="M29" s="188" t="s">
        <v>31</v>
      </c>
      <c r="N29" s="188"/>
      <c r="O29" s="379" t="s">
        <v>857</v>
      </c>
      <c r="P29" s="392">
        <v>5.7</v>
      </c>
      <c r="Q29" s="188" t="s">
        <v>275</v>
      </c>
      <c r="R29" s="188">
        <f>P29*0.001</f>
        <v>5.7000000000000002E-3</v>
      </c>
      <c r="S29" s="188"/>
      <c r="T29" s="188"/>
    </row>
    <row r="30" spans="1:20">
      <c r="A30" s="384" t="s">
        <v>265</v>
      </c>
      <c r="B30" s="327">
        <f>P30</f>
        <v>0.02</v>
      </c>
      <c r="C30" s="188" t="s">
        <v>39</v>
      </c>
      <c r="D30" s="188" t="s">
        <v>40</v>
      </c>
      <c r="E30" s="188" t="s">
        <v>29</v>
      </c>
      <c r="F30" s="37" t="s">
        <v>59</v>
      </c>
      <c r="G30" s="188" t="s">
        <v>33</v>
      </c>
      <c r="H30" s="188">
        <v>2</v>
      </c>
      <c r="I30" s="188">
        <f t="shared" si="2"/>
        <v>-3.912023005428146</v>
      </c>
      <c r="J30" s="391">
        <v>0.11236102527122109</v>
      </c>
      <c r="K30" s="188" t="s">
        <v>31</v>
      </c>
      <c r="L30" s="188" t="s">
        <v>31</v>
      </c>
      <c r="M30" s="188" t="s">
        <v>31</v>
      </c>
      <c r="N30" s="188"/>
      <c r="O30" s="379" t="s">
        <v>271</v>
      </c>
      <c r="P30" s="392">
        <v>0.02</v>
      </c>
      <c r="Q30" s="188"/>
      <c r="R30" s="188"/>
      <c r="S30" s="188"/>
      <c r="T30" s="188"/>
    </row>
    <row r="31" spans="1:20">
      <c r="A31" s="390" t="s">
        <v>916</v>
      </c>
      <c r="B31" s="188">
        <f>R31</f>
        <v>2.9999999999999997E-4</v>
      </c>
      <c r="C31" s="188" t="s">
        <v>37</v>
      </c>
      <c r="D31" s="188" t="s">
        <v>43</v>
      </c>
      <c r="E31" s="188" t="s">
        <v>917</v>
      </c>
      <c r="F31" s="37" t="s">
        <v>29</v>
      </c>
      <c r="G31" s="188" t="s">
        <v>45</v>
      </c>
      <c r="H31" s="188">
        <v>2</v>
      </c>
      <c r="I31" s="188">
        <f t="shared" si="2"/>
        <v>-8.1117280833080727</v>
      </c>
      <c r="J31" s="391">
        <v>0.11236102527122109</v>
      </c>
      <c r="K31" s="188" t="s">
        <v>31</v>
      </c>
      <c r="L31" s="188" t="s">
        <v>31</v>
      </c>
      <c r="M31" s="188" t="s">
        <v>31</v>
      </c>
      <c r="N31" s="188"/>
      <c r="O31" s="396" t="s">
        <v>857</v>
      </c>
      <c r="P31" s="397">
        <v>0.3</v>
      </c>
      <c r="Q31" s="188" t="s">
        <v>275</v>
      </c>
      <c r="R31" s="188">
        <f>P31*0.001</f>
        <v>2.9999999999999997E-4</v>
      </c>
      <c r="S31" s="188"/>
      <c r="T31" s="188"/>
    </row>
    <row r="32" spans="1:20">
      <c r="A32" s="382" t="s">
        <v>5</v>
      </c>
      <c r="B32" s="348" t="s">
        <v>910</v>
      </c>
      <c r="C32" s="349"/>
      <c r="D32" s="330"/>
      <c r="E32" s="330"/>
      <c r="F32" s="330"/>
      <c r="G32" s="330"/>
      <c r="H32" s="330"/>
      <c r="I32" s="330"/>
      <c r="J32" s="330"/>
      <c r="K32" s="330"/>
      <c r="L32" s="330"/>
      <c r="M32" s="330"/>
      <c r="N32" s="330"/>
      <c r="O32" s="330"/>
      <c r="P32" s="330"/>
      <c r="Q32" s="330"/>
      <c r="R32" s="330"/>
      <c r="S32" s="188"/>
      <c r="T32" s="188"/>
    </row>
    <row r="33" spans="1:20">
      <c r="A33" s="384" t="s">
        <v>7</v>
      </c>
      <c r="B33" s="188" t="s">
        <v>831</v>
      </c>
      <c r="C33" s="322"/>
      <c r="D33" s="188"/>
      <c r="E33" s="188"/>
      <c r="F33" s="188"/>
      <c r="G33" s="188"/>
      <c r="H33" s="188"/>
      <c r="I33" s="188"/>
      <c r="J33" s="188"/>
      <c r="K33" s="188"/>
      <c r="L33" s="188"/>
      <c r="M33" s="188"/>
      <c r="N33" s="188"/>
      <c r="O33" s="188"/>
      <c r="P33" s="188"/>
      <c r="Q33" s="188"/>
      <c r="R33" s="188"/>
      <c r="S33" s="188"/>
      <c r="T33" s="188"/>
    </row>
    <row r="34" spans="1:20">
      <c r="A34" s="384" t="s">
        <v>9</v>
      </c>
      <c r="B34" s="188" t="s">
        <v>918</v>
      </c>
      <c r="C34" s="322"/>
      <c r="D34" s="188"/>
      <c r="E34" s="188"/>
      <c r="F34" s="188"/>
      <c r="G34" s="188"/>
      <c r="H34" s="188"/>
      <c r="I34" s="188"/>
      <c r="J34" s="188"/>
      <c r="K34" s="188"/>
      <c r="L34" s="188"/>
      <c r="M34" s="188"/>
      <c r="N34" s="188"/>
      <c r="O34" s="188"/>
      <c r="P34" s="188"/>
      <c r="Q34" s="188"/>
      <c r="R34" s="188"/>
      <c r="S34" s="188"/>
      <c r="T34" s="188"/>
    </row>
    <row r="35" spans="1:20" ht="15.75" customHeight="1">
      <c r="A35" s="384" t="s">
        <v>11</v>
      </c>
      <c r="B35" s="324" t="s">
        <v>841</v>
      </c>
      <c r="C35" s="188"/>
      <c r="D35" s="188"/>
      <c r="E35" s="188"/>
      <c r="F35" s="188"/>
      <c r="G35" s="188"/>
      <c r="H35" s="188"/>
      <c r="I35" s="188"/>
      <c r="J35" s="188"/>
      <c r="K35" s="188"/>
      <c r="L35" s="188"/>
      <c r="M35" s="188"/>
      <c r="N35" s="188"/>
      <c r="O35" s="188"/>
      <c r="P35" s="188"/>
      <c r="Q35" s="188"/>
      <c r="R35" s="188"/>
      <c r="S35" s="188"/>
      <c r="T35" s="188"/>
    </row>
    <row r="36" spans="1:20">
      <c r="A36" s="384" t="s">
        <v>13</v>
      </c>
      <c r="B36" s="188" t="s">
        <v>14</v>
      </c>
      <c r="C36" s="188"/>
      <c r="D36" s="188"/>
      <c r="E36" s="188"/>
      <c r="F36" s="188"/>
      <c r="G36" s="188"/>
      <c r="H36" s="188"/>
      <c r="I36" s="188"/>
      <c r="J36" s="188"/>
      <c r="K36" s="188"/>
      <c r="L36" s="188"/>
      <c r="M36" s="188"/>
      <c r="N36" s="188"/>
      <c r="O36" s="367" t="s">
        <v>919</v>
      </c>
      <c r="P36" s="188"/>
      <c r="Q36" s="188"/>
      <c r="R36" s="188"/>
      <c r="S36" s="188"/>
      <c r="T36" s="188"/>
    </row>
    <row r="37" spans="1:20">
      <c r="A37" s="384" t="s">
        <v>15</v>
      </c>
      <c r="B37" s="188">
        <f>B42</f>
        <v>0.05</v>
      </c>
      <c r="C37" s="188"/>
      <c r="D37" s="188"/>
      <c r="E37" s="188"/>
      <c r="F37" s="188"/>
      <c r="G37" s="188"/>
      <c r="H37" s="188"/>
      <c r="I37" s="188"/>
      <c r="J37" s="188"/>
      <c r="K37" s="188"/>
      <c r="L37" s="188"/>
      <c r="M37" s="188"/>
      <c r="N37" s="188"/>
      <c r="O37" s="188">
        <f>0.05/0.25</f>
        <v>0.2</v>
      </c>
      <c r="P37" s="188" t="s">
        <v>888</v>
      </c>
      <c r="Q37" s="188"/>
      <c r="R37" s="188"/>
      <c r="S37" s="188"/>
      <c r="T37" s="188"/>
    </row>
    <row r="38" spans="1:20">
      <c r="A38" s="384" t="s">
        <v>16</v>
      </c>
      <c r="B38" s="188" t="s">
        <v>17</v>
      </c>
      <c r="C38" s="188"/>
      <c r="D38" s="188"/>
      <c r="E38" s="188"/>
      <c r="F38" s="188"/>
      <c r="G38" s="188"/>
      <c r="H38" s="188"/>
      <c r="I38" s="188"/>
      <c r="J38" s="188"/>
      <c r="K38" s="188"/>
      <c r="L38" s="188"/>
      <c r="M38" s="188"/>
      <c r="N38" s="188"/>
      <c r="O38" s="188"/>
      <c r="P38" s="188"/>
      <c r="Q38" s="188"/>
      <c r="R38" s="188"/>
      <c r="S38" s="188"/>
      <c r="T38" s="188"/>
    </row>
    <row r="39" spans="1:20">
      <c r="A39" s="384" t="s">
        <v>18</v>
      </c>
      <c r="B39" s="188" t="s">
        <v>853</v>
      </c>
      <c r="C39" s="188"/>
      <c r="D39" s="188"/>
      <c r="E39" s="188"/>
      <c r="F39" s="188"/>
      <c r="G39" s="188"/>
      <c r="H39" s="188"/>
      <c r="I39" s="188"/>
      <c r="J39" s="188"/>
      <c r="K39" s="188"/>
      <c r="L39" s="188"/>
      <c r="M39" s="188"/>
      <c r="N39" s="188"/>
      <c r="O39" s="188"/>
      <c r="P39" s="188"/>
      <c r="Q39" s="188"/>
      <c r="R39" s="188"/>
      <c r="S39" s="188"/>
      <c r="T39" s="188"/>
    </row>
    <row r="40" spans="1:20">
      <c r="A40" s="385" t="s">
        <v>19</v>
      </c>
      <c r="B40" s="188"/>
      <c r="C40" s="188"/>
      <c r="D40" s="188"/>
      <c r="E40" s="188"/>
      <c r="F40" s="188"/>
      <c r="G40" s="188"/>
      <c r="H40" s="188"/>
      <c r="I40" s="188"/>
      <c r="J40" s="188"/>
      <c r="K40" s="188"/>
      <c r="L40" s="188"/>
      <c r="M40" s="188"/>
      <c r="N40" s="188"/>
      <c r="O40" s="188"/>
      <c r="P40" s="188"/>
      <c r="Q40" s="188"/>
      <c r="R40" s="188"/>
      <c r="S40" s="188"/>
      <c r="T40" s="188"/>
    </row>
    <row r="41" spans="1:20">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c r="O41" s="188"/>
      <c r="P41" s="188"/>
      <c r="Q41" s="188"/>
      <c r="R41" s="188"/>
      <c r="S41" s="188"/>
      <c r="T41" s="188"/>
    </row>
    <row r="42" spans="1:20">
      <c r="A42" s="359" t="s">
        <v>910</v>
      </c>
      <c r="B42" s="188">
        <v>0.05</v>
      </c>
      <c r="C42" s="188" t="s">
        <v>853</v>
      </c>
      <c r="D42" s="386"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row>
    <row r="43" spans="1:20">
      <c r="A43" s="359" t="s">
        <v>920</v>
      </c>
      <c r="B43" s="398">
        <f>B68</f>
        <v>0.25</v>
      </c>
      <c r="C43" s="188" t="s">
        <v>37</v>
      </c>
      <c r="D43" s="386" t="s">
        <v>2</v>
      </c>
      <c r="E43" s="188" t="s">
        <v>29</v>
      </c>
      <c r="F43" s="37" t="s">
        <v>14</v>
      </c>
      <c r="G43" s="188" t="s">
        <v>33</v>
      </c>
      <c r="H43" s="188">
        <v>1</v>
      </c>
      <c r="I43" s="188">
        <f t="shared" si="3"/>
        <v>0.25</v>
      </c>
      <c r="J43" s="188" t="s">
        <v>31</v>
      </c>
      <c r="K43" s="188" t="s">
        <v>31</v>
      </c>
      <c r="L43" s="188" t="s">
        <v>31</v>
      </c>
      <c r="M43" s="188" t="s">
        <v>31</v>
      </c>
      <c r="N43" s="188"/>
      <c r="O43" s="379"/>
      <c r="P43" s="392"/>
      <c r="Q43" s="188"/>
      <c r="R43" s="188"/>
      <c r="S43" s="188"/>
      <c r="T43" s="188"/>
    </row>
    <row r="44" spans="1:20">
      <c r="A44" s="384" t="s">
        <v>265</v>
      </c>
      <c r="B44" s="327">
        <f>P44</f>
        <v>0.09</v>
      </c>
      <c r="C44" s="188" t="s">
        <v>39</v>
      </c>
      <c r="D44" s="188" t="s">
        <v>40</v>
      </c>
      <c r="E44" s="188" t="s">
        <v>29</v>
      </c>
      <c r="F44" s="37" t="s">
        <v>59</v>
      </c>
      <c r="G44" s="188" t="s">
        <v>33</v>
      </c>
      <c r="H44" s="188">
        <v>2</v>
      </c>
      <c r="I44" s="188">
        <f t="shared" ref="I44" si="4">LN(B44)</f>
        <v>-2.4079456086518722</v>
      </c>
      <c r="J44" s="391">
        <v>7.2284161474004766E-2</v>
      </c>
      <c r="K44" s="188" t="s">
        <v>31</v>
      </c>
      <c r="L44" s="188" t="s">
        <v>31</v>
      </c>
      <c r="M44" s="188" t="s">
        <v>31</v>
      </c>
      <c r="N44" s="188"/>
      <c r="O44" s="379" t="s">
        <v>271</v>
      </c>
      <c r="P44" s="392">
        <v>0.09</v>
      </c>
      <c r="Q44" s="188"/>
      <c r="R44" s="188"/>
      <c r="S44" s="188"/>
      <c r="T44" s="188"/>
    </row>
    <row r="45" spans="1:20">
      <c r="A45" s="390" t="s">
        <v>491</v>
      </c>
      <c r="B45" s="188">
        <f>R45</f>
        <v>2E-3</v>
      </c>
      <c r="C45" s="188" t="s">
        <v>37</v>
      </c>
      <c r="D45" s="188" t="s">
        <v>40</v>
      </c>
      <c r="E45" s="188" t="s">
        <v>29</v>
      </c>
      <c r="F45" s="37" t="s">
        <v>59</v>
      </c>
      <c r="G45" s="188" t="s">
        <v>33</v>
      </c>
      <c r="H45" s="188">
        <v>2</v>
      </c>
      <c r="I45" s="188">
        <f>LN(B45)</f>
        <v>-6.2146080984221914</v>
      </c>
      <c r="J45" s="391">
        <v>7.2284161474004766E-2</v>
      </c>
      <c r="K45" s="188" t="s">
        <v>31</v>
      </c>
      <c r="L45" s="188" t="s">
        <v>31</v>
      </c>
      <c r="M45" s="188" t="s">
        <v>31</v>
      </c>
      <c r="N45" s="188"/>
      <c r="O45" s="379" t="s">
        <v>857</v>
      </c>
      <c r="P45" s="392">
        <v>2</v>
      </c>
      <c r="Q45" s="188" t="s">
        <v>275</v>
      </c>
      <c r="R45" s="188">
        <f>P45*0.001</f>
        <v>2E-3</v>
      </c>
      <c r="S45" s="188"/>
      <c r="T45" s="188"/>
    </row>
    <row r="46" spans="1:20">
      <c r="A46" s="390" t="s">
        <v>921</v>
      </c>
      <c r="B46" s="188">
        <f>R46</f>
        <v>4.0000000000000001E-3</v>
      </c>
      <c r="C46" s="188" t="s">
        <v>37</v>
      </c>
      <c r="D46" s="188" t="s">
        <v>40</v>
      </c>
      <c r="E46" s="188" t="s">
        <v>29</v>
      </c>
      <c r="F46" s="37" t="s">
        <v>35</v>
      </c>
      <c r="G46" s="188" t="s">
        <v>33</v>
      </c>
      <c r="H46" s="188">
        <v>2</v>
      </c>
      <c r="I46" s="188">
        <f>LN(B46)</f>
        <v>-5.521460917862246</v>
      </c>
      <c r="J46" s="391">
        <v>7.2284161474004766E-2</v>
      </c>
      <c r="K46" s="188" t="s">
        <v>31</v>
      </c>
      <c r="L46" s="188" t="s">
        <v>31</v>
      </c>
      <c r="M46" s="188" t="s">
        <v>31</v>
      </c>
      <c r="N46" s="188"/>
      <c r="O46" s="379" t="s">
        <v>857</v>
      </c>
      <c r="P46" s="392">
        <v>4</v>
      </c>
      <c r="Q46" s="188" t="s">
        <v>275</v>
      </c>
      <c r="R46" s="188">
        <f>P46*0.001</f>
        <v>4.0000000000000001E-3</v>
      </c>
      <c r="S46" s="188"/>
      <c r="T46" s="188"/>
    </row>
    <row r="47" spans="1:20">
      <c r="A47" s="390" t="s">
        <v>844</v>
      </c>
      <c r="B47" s="188">
        <f>P47</f>
        <v>3.4</v>
      </c>
      <c r="C47" s="188" t="s">
        <v>37</v>
      </c>
      <c r="D47" s="188" t="s">
        <v>40</v>
      </c>
      <c r="E47" s="188" t="s">
        <v>29</v>
      </c>
      <c r="F47" s="37" t="s">
        <v>74</v>
      </c>
      <c r="G47" s="188" t="s">
        <v>33</v>
      </c>
      <c r="H47" s="188">
        <v>2</v>
      </c>
      <c r="I47" s="188">
        <f>LN(B47)</f>
        <v>1.2237754316221157</v>
      </c>
      <c r="J47" s="391">
        <v>7.2284161474004766E-2</v>
      </c>
      <c r="K47" s="188" t="s">
        <v>31</v>
      </c>
      <c r="L47" s="188" t="s">
        <v>31</v>
      </c>
      <c r="M47" s="188" t="s">
        <v>31</v>
      </c>
      <c r="N47" s="188"/>
      <c r="O47" s="379" t="s">
        <v>275</v>
      </c>
      <c r="P47" s="392">
        <v>3.4</v>
      </c>
      <c r="Q47" s="188"/>
      <c r="R47" s="188"/>
      <c r="S47" s="188"/>
      <c r="T47" s="188"/>
    </row>
    <row r="48" spans="1:20">
      <c r="A48" s="390" t="s">
        <v>76</v>
      </c>
      <c r="B48" s="188">
        <f>R48</f>
        <v>3.3999999999999998E-3</v>
      </c>
      <c r="C48" s="188" t="s">
        <v>42</v>
      </c>
      <c r="D48" s="188" t="s">
        <v>40</v>
      </c>
      <c r="E48" s="188" t="s">
        <v>29</v>
      </c>
      <c r="F48" s="37" t="s">
        <v>74</v>
      </c>
      <c r="G48" s="188" t="s">
        <v>33</v>
      </c>
      <c r="H48" s="188">
        <v>2</v>
      </c>
      <c r="I48" s="188">
        <f t="shared" ref="I48" si="5">LN(B48)</f>
        <v>-5.6839798473600212</v>
      </c>
      <c r="J48" s="391">
        <v>7.2284161474004766E-2</v>
      </c>
      <c r="K48" s="188" t="s">
        <v>31</v>
      </c>
      <c r="L48" s="188" t="s">
        <v>31</v>
      </c>
      <c r="M48" s="188" t="s">
        <v>31</v>
      </c>
      <c r="N48" s="188"/>
      <c r="O48" s="396" t="s">
        <v>913</v>
      </c>
      <c r="P48" s="397">
        <v>3.4</v>
      </c>
      <c r="Q48" s="188" t="s">
        <v>274</v>
      </c>
      <c r="R48" s="188">
        <f>P48/1000</f>
        <v>3.3999999999999998E-3</v>
      </c>
      <c r="S48" s="188"/>
      <c r="T48" s="188"/>
    </row>
    <row r="49" spans="1:20">
      <c r="A49" s="382" t="s">
        <v>5</v>
      </c>
      <c r="B49" s="348" t="s">
        <v>922</v>
      </c>
      <c r="C49" s="349"/>
      <c r="D49" s="330"/>
      <c r="E49" s="330"/>
      <c r="F49" s="330"/>
      <c r="G49" s="330"/>
      <c r="H49" s="330"/>
      <c r="I49" s="330"/>
      <c r="J49" s="330"/>
      <c r="K49" s="330"/>
      <c r="L49" s="330"/>
      <c r="M49" s="330"/>
      <c r="N49" s="330"/>
      <c r="O49" s="330"/>
      <c r="P49" s="330"/>
      <c r="Q49" s="330"/>
      <c r="R49" s="330"/>
      <c r="S49" s="188"/>
      <c r="T49" s="188"/>
    </row>
    <row r="50" spans="1:20">
      <c r="A50" s="384" t="s">
        <v>7</v>
      </c>
      <c r="B50" s="188" t="s">
        <v>831</v>
      </c>
      <c r="C50" s="322"/>
      <c r="D50" s="188"/>
      <c r="E50" s="188"/>
      <c r="F50" s="188"/>
      <c r="G50" s="188"/>
      <c r="H50" s="188"/>
      <c r="I50" s="188"/>
      <c r="J50" s="188"/>
      <c r="K50" s="188"/>
      <c r="L50" s="188"/>
      <c r="M50" s="188"/>
      <c r="N50" s="188"/>
      <c r="O50" s="188"/>
      <c r="P50" s="188"/>
      <c r="Q50" s="188"/>
      <c r="R50" s="188"/>
      <c r="S50" s="188"/>
      <c r="T50" s="188"/>
    </row>
    <row r="51" spans="1:20">
      <c r="A51" s="384" t="s">
        <v>9</v>
      </c>
      <c r="B51" s="188" t="s">
        <v>923</v>
      </c>
      <c r="C51" s="322"/>
      <c r="D51" s="188"/>
      <c r="E51" s="188"/>
      <c r="F51" s="188"/>
      <c r="G51" s="188"/>
      <c r="H51" s="188"/>
      <c r="I51" s="188"/>
      <c r="J51" s="188"/>
      <c r="K51" s="188"/>
      <c r="L51" s="188"/>
      <c r="M51" s="188"/>
      <c r="N51" s="188"/>
      <c r="O51" s="188"/>
      <c r="P51" s="188"/>
      <c r="Q51" s="188"/>
      <c r="R51" s="188"/>
      <c r="S51" s="188"/>
      <c r="T51" s="188"/>
    </row>
    <row r="52" spans="1:20" ht="10.5" customHeight="1">
      <c r="A52" s="384" t="s">
        <v>11</v>
      </c>
      <c r="B52" s="324" t="s">
        <v>841</v>
      </c>
      <c r="C52" s="188"/>
      <c r="D52" s="188"/>
      <c r="E52" s="188"/>
      <c r="F52" s="188"/>
      <c r="G52" s="188"/>
      <c r="H52" s="188"/>
      <c r="I52" s="188"/>
      <c r="J52" s="188"/>
      <c r="K52" s="188"/>
      <c r="L52" s="188"/>
      <c r="M52" s="188"/>
      <c r="N52" s="188"/>
      <c r="O52" s="188"/>
      <c r="P52" s="188"/>
      <c r="Q52" s="188"/>
      <c r="R52" s="188"/>
      <c r="S52" s="188"/>
      <c r="T52" s="188"/>
    </row>
    <row r="53" spans="1:20">
      <c r="A53" s="384" t="s">
        <v>13</v>
      </c>
      <c r="B53" s="188" t="s">
        <v>14</v>
      </c>
      <c r="C53" s="188"/>
      <c r="D53" s="188"/>
      <c r="E53" s="188"/>
      <c r="F53" s="188"/>
      <c r="G53" s="188"/>
      <c r="H53" s="188"/>
      <c r="I53" s="188"/>
      <c r="J53" s="188"/>
      <c r="K53" s="188"/>
      <c r="L53" s="188"/>
      <c r="M53" s="188"/>
      <c r="N53" s="188"/>
      <c r="O53" s="188"/>
      <c r="P53" s="188"/>
      <c r="Q53" s="188"/>
      <c r="R53" s="188"/>
      <c r="S53" s="188"/>
      <c r="T53" s="188"/>
    </row>
    <row r="54" spans="1:20">
      <c r="A54" s="384" t="s">
        <v>15</v>
      </c>
      <c r="B54" s="188">
        <v>5.0000000000000001E-3</v>
      </c>
      <c r="C54" s="188"/>
      <c r="D54" s="188"/>
      <c r="E54" s="188"/>
      <c r="F54" s="188"/>
      <c r="G54" s="188"/>
      <c r="H54" s="188"/>
      <c r="I54" s="188"/>
      <c r="J54" s="188"/>
      <c r="K54" s="188"/>
      <c r="L54" s="188"/>
      <c r="M54" s="188"/>
      <c r="N54" s="188"/>
      <c r="O54" s="188"/>
      <c r="P54" s="188"/>
      <c r="Q54" s="188"/>
      <c r="R54" s="188"/>
      <c r="S54" s="188"/>
      <c r="T54" s="188"/>
    </row>
    <row r="55" spans="1:20">
      <c r="A55" s="384" t="s">
        <v>16</v>
      </c>
      <c r="B55" s="188" t="s">
        <v>17</v>
      </c>
      <c r="C55" s="188"/>
      <c r="D55" s="188"/>
      <c r="E55" s="188"/>
      <c r="F55" s="188"/>
      <c r="G55" s="188"/>
      <c r="H55" s="188"/>
      <c r="I55" s="188"/>
      <c r="J55" s="188"/>
      <c r="K55" s="188"/>
      <c r="L55" s="188"/>
      <c r="M55" s="188"/>
      <c r="N55" s="188"/>
      <c r="O55" s="188"/>
      <c r="P55" s="188"/>
      <c r="Q55" s="188"/>
      <c r="R55" s="188"/>
      <c r="S55" s="188"/>
      <c r="T55" s="188"/>
    </row>
    <row r="56" spans="1:20">
      <c r="A56" s="384" t="s">
        <v>18</v>
      </c>
      <c r="B56" s="188" t="s">
        <v>37</v>
      </c>
      <c r="C56" s="188"/>
      <c r="D56" s="188"/>
      <c r="E56" s="188"/>
      <c r="F56" s="188"/>
      <c r="G56" s="188"/>
      <c r="H56" s="188"/>
      <c r="I56" s="188"/>
      <c r="J56" s="188"/>
      <c r="K56" s="188"/>
      <c r="L56" s="188"/>
      <c r="M56" s="188"/>
      <c r="N56" s="188"/>
      <c r="O56" s="188"/>
      <c r="P56" s="188"/>
      <c r="Q56" s="188"/>
      <c r="R56" s="188"/>
      <c r="S56" s="188"/>
      <c r="T56" s="188"/>
    </row>
    <row r="57" spans="1:20">
      <c r="A57" s="385" t="s">
        <v>19</v>
      </c>
      <c r="B57" s="188"/>
      <c r="C57" s="188"/>
      <c r="D57" s="188"/>
      <c r="E57" s="188"/>
      <c r="F57" s="188"/>
      <c r="G57" s="188"/>
      <c r="H57" s="188"/>
      <c r="I57" s="188"/>
      <c r="J57" s="188"/>
      <c r="K57" s="188"/>
      <c r="L57" s="188"/>
      <c r="M57" s="188"/>
      <c r="N57" s="188"/>
      <c r="O57" s="188"/>
      <c r="P57" s="188"/>
      <c r="Q57" s="188"/>
      <c r="R57" s="188"/>
      <c r="S57" s="188"/>
      <c r="T57" s="188"/>
    </row>
    <row r="58" spans="1:20">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c r="O58" s="188"/>
      <c r="P58" s="188"/>
      <c r="Q58" s="188"/>
      <c r="R58" s="188"/>
      <c r="S58" s="188"/>
      <c r="T58" s="188"/>
    </row>
    <row r="59" spans="1:20">
      <c r="A59" s="359" t="s">
        <v>922</v>
      </c>
      <c r="B59" s="398">
        <v>6.0000000000000001E-3</v>
      </c>
      <c r="C59" s="188" t="s">
        <v>37</v>
      </c>
      <c r="D59" s="386" t="s">
        <v>2</v>
      </c>
      <c r="E59" s="188" t="s">
        <v>29</v>
      </c>
      <c r="F59" s="37" t="s">
        <v>14</v>
      </c>
      <c r="G59" s="188" t="s">
        <v>30</v>
      </c>
      <c r="H59" s="188">
        <v>1</v>
      </c>
      <c r="I59" s="188">
        <f>B59</f>
        <v>6.0000000000000001E-3</v>
      </c>
      <c r="J59" s="188" t="s">
        <v>31</v>
      </c>
      <c r="K59" s="188" t="s">
        <v>31</v>
      </c>
      <c r="L59" s="188" t="s">
        <v>31</v>
      </c>
      <c r="M59" s="188" t="s">
        <v>31</v>
      </c>
      <c r="N59" s="188"/>
      <c r="O59" s="192"/>
      <c r="P59" s="399"/>
      <c r="Q59" s="188"/>
      <c r="R59" s="188"/>
      <c r="S59" s="188"/>
      <c r="T59" s="188"/>
    </row>
    <row r="60" spans="1:20">
      <c r="A60" s="390" t="s">
        <v>924</v>
      </c>
      <c r="B60" s="327">
        <f>R60</f>
        <v>6.0000000000000001E-3</v>
      </c>
      <c r="C60" s="188" t="s">
        <v>37</v>
      </c>
      <c r="D60" s="188" t="s">
        <v>40</v>
      </c>
      <c r="E60" s="188" t="s">
        <v>29</v>
      </c>
      <c r="F60" s="37" t="s">
        <v>59</v>
      </c>
      <c r="G60" s="188" t="s">
        <v>33</v>
      </c>
      <c r="H60" s="188">
        <v>2</v>
      </c>
      <c r="I60" s="188">
        <f>LN(B60)</f>
        <v>-5.1159958097540823</v>
      </c>
      <c r="J60" s="188">
        <v>7.2284161474004766E-2</v>
      </c>
      <c r="K60" s="188" t="s">
        <v>31</v>
      </c>
      <c r="L60" s="188" t="s">
        <v>31</v>
      </c>
      <c r="M60" s="188" t="s">
        <v>31</v>
      </c>
      <c r="N60" s="188"/>
      <c r="O60" s="379" t="s">
        <v>857</v>
      </c>
      <c r="P60" s="392">
        <v>6</v>
      </c>
      <c r="Q60" s="188" t="s">
        <v>275</v>
      </c>
      <c r="R60" s="188">
        <f>P60*0.001</f>
        <v>6.0000000000000001E-3</v>
      </c>
      <c r="S60" s="188"/>
      <c r="T60" s="188"/>
    </row>
    <row r="61" spans="1:20">
      <c r="A61" s="384" t="s">
        <v>265</v>
      </c>
      <c r="B61" s="327">
        <f>P61</f>
        <v>0.03</v>
      </c>
      <c r="C61" s="188" t="s">
        <v>39</v>
      </c>
      <c r="D61" s="188" t="s">
        <v>40</v>
      </c>
      <c r="E61" s="188" t="s">
        <v>29</v>
      </c>
      <c r="F61" s="37" t="s">
        <v>35</v>
      </c>
      <c r="G61" s="188" t="s">
        <v>33</v>
      </c>
      <c r="H61" s="188">
        <v>2</v>
      </c>
      <c r="I61" s="188">
        <f t="shared" ref="I61:I62" si="6">LN(B61)</f>
        <v>-3.5065578973199818</v>
      </c>
      <c r="J61" s="188">
        <v>7.2284161474004766E-2</v>
      </c>
      <c r="K61" s="188" t="s">
        <v>31</v>
      </c>
      <c r="L61" s="188" t="s">
        <v>31</v>
      </c>
      <c r="M61" s="188" t="s">
        <v>31</v>
      </c>
      <c r="N61" s="188"/>
      <c r="O61" s="379" t="s">
        <v>271</v>
      </c>
      <c r="P61" s="392">
        <v>0.03</v>
      </c>
      <c r="Q61" s="188"/>
      <c r="R61" s="188"/>
      <c r="S61" s="188"/>
      <c r="T61" s="188"/>
    </row>
    <row r="62" spans="1:20">
      <c r="A62" s="359" t="s">
        <v>835</v>
      </c>
      <c r="B62" s="188">
        <v>0.3</v>
      </c>
      <c r="C62" s="188" t="s">
        <v>37</v>
      </c>
      <c r="D62" s="386" t="s">
        <v>2</v>
      </c>
      <c r="E62" s="188" t="s">
        <v>29</v>
      </c>
      <c r="F62" s="37" t="s">
        <v>74</v>
      </c>
      <c r="G62" s="188" t="s">
        <v>33</v>
      </c>
      <c r="H62" s="188">
        <v>2</v>
      </c>
      <c r="I62" s="188">
        <f t="shared" si="6"/>
        <v>-1.2039728043259361</v>
      </c>
      <c r="J62" s="188">
        <v>7.2284161474004766E-2</v>
      </c>
      <c r="K62" s="188" t="s">
        <v>31</v>
      </c>
      <c r="L62" s="188" t="s">
        <v>31</v>
      </c>
      <c r="M62" s="188" t="s">
        <v>31</v>
      </c>
      <c r="N62" s="188"/>
      <c r="O62" s="188"/>
      <c r="P62" s="188"/>
      <c r="Q62" s="188"/>
      <c r="R62" s="188"/>
      <c r="S62" s="188"/>
      <c r="T62" s="188"/>
    </row>
    <row r="63" spans="1:20" s="17" customFormat="1" ht="15.6">
      <c r="A63" s="382" t="s">
        <v>5</v>
      </c>
      <c r="B63" s="348" t="s">
        <v>920</v>
      </c>
      <c r="C63" s="349"/>
      <c r="D63" s="330"/>
      <c r="E63" s="330"/>
      <c r="F63" s="330"/>
      <c r="G63" s="330"/>
      <c r="H63" s="330"/>
      <c r="I63" s="330"/>
      <c r="J63" s="330"/>
      <c r="K63" s="330"/>
      <c r="L63" s="330"/>
      <c r="M63" s="330"/>
      <c r="N63" s="330"/>
      <c r="O63" s="400"/>
      <c r="P63" s="400"/>
      <c r="Q63" s="400"/>
      <c r="R63" s="400"/>
    </row>
    <row r="64" spans="1:20"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925</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v>0.25</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920</v>
      </c>
      <c r="B73" s="335">
        <v>0.25</v>
      </c>
      <c r="C73" s="188" t="s">
        <v>37</v>
      </c>
      <c r="D73" s="386" t="s">
        <v>2</v>
      </c>
      <c r="E73" s="188" t="s">
        <v>29</v>
      </c>
      <c r="F73" s="37" t="s">
        <v>14</v>
      </c>
      <c r="G73" s="188" t="s">
        <v>30</v>
      </c>
      <c r="H73" s="188">
        <v>1</v>
      </c>
      <c r="I73" s="335">
        <f>B73</f>
        <v>0.25</v>
      </c>
      <c r="J73" s="188" t="s">
        <v>31</v>
      </c>
      <c r="K73" s="188" t="s">
        <v>31</v>
      </c>
      <c r="L73" s="188" t="s">
        <v>31</v>
      </c>
      <c r="M73" s="188" t="s">
        <v>31</v>
      </c>
      <c r="N73" s="188"/>
      <c r="O73" s="180"/>
      <c r="P73" s="401"/>
    </row>
    <row r="74" spans="1:16" s="17" customFormat="1" ht="15.6">
      <c r="A74" s="116" t="s">
        <v>237</v>
      </c>
      <c r="B74" s="327">
        <v>0.25</v>
      </c>
      <c r="C74" s="188" t="s">
        <v>37</v>
      </c>
      <c r="D74" s="188" t="s">
        <v>40</v>
      </c>
      <c r="E74" s="188" t="s">
        <v>29</v>
      </c>
      <c r="F74" s="37" t="s">
        <v>59</v>
      </c>
      <c r="G74" s="188" t="s">
        <v>33</v>
      </c>
      <c r="H74" s="188">
        <v>1</v>
      </c>
      <c r="I74" s="335">
        <f t="shared" ref="I74:I75" si="7">B74</f>
        <v>0.25</v>
      </c>
      <c r="J74" s="188" t="s">
        <v>31</v>
      </c>
      <c r="K74" s="188" t="s">
        <v>31</v>
      </c>
      <c r="L74" s="188" t="s">
        <v>31</v>
      </c>
      <c r="M74" s="188" t="s">
        <v>31</v>
      </c>
      <c r="N74" s="188"/>
      <c r="O74" s="180"/>
      <c r="P74" s="401"/>
    </row>
    <row r="75" spans="1:16" s="17" customFormat="1" ht="15.6">
      <c r="A75" s="116" t="s">
        <v>926</v>
      </c>
      <c r="B75" s="327">
        <f>B74</f>
        <v>0.25</v>
      </c>
      <c r="C75" s="188" t="s">
        <v>37</v>
      </c>
      <c r="D75" s="188" t="s">
        <v>40</v>
      </c>
      <c r="E75" s="188" t="s">
        <v>29</v>
      </c>
      <c r="F75" s="37" t="s">
        <v>59</v>
      </c>
      <c r="G75" s="188" t="s">
        <v>33</v>
      </c>
      <c r="H75" s="188">
        <v>1</v>
      </c>
      <c r="I75" s="335">
        <f t="shared" si="7"/>
        <v>0.25</v>
      </c>
      <c r="J75" s="188" t="s">
        <v>31</v>
      </c>
      <c r="K75" s="188" t="s">
        <v>31</v>
      </c>
      <c r="L75" s="188" t="s">
        <v>31</v>
      </c>
      <c r="M75" s="188" t="s">
        <v>31</v>
      </c>
      <c r="N75" s="188"/>
      <c r="O75" s="180"/>
      <c r="P75" s="401"/>
    </row>
    <row r="76" spans="1:16" s="400" customFormat="1" ht="15.6">
      <c r="A76" s="347" t="s">
        <v>5</v>
      </c>
      <c r="B76" s="348" t="s">
        <v>927</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928</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03">
        <f>B86</f>
        <v>0.63</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927</v>
      </c>
      <c r="B86" s="335">
        <v>0.63</v>
      </c>
      <c r="C86" s="188" t="s">
        <v>37</v>
      </c>
      <c r="D86" s="386" t="s">
        <v>2</v>
      </c>
      <c r="E86" s="188" t="s">
        <v>29</v>
      </c>
      <c r="F86" s="188" t="s">
        <v>14</v>
      </c>
      <c r="G86" s="188" t="s">
        <v>929</v>
      </c>
      <c r="H86" s="188">
        <v>1</v>
      </c>
      <c r="I86" s="335">
        <f>B86</f>
        <v>0.63</v>
      </c>
      <c r="J86" s="188" t="s">
        <v>31</v>
      </c>
      <c r="K86" s="188" t="s">
        <v>31</v>
      </c>
      <c r="L86" s="188" t="s">
        <v>31</v>
      </c>
      <c r="M86" s="188" t="s">
        <v>31</v>
      </c>
      <c r="N86" s="188"/>
      <c r="O86" s="180"/>
      <c r="P86" s="401"/>
    </row>
    <row r="87" spans="1:19" s="17" customFormat="1" ht="15.6">
      <c r="A87" s="84" t="s">
        <v>755</v>
      </c>
      <c r="B87" s="335">
        <v>0.63</v>
      </c>
      <c r="C87" s="188" t="s">
        <v>37</v>
      </c>
      <c r="D87" s="188" t="s">
        <v>40</v>
      </c>
      <c r="E87" s="188" t="s">
        <v>29</v>
      </c>
      <c r="F87" s="37" t="s">
        <v>59</v>
      </c>
      <c r="G87" s="188" t="s">
        <v>33</v>
      </c>
      <c r="H87" s="188">
        <v>1</v>
      </c>
      <c r="I87" s="335">
        <f t="shared" ref="I87:I89" si="8">B87</f>
        <v>0.63</v>
      </c>
      <c r="J87" s="188" t="s">
        <v>31</v>
      </c>
      <c r="K87" s="188" t="s">
        <v>31</v>
      </c>
      <c r="L87" s="188" t="s">
        <v>31</v>
      </c>
      <c r="M87" s="188" t="s">
        <v>31</v>
      </c>
      <c r="N87" s="188"/>
      <c r="O87" s="180"/>
      <c r="P87" s="401"/>
    </row>
    <row r="88" spans="1:19" s="17" customFormat="1" ht="15.6">
      <c r="A88" s="84" t="s">
        <v>930</v>
      </c>
      <c r="B88" s="335">
        <v>0.63</v>
      </c>
      <c r="C88" s="188" t="s">
        <v>37</v>
      </c>
      <c r="D88" s="188" t="s">
        <v>40</v>
      </c>
      <c r="E88" s="188" t="s">
        <v>29</v>
      </c>
      <c r="F88" s="37" t="s">
        <v>59</v>
      </c>
      <c r="G88" s="188" t="s">
        <v>33</v>
      </c>
      <c r="H88" s="188">
        <v>1</v>
      </c>
      <c r="I88" s="335">
        <f t="shared" si="8"/>
        <v>0.63</v>
      </c>
      <c r="J88" s="188" t="s">
        <v>31</v>
      </c>
      <c r="K88" s="188" t="s">
        <v>31</v>
      </c>
      <c r="L88" s="188" t="s">
        <v>31</v>
      </c>
      <c r="M88" s="188" t="s">
        <v>31</v>
      </c>
      <c r="N88" s="188"/>
      <c r="O88" s="180"/>
      <c r="P88" s="401"/>
    </row>
    <row r="89" spans="1:19" s="17" customFormat="1" ht="15.6">
      <c r="A89" s="84" t="s">
        <v>931</v>
      </c>
      <c r="B89" s="335">
        <v>0.63</v>
      </c>
      <c r="C89" s="188" t="s">
        <v>37</v>
      </c>
      <c r="D89" s="188" t="s">
        <v>40</v>
      </c>
      <c r="E89" s="188" t="s">
        <v>29</v>
      </c>
      <c r="F89" s="37" t="s">
        <v>35</v>
      </c>
      <c r="G89" s="188" t="s">
        <v>33</v>
      </c>
      <c r="H89" s="188">
        <v>1</v>
      </c>
      <c r="I89" s="335">
        <f t="shared" si="8"/>
        <v>0.63</v>
      </c>
      <c r="J89" s="188" t="s">
        <v>31</v>
      </c>
      <c r="K89" s="188" t="s">
        <v>31</v>
      </c>
      <c r="L89" s="188" t="s">
        <v>31</v>
      </c>
      <c r="M89" s="188" t="s">
        <v>31</v>
      </c>
      <c r="N89" s="188"/>
      <c r="O89" s="180"/>
      <c r="P89" s="401"/>
    </row>
    <row r="90" spans="1:19" s="17" customFormat="1" ht="15.6">
      <c r="A90" s="347" t="s">
        <v>5</v>
      </c>
      <c r="B90" s="348" t="s">
        <v>894</v>
      </c>
      <c r="C90" s="349"/>
      <c r="D90" s="33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932</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188">
        <f>B100</f>
        <v>0.63</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192" t="s">
        <v>894</v>
      </c>
      <c r="B100" s="192">
        <v>0.63</v>
      </c>
      <c r="C100" s="188" t="s">
        <v>37</v>
      </c>
      <c r="D100" s="188" t="s">
        <v>2</v>
      </c>
      <c r="E100" s="188" t="s">
        <v>29</v>
      </c>
      <c r="F100" s="37" t="s">
        <v>14</v>
      </c>
      <c r="G100" s="188" t="s">
        <v>30</v>
      </c>
      <c r="H100" s="188">
        <v>1</v>
      </c>
      <c r="I100" s="188">
        <f>B100</f>
        <v>0.63</v>
      </c>
      <c r="J100" s="188" t="s">
        <v>31</v>
      </c>
      <c r="K100" s="188" t="s">
        <v>31</v>
      </c>
      <c r="L100" s="188" t="s">
        <v>31</v>
      </c>
      <c r="M100" s="188" t="s">
        <v>31</v>
      </c>
      <c r="N100" s="188"/>
    </row>
    <row r="101" spans="1:14" s="17" customFormat="1" ht="15.6">
      <c r="A101" s="192" t="s">
        <v>927</v>
      </c>
      <c r="B101" s="192">
        <v>0.63</v>
      </c>
      <c r="C101" s="188" t="s">
        <v>37</v>
      </c>
      <c r="D101" s="188" t="s">
        <v>2</v>
      </c>
      <c r="E101" s="188" t="s">
        <v>29</v>
      </c>
      <c r="F101" s="37" t="s">
        <v>14</v>
      </c>
      <c r="G101" s="188" t="s">
        <v>33</v>
      </c>
      <c r="H101" s="188">
        <v>1</v>
      </c>
      <c r="I101" s="188">
        <f>B101</f>
        <v>0.63</v>
      </c>
      <c r="J101" s="188" t="s">
        <v>31</v>
      </c>
      <c r="K101" s="188" t="s">
        <v>31</v>
      </c>
      <c r="L101" s="188" t="s">
        <v>31</v>
      </c>
      <c r="M101" s="188" t="s">
        <v>31</v>
      </c>
      <c r="N101" s="188"/>
    </row>
    <row r="102" spans="1:14" s="17" customFormat="1" ht="15.6">
      <c r="A102" s="105" t="s">
        <v>933</v>
      </c>
      <c r="B102" s="188">
        <v>4.0000000000000001E-3</v>
      </c>
      <c r="C102" s="188" t="s">
        <v>37</v>
      </c>
      <c r="D102" s="188" t="s">
        <v>40</v>
      </c>
      <c r="E102" s="188" t="s">
        <v>29</v>
      </c>
      <c r="F102" s="37" t="s">
        <v>82</v>
      </c>
      <c r="G102" s="188" t="s">
        <v>33</v>
      </c>
      <c r="H102" s="188">
        <v>1</v>
      </c>
      <c r="I102" s="188">
        <f t="shared" ref="I102:I104" si="9">B102</f>
        <v>4.0000000000000001E-3</v>
      </c>
      <c r="J102" s="188" t="s">
        <v>31</v>
      </c>
      <c r="K102" s="188" t="s">
        <v>31</v>
      </c>
      <c r="L102" s="188" t="s">
        <v>31</v>
      </c>
      <c r="M102" s="188" t="s">
        <v>31</v>
      </c>
      <c r="N102" s="188"/>
    </row>
    <row r="103" spans="1:14" s="17" customFormat="1" ht="15.6">
      <c r="A103" s="105" t="s">
        <v>934</v>
      </c>
      <c r="B103" s="188">
        <v>0.08</v>
      </c>
      <c r="C103" s="188" t="s">
        <v>853</v>
      </c>
      <c r="D103" s="188" t="s">
        <v>40</v>
      </c>
      <c r="E103" s="188" t="s">
        <v>29</v>
      </c>
      <c r="F103" s="37" t="s">
        <v>59</v>
      </c>
      <c r="G103" s="188" t="s">
        <v>33</v>
      </c>
      <c r="H103" s="188">
        <v>1</v>
      </c>
      <c r="I103" s="188">
        <f t="shared" si="9"/>
        <v>0.08</v>
      </c>
      <c r="J103" s="188" t="s">
        <v>31</v>
      </c>
      <c r="K103" s="188" t="s">
        <v>31</v>
      </c>
      <c r="L103" s="188" t="s">
        <v>31</v>
      </c>
      <c r="M103" s="188" t="s">
        <v>31</v>
      </c>
      <c r="N103" s="188"/>
    </row>
    <row r="104" spans="1:14" s="17" customFormat="1" ht="15.6">
      <c r="A104" s="105" t="s">
        <v>935</v>
      </c>
      <c r="B104" s="188">
        <v>4.0000000000000001E-3</v>
      </c>
      <c r="C104" s="188" t="s">
        <v>37</v>
      </c>
      <c r="D104" s="188" t="s">
        <v>40</v>
      </c>
      <c r="E104" s="188" t="s">
        <v>29</v>
      </c>
      <c r="F104" s="37" t="s">
        <v>59</v>
      </c>
      <c r="G104" s="188" t="s">
        <v>33</v>
      </c>
      <c r="H104" s="188">
        <v>1</v>
      </c>
      <c r="I104" s="188">
        <f t="shared" si="9"/>
        <v>4.0000000000000001E-3</v>
      </c>
      <c r="J104" s="188" t="s">
        <v>31</v>
      </c>
      <c r="K104" s="188" t="s">
        <v>31</v>
      </c>
      <c r="L104" s="188" t="s">
        <v>31</v>
      </c>
      <c r="M104" s="188" t="s">
        <v>31</v>
      </c>
      <c r="N104" s="188"/>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E6B79-1C50-445F-B64F-4D0AD9C7BB6F}">
  <sheetPr>
    <tabColor theme="9"/>
  </sheetPr>
  <dimension ref="A1:W47"/>
  <sheetViews>
    <sheetView zoomScale="85" zoomScaleNormal="85" workbookViewId="0">
      <selection activeCell="A12" sqref="A12"/>
    </sheetView>
  </sheetViews>
  <sheetFormatPr defaultRowHeight="14.45"/>
  <cols>
    <col min="1" max="1" width="44.7109375" customWidth="1"/>
    <col min="2" max="2" width="13.5703125" customWidth="1"/>
    <col min="4" max="4" width="23.42578125" customWidth="1"/>
    <col min="7" max="7" width="12.7109375" customWidth="1"/>
  </cols>
  <sheetData>
    <row r="1" spans="1:23">
      <c r="A1" s="188" t="s">
        <v>0</v>
      </c>
      <c r="B1" s="188">
        <v>13</v>
      </c>
      <c r="C1" s="188"/>
      <c r="D1" s="188"/>
      <c r="E1" s="188"/>
      <c r="F1" s="188"/>
      <c r="G1" s="188"/>
      <c r="H1" s="188"/>
      <c r="I1" s="188"/>
      <c r="J1" s="188"/>
      <c r="K1" s="188"/>
      <c r="L1" s="188"/>
      <c r="M1" s="188"/>
      <c r="N1" s="188"/>
      <c r="O1" s="188"/>
      <c r="P1" s="188"/>
      <c r="Q1" s="188"/>
      <c r="R1" s="188"/>
      <c r="S1" s="188"/>
      <c r="T1" s="188"/>
      <c r="U1" s="188"/>
    </row>
    <row r="2" spans="1:23" s="73" customFormat="1">
      <c r="A2" s="347" t="s">
        <v>5</v>
      </c>
      <c r="B2" s="348" t="s">
        <v>889</v>
      </c>
      <c r="C2" s="330"/>
      <c r="D2" s="330"/>
      <c r="E2" s="330"/>
      <c r="F2" s="330"/>
      <c r="G2" s="330"/>
      <c r="H2" s="330"/>
      <c r="I2" s="330"/>
      <c r="J2" s="330"/>
      <c r="K2" s="330"/>
      <c r="L2" s="330"/>
      <c r="M2" s="330"/>
      <c r="N2" s="330"/>
      <c r="O2" s="330"/>
      <c r="P2" s="330"/>
      <c r="Q2" s="330"/>
      <c r="R2" s="330"/>
      <c r="S2" s="330"/>
      <c r="T2" s="330"/>
      <c r="U2" s="330"/>
    </row>
    <row r="3" spans="1:23">
      <c r="A3" s="323" t="s">
        <v>7</v>
      </c>
      <c r="B3" s="188" t="s">
        <v>831</v>
      </c>
      <c r="C3" s="322"/>
      <c r="D3" s="188"/>
      <c r="E3" s="188"/>
      <c r="F3" s="188"/>
      <c r="G3" s="188"/>
      <c r="H3" s="188"/>
      <c r="I3" s="188"/>
      <c r="J3" s="188"/>
      <c r="K3" s="188"/>
      <c r="L3" s="188"/>
      <c r="M3" s="188"/>
      <c r="N3" s="188"/>
      <c r="O3" s="188"/>
      <c r="P3" s="188"/>
      <c r="Q3" s="188"/>
      <c r="R3" s="188"/>
      <c r="S3" s="188"/>
      <c r="T3" s="188"/>
      <c r="U3" s="188"/>
    </row>
    <row r="4" spans="1:23">
      <c r="A4" s="402" t="s">
        <v>9</v>
      </c>
      <c r="B4" s="188" t="s">
        <v>936</v>
      </c>
      <c r="C4" s="322"/>
      <c r="D4" s="188"/>
      <c r="E4" s="188"/>
      <c r="F4" s="188"/>
      <c r="G4" s="188"/>
      <c r="H4" s="188"/>
      <c r="I4" s="188"/>
      <c r="J4" s="188"/>
      <c r="K4" s="188"/>
      <c r="L4" s="188"/>
      <c r="M4" s="188"/>
      <c r="N4" s="188"/>
      <c r="O4" s="188"/>
      <c r="P4" s="188"/>
      <c r="Q4" s="188"/>
      <c r="R4" s="188"/>
      <c r="S4" s="188"/>
      <c r="T4" s="188"/>
      <c r="U4" s="188"/>
    </row>
    <row r="5" spans="1:23" ht="15.7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3">
      <c r="A6" s="323" t="s">
        <v>13</v>
      </c>
      <c r="B6" s="188" t="s">
        <v>14</v>
      </c>
      <c r="C6" s="188"/>
      <c r="D6" s="188"/>
      <c r="E6" s="188"/>
      <c r="F6" s="188"/>
      <c r="G6" s="188"/>
      <c r="H6" s="188"/>
      <c r="I6" s="188"/>
      <c r="J6" s="188"/>
      <c r="K6" s="188"/>
      <c r="L6" s="188"/>
      <c r="M6" s="188"/>
      <c r="N6" s="188"/>
      <c r="O6" s="188"/>
      <c r="P6" s="188"/>
      <c r="Q6" s="188"/>
      <c r="R6" s="188"/>
      <c r="S6" s="188"/>
      <c r="T6" s="188"/>
      <c r="U6" s="188"/>
    </row>
    <row r="7" spans="1:23">
      <c r="A7" s="323" t="s">
        <v>15</v>
      </c>
      <c r="B7" s="393">
        <f>B12</f>
        <v>0.04</v>
      </c>
      <c r="C7" s="188"/>
      <c r="D7" s="188"/>
      <c r="E7" s="188"/>
      <c r="F7" s="188"/>
      <c r="G7" s="188"/>
      <c r="H7" s="188"/>
      <c r="I7" s="188"/>
      <c r="J7" s="188"/>
      <c r="K7" s="188"/>
      <c r="L7" s="188"/>
      <c r="M7" s="188"/>
      <c r="N7" s="188"/>
      <c r="O7" s="188"/>
      <c r="P7" s="188"/>
      <c r="Q7" s="188"/>
      <c r="R7" s="321" t="s">
        <v>937</v>
      </c>
      <c r="S7" s="188"/>
      <c r="T7" s="188"/>
      <c r="U7" s="188"/>
    </row>
    <row r="8" spans="1:23">
      <c r="A8" s="323" t="s">
        <v>16</v>
      </c>
      <c r="B8" s="188" t="s">
        <v>17</v>
      </c>
      <c r="C8" s="188"/>
      <c r="D8" s="188"/>
      <c r="E8" s="188"/>
      <c r="F8" s="188"/>
      <c r="G8" s="188"/>
      <c r="H8" s="188"/>
      <c r="I8" s="188"/>
      <c r="J8" s="188"/>
      <c r="K8" s="188"/>
      <c r="L8" s="188"/>
      <c r="M8" s="188"/>
      <c r="N8" s="188"/>
      <c r="O8" s="188"/>
      <c r="P8" s="188"/>
      <c r="Q8" s="188"/>
      <c r="R8" s="188" t="s">
        <v>938</v>
      </c>
      <c r="S8" s="188">
        <v>8900</v>
      </c>
      <c r="T8" s="188" t="s">
        <v>939</v>
      </c>
      <c r="U8" s="188"/>
    </row>
    <row r="9" spans="1:23">
      <c r="A9" s="323" t="s">
        <v>18</v>
      </c>
      <c r="B9" s="188" t="s">
        <v>37</v>
      </c>
      <c r="C9" s="188"/>
      <c r="D9" s="188"/>
      <c r="E9" s="188"/>
      <c r="F9" s="188"/>
      <c r="G9" s="188"/>
      <c r="H9" s="188"/>
      <c r="I9" s="188"/>
      <c r="J9" s="188"/>
      <c r="K9" s="188"/>
      <c r="L9" s="188"/>
      <c r="M9" s="188"/>
      <c r="N9" s="188"/>
      <c r="O9" s="188"/>
      <c r="P9" s="188"/>
      <c r="Q9" s="188"/>
      <c r="R9" s="188" t="s">
        <v>940</v>
      </c>
      <c r="S9" s="188">
        <f>5*10^-6</f>
        <v>4.9999999999999996E-6</v>
      </c>
      <c r="T9" s="188" t="s">
        <v>941</v>
      </c>
      <c r="U9" s="188"/>
    </row>
    <row r="10" spans="1:23">
      <c r="A10" s="320" t="s">
        <v>19</v>
      </c>
      <c r="B10" s="188"/>
      <c r="C10" s="188"/>
      <c r="D10" s="188"/>
      <c r="E10" s="188"/>
      <c r="F10" s="188"/>
      <c r="G10" s="188"/>
      <c r="H10" s="188"/>
      <c r="I10" s="188"/>
      <c r="J10" s="188"/>
      <c r="K10" s="188"/>
      <c r="L10" s="188"/>
      <c r="M10" s="188"/>
      <c r="N10" s="188"/>
      <c r="O10" s="188"/>
      <c r="P10" s="188"/>
      <c r="Q10" s="188"/>
      <c r="R10" s="405" t="s">
        <v>942</v>
      </c>
      <c r="S10" s="406">
        <f>S9*S8</f>
        <v>4.4499999999999998E-2</v>
      </c>
      <c r="T10" s="407" t="s">
        <v>943</v>
      </c>
      <c r="U10" s="188"/>
    </row>
    <row r="11" spans="1:23">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c r="W11" s="111"/>
    </row>
    <row r="12" spans="1:23">
      <c r="A12" s="188" t="s">
        <v>889</v>
      </c>
      <c r="B12" s="393">
        <v>0.04</v>
      </c>
      <c r="C12" s="188" t="s">
        <v>37</v>
      </c>
      <c r="D12" s="386" t="s">
        <v>2</v>
      </c>
      <c r="E12" s="188" t="s">
        <v>29</v>
      </c>
      <c r="F12" s="188" t="s">
        <v>14</v>
      </c>
      <c r="G12" s="188" t="s">
        <v>30</v>
      </c>
      <c r="H12" s="188">
        <v>1</v>
      </c>
      <c r="I12" s="393">
        <f>B12</f>
        <v>0.04</v>
      </c>
      <c r="J12" s="188" t="s">
        <v>31</v>
      </c>
      <c r="K12" s="188" t="s">
        <v>31</v>
      </c>
      <c r="L12" s="188" t="s">
        <v>31</v>
      </c>
      <c r="M12" s="188" t="s">
        <v>31</v>
      </c>
      <c r="N12" s="188"/>
      <c r="O12" s="379" t="s">
        <v>944</v>
      </c>
      <c r="P12" s="392">
        <f>B12*100</f>
        <v>4</v>
      </c>
      <c r="Q12" s="188"/>
      <c r="R12" s="188" t="s">
        <v>945</v>
      </c>
      <c r="S12" s="188"/>
      <c r="T12" s="188"/>
      <c r="U12" s="388"/>
    </row>
    <row r="13" spans="1:23">
      <c r="A13" s="188" t="s">
        <v>946</v>
      </c>
      <c r="B13" s="393">
        <f>B23</f>
        <v>0.04</v>
      </c>
      <c r="C13" s="188" t="s">
        <v>853</v>
      </c>
      <c r="D13" s="386" t="s">
        <v>2</v>
      </c>
      <c r="E13" s="188" t="s">
        <v>29</v>
      </c>
      <c r="F13" s="188" t="s">
        <v>14</v>
      </c>
      <c r="G13" s="188" t="s">
        <v>33</v>
      </c>
      <c r="H13" s="188">
        <v>1</v>
      </c>
      <c r="I13" s="393">
        <f t="shared" ref="I13:I14" si="0">B13</f>
        <v>0.04</v>
      </c>
      <c r="J13" s="188">
        <v>7.2284161474004766E-2</v>
      </c>
      <c r="K13" s="188" t="s">
        <v>31</v>
      </c>
      <c r="L13" s="188" t="s">
        <v>31</v>
      </c>
      <c r="M13" s="188" t="s">
        <v>31</v>
      </c>
      <c r="N13" s="188"/>
      <c r="O13" s="379" t="s">
        <v>944</v>
      </c>
      <c r="P13" s="392">
        <f>B13*100</f>
        <v>4</v>
      </c>
      <c r="Q13" s="188"/>
      <c r="R13" s="408">
        <v>0.17</v>
      </c>
      <c r="S13" s="409" t="s">
        <v>855</v>
      </c>
      <c r="T13" s="408">
        <f>R13*S10</f>
        <v>7.5650000000000005E-3</v>
      </c>
      <c r="U13" s="409" t="s">
        <v>275</v>
      </c>
    </row>
    <row r="14" spans="1:23">
      <c r="A14" s="192" t="s">
        <v>922</v>
      </c>
      <c r="B14" s="398">
        <v>0.17</v>
      </c>
      <c r="C14" s="188" t="s">
        <v>37</v>
      </c>
      <c r="D14" s="386" t="s">
        <v>2</v>
      </c>
      <c r="E14" s="188" t="s">
        <v>29</v>
      </c>
      <c r="F14" s="37" t="s">
        <v>14</v>
      </c>
      <c r="G14" s="188" t="s">
        <v>33</v>
      </c>
      <c r="H14" s="188">
        <v>1</v>
      </c>
      <c r="I14" s="393">
        <f t="shared" si="0"/>
        <v>0.17</v>
      </c>
      <c r="J14" s="188">
        <v>7.2284161474004766E-2</v>
      </c>
      <c r="K14" s="188" t="s">
        <v>31</v>
      </c>
      <c r="L14" s="188" t="s">
        <v>31</v>
      </c>
      <c r="M14" s="188" t="s">
        <v>31</v>
      </c>
      <c r="N14" s="188"/>
      <c r="O14" s="410"/>
      <c r="P14" s="411"/>
      <c r="Q14" s="188"/>
      <c r="R14" s="188"/>
      <c r="S14" s="188"/>
      <c r="T14" s="188"/>
      <c r="U14" s="188"/>
    </row>
    <row r="15" spans="1:23">
      <c r="A15" s="323" t="s">
        <v>844</v>
      </c>
      <c r="B15" s="188">
        <v>1.3</v>
      </c>
      <c r="C15" s="188" t="s">
        <v>37</v>
      </c>
      <c r="D15" s="188" t="s">
        <v>40</v>
      </c>
      <c r="E15" s="188" t="s">
        <v>29</v>
      </c>
      <c r="F15" s="37" t="s">
        <v>74</v>
      </c>
      <c r="G15" s="188" t="s">
        <v>33</v>
      </c>
      <c r="H15" s="188">
        <v>2</v>
      </c>
      <c r="I15" s="188">
        <f t="shared" ref="I15" si="1">LN(B15)</f>
        <v>0.26236426446749106</v>
      </c>
      <c r="J15" s="188">
        <v>7.2284161474004766E-2</v>
      </c>
      <c r="K15" s="188" t="s">
        <v>31</v>
      </c>
      <c r="L15" s="188" t="s">
        <v>31</v>
      </c>
      <c r="M15" s="188" t="s">
        <v>31</v>
      </c>
      <c r="N15" s="188"/>
      <c r="O15" s="410"/>
      <c r="P15" s="411"/>
      <c r="Q15" s="188"/>
      <c r="R15" s="188"/>
      <c r="S15" s="188"/>
      <c r="T15" s="188"/>
      <c r="U15" s="188"/>
    </row>
    <row r="16" spans="1:23">
      <c r="A16" s="37" t="s">
        <v>924</v>
      </c>
      <c r="B16" s="412">
        <f>T13</f>
        <v>7.5650000000000005E-3</v>
      </c>
      <c r="C16" s="188" t="s">
        <v>37</v>
      </c>
      <c r="D16" s="188" t="s">
        <v>40</v>
      </c>
      <c r="E16" s="188" t="s">
        <v>29</v>
      </c>
      <c r="F16" s="37" t="s">
        <v>59</v>
      </c>
      <c r="G16" s="188" t="s">
        <v>33</v>
      </c>
      <c r="H16" s="188">
        <v>2</v>
      </c>
      <c r="I16" s="188">
        <f>LN(B16)</f>
        <v>-4.8842229317418173</v>
      </c>
      <c r="J16" s="188">
        <v>7.2284161474004766E-2</v>
      </c>
      <c r="K16" s="188" t="s">
        <v>31</v>
      </c>
      <c r="L16" s="188" t="s">
        <v>31</v>
      </c>
      <c r="M16" s="188" t="s">
        <v>31</v>
      </c>
      <c r="N16" s="188"/>
      <c r="O16" s="410"/>
      <c r="P16" s="411"/>
      <c r="Q16" s="188"/>
      <c r="R16" s="188"/>
      <c r="S16" s="188"/>
      <c r="T16" s="188"/>
      <c r="U16" s="188"/>
    </row>
    <row r="17" spans="1:21">
      <c r="A17" s="37" t="s">
        <v>76</v>
      </c>
      <c r="B17" s="188">
        <f>0.001*1.3</f>
        <v>1.3000000000000002E-3</v>
      </c>
      <c r="C17" s="188" t="s">
        <v>42</v>
      </c>
      <c r="D17" s="188" t="s">
        <v>40</v>
      </c>
      <c r="E17" s="188" t="s">
        <v>29</v>
      </c>
      <c r="F17" s="37" t="s">
        <v>74</v>
      </c>
      <c r="G17" s="188" t="s">
        <v>33</v>
      </c>
      <c r="H17" s="188">
        <v>2</v>
      </c>
      <c r="I17" s="188">
        <f t="shared" ref="I17" si="2">LN(B17)</f>
        <v>-6.6453910145146455</v>
      </c>
      <c r="J17" s="188">
        <v>7.2284161474004766E-2</v>
      </c>
      <c r="K17" s="188" t="s">
        <v>31</v>
      </c>
      <c r="L17" s="188" t="s">
        <v>31</v>
      </c>
      <c r="M17" s="188" t="s">
        <v>31</v>
      </c>
      <c r="N17" s="188"/>
      <c r="O17" s="192"/>
      <c r="P17" s="399"/>
      <c r="Q17" s="413"/>
      <c r="R17" s="188"/>
      <c r="S17" s="188"/>
      <c r="T17" s="188"/>
      <c r="U17" s="188"/>
    </row>
    <row r="18" spans="1:21" s="73" customFormat="1">
      <c r="A18" s="347" t="s">
        <v>5</v>
      </c>
      <c r="B18" s="348" t="s">
        <v>946</v>
      </c>
      <c r="C18" s="330"/>
      <c r="D18" s="330"/>
      <c r="E18" s="330"/>
      <c r="F18" s="330"/>
      <c r="G18" s="330"/>
      <c r="H18" s="330"/>
      <c r="I18" s="330"/>
      <c r="J18" s="330"/>
      <c r="K18" s="330"/>
      <c r="L18" s="330"/>
      <c r="M18" s="330"/>
      <c r="N18" s="330"/>
      <c r="O18" s="330"/>
      <c r="P18" s="330"/>
      <c r="Q18" s="330"/>
      <c r="R18" s="330"/>
      <c r="S18" s="330"/>
      <c r="T18" s="330"/>
      <c r="U18" s="330"/>
    </row>
    <row r="19" spans="1:21">
      <c r="A19" s="323"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402" t="s">
        <v>9</v>
      </c>
      <c r="B20" s="188" t="s">
        <v>947</v>
      </c>
      <c r="C20" s="322"/>
      <c r="D20" s="188"/>
      <c r="E20" s="188"/>
      <c r="F20" s="188"/>
      <c r="G20" s="188"/>
      <c r="H20" s="188"/>
      <c r="I20" s="188"/>
      <c r="J20" s="188"/>
      <c r="K20" s="188"/>
      <c r="L20" s="188"/>
      <c r="M20" s="188"/>
      <c r="N20" s="188"/>
      <c r="O20" s="188"/>
      <c r="P20" s="188"/>
      <c r="Q20" s="188"/>
      <c r="R20" s="188"/>
      <c r="S20" s="188"/>
      <c r="T20" s="188"/>
      <c r="U20" s="188"/>
    </row>
    <row r="21" spans="1:21"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row>
    <row r="22" spans="1:21">
      <c r="A22" s="323"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23" t="s">
        <v>15</v>
      </c>
      <c r="B23" s="393">
        <f>B28</f>
        <v>0.04</v>
      </c>
      <c r="C23" s="188"/>
      <c r="D23" s="188"/>
      <c r="E23" s="188"/>
      <c r="F23" s="188"/>
      <c r="G23" s="188"/>
      <c r="H23" s="188"/>
      <c r="I23" s="188"/>
      <c r="J23" s="188"/>
      <c r="K23" s="188"/>
      <c r="L23" s="188"/>
      <c r="M23" s="188"/>
      <c r="N23" s="188"/>
      <c r="O23" s="188"/>
      <c r="P23" s="188"/>
      <c r="Q23" s="188"/>
      <c r="R23" s="188"/>
      <c r="S23" s="188"/>
      <c r="T23" s="188"/>
      <c r="U23" s="188"/>
    </row>
    <row r="24" spans="1:21">
      <c r="A24" s="323"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23" t="s">
        <v>18</v>
      </c>
      <c r="B25" s="188" t="s">
        <v>853</v>
      </c>
      <c r="C25" s="188"/>
      <c r="D25" s="188"/>
      <c r="E25" s="188"/>
      <c r="F25" s="188"/>
      <c r="G25" s="188"/>
      <c r="H25" s="188"/>
      <c r="I25" s="188"/>
      <c r="J25" s="188"/>
      <c r="K25" s="188"/>
      <c r="L25" s="188"/>
      <c r="M25" s="188"/>
      <c r="N25" s="188"/>
      <c r="O25" s="188"/>
      <c r="P25" s="188"/>
      <c r="Q25" s="188"/>
      <c r="R25" s="188"/>
      <c r="S25" s="188"/>
      <c r="T25" s="188"/>
      <c r="U25" s="188"/>
    </row>
    <row r="26" spans="1:21">
      <c r="A26" s="320"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row>
    <row r="28" spans="1:21">
      <c r="A28" s="188" t="s">
        <v>946</v>
      </c>
      <c r="B28" s="393">
        <v>0.04</v>
      </c>
      <c r="C28" s="188" t="s">
        <v>853</v>
      </c>
      <c r="D28" s="386" t="s">
        <v>2</v>
      </c>
      <c r="E28" s="188" t="s">
        <v>29</v>
      </c>
      <c r="F28" s="188" t="s">
        <v>14</v>
      </c>
      <c r="G28" s="188" t="s">
        <v>30</v>
      </c>
      <c r="H28" s="188">
        <v>1</v>
      </c>
      <c r="I28" s="393">
        <f>B28</f>
        <v>0.04</v>
      </c>
      <c r="J28" s="188">
        <v>7.2284161474004766E-2</v>
      </c>
      <c r="K28" s="188" t="s">
        <v>31</v>
      </c>
      <c r="L28" s="188" t="s">
        <v>31</v>
      </c>
      <c r="M28" s="188" t="s">
        <v>31</v>
      </c>
      <c r="N28" s="188"/>
      <c r="O28" s="379" t="s">
        <v>944</v>
      </c>
      <c r="P28" s="392">
        <f>B28*100</f>
        <v>4</v>
      </c>
      <c r="Q28" s="188"/>
      <c r="R28" s="188"/>
      <c r="S28" s="188"/>
      <c r="T28" s="188"/>
      <c r="U28" s="188"/>
    </row>
    <row r="29" spans="1:21">
      <c r="A29" s="188" t="s">
        <v>948</v>
      </c>
      <c r="B29" s="393">
        <v>0.04</v>
      </c>
      <c r="C29" s="188" t="s">
        <v>853</v>
      </c>
      <c r="D29" s="386" t="s">
        <v>2</v>
      </c>
      <c r="E29" s="188" t="s">
        <v>29</v>
      </c>
      <c r="F29" s="188" t="s">
        <v>14</v>
      </c>
      <c r="G29" s="188" t="s">
        <v>33</v>
      </c>
      <c r="H29" s="188">
        <v>1</v>
      </c>
      <c r="I29" s="393">
        <f>B29</f>
        <v>0.04</v>
      </c>
      <c r="J29" s="188">
        <v>7.2284161474004766E-2</v>
      </c>
      <c r="K29" s="188" t="s">
        <v>31</v>
      </c>
      <c r="L29" s="188" t="s">
        <v>31</v>
      </c>
      <c r="M29" s="188" t="s">
        <v>31</v>
      </c>
      <c r="N29" s="188"/>
      <c r="O29" s="188"/>
      <c r="P29" s="188"/>
      <c r="Q29" s="188"/>
      <c r="R29" s="188"/>
      <c r="S29" s="188"/>
      <c r="T29" s="188"/>
      <c r="U29" s="188"/>
    </row>
    <row r="30" spans="1:21">
      <c r="A30" s="323" t="s">
        <v>265</v>
      </c>
      <c r="B30" s="327">
        <f>P30</f>
        <v>0.09</v>
      </c>
      <c r="C30" s="188" t="s">
        <v>39</v>
      </c>
      <c r="D30" s="188" t="s">
        <v>40</v>
      </c>
      <c r="E30" s="188" t="s">
        <v>29</v>
      </c>
      <c r="F30" s="37" t="s">
        <v>35</v>
      </c>
      <c r="G30" s="188" t="s">
        <v>33</v>
      </c>
      <c r="H30" s="188">
        <v>2</v>
      </c>
      <c r="I30" s="188">
        <f t="shared" ref="I30:I34" si="3">LN(B30)</f>
        <v>-2.4079456086518722</v>
      </c>
      <c r="J30" s="188">
        <v>0.20928449536456342</v>
      </c>
      <c r="K30" s="188" t="s">
        <v>31</v>
      </c>
      <c r="L30" s="188" t="s">
        <v>31</v>
      </c>
      <c r="M30" s="188" t="s">
        <v>31</v>
      </c>
      <c r="N30" s="188"/>
      <c r="O30" s="379" t="s">
        <v>271</v>
      </c>
      <c r="P30" s="392">
        <v>0.09</v>
      </c>
      <c r="Q30" s="188"/>
      <c r="R30" s="188"/>
      <c r="S30" s="188"/>
      <c r="T30" s="188"/>
      <c r="U30" s="188"/>
    </row>
    <row r="31" spans="1:21">
      <c r="A31" s="390" t="s">
        <v>491</v>
      </c>
      <c r="B31" s="188">
        <f>R31</f>
        <v>2E-3</v>
      </c>
      <c r="C31" s="188" t="s">
        <v>37</v>
      </c>
      <c r="D31" s="188" t="s">
        <v>40</v>
      </c>
      <c r="E31" s="188" t="s">
        <v>29</v>
      </c>
      <c r="F31" s="37" t="s">
        <v>59</v>
      </c>
      <c r="G31" s="188" t="s">
        <v>33</v>
      </c>
      <c r="H31" s="188">
        <v>2</v>
      </c>
      <c r="I31" s="188">
        <f>LN(B31)</f>
        <v>-6.2146080984221914</v>
      </c>
      <c r="J31" s="391">
        <v>7.2284161474004766E-2</v>
      </c>
      <c r="K31" s="188" t="s">
        <v>31</v>
      </c>
      <c r="L31" s="188" t="s">
        <v>31</v>
      </c>
      <c r="M31" s="188" t="s">
        <v>31</v>
      </c>
      <c r="N31" s="188"/>
      <c r="O31" s="379" t="s">
        <v>857</v>
      </c>
      <c r="P31" s="392">
        <v>2</v>
      </c>
      <c r="Q31" s="188" t="s">
        <v>275</v>
      </c>
      <c r="R31" s="188">
        <f>P31*0.001</f>
        <v>2E-3</v>
      </c>
      <c r="S31" s="188"/>
      <c r="T31" s="188"/>
    </row>
    <row r="32" spans="1:21">
      <c r="A32" s="390" t="s">
        <v>921</v>
      </c>
      <c r="B32" s="188">
        <f>R32</f>
        <v>4.0000000000000001E-3</v>
      </c>
      <c r="C32" s="188" t="s">
        <v>37</v>
      </c>
      <c r="D32" s="188" t="s">
        <v>40</v>
      </c>
      <c r="E32" s="188" t="s">
        <v>29</v>
      </c>
      <c r="F32" s="37" t="s">
        <v>35</v>
      </c>
      <c r="G32" s="188" t="s">
        <v>33</v>
      </c>
      <c r="H32" s="188">
        <v>2</v>
      </c>
      <c r="I32" s="188">
        <f>LN(B32)</f>
        <v>-5.521460917862246</v>
      </c>
      <c r="J32" s="391">
        <v>7.2284161474004766E-2</v>
      </c>
      <c r="K32" s="188" t="s">
        <v>31</v>
      </c>
      <c r="L32" s="188" t="s">
        <v>31</v>
      </c>
      <c r="M32" s="188" t="s">
        <v>31</v>
      </c>
      <c r="N32" s="188"/>
      <c r="O32" s="379" t="s">
        <v>857</v>
      </c>
      <c r="P32" s="392">
        <v>4</v>
      </c>
      <c r="Q32" s="188" t="s">
        <v>275</v>
      </c>
      <c r="R32" s="188">
        <f>P32*0.001</f>
        <v>4.0000000000000001E-3</v>
      </c>
      <c r="S32" s="188"/>
      <c r="T32" s="188"/>
    </row>
    <row r="33" spans="1:21">
      <c r="A33" s="323" t="s">
        <v>844</v>
      </c>
      <c r="B33" s="188">
        <f>P33</f>
        <v>3.4</v>
      </c>
      <c r="C33" s="188" t="s">
        <v>37</v>
      </c>
      <c r="D33" s="188" t="s">
        <v>40</v>
      </c>
      <c r="E33" s="188" t="s">
        <v>29</v>
      </c>
      <c r="F33" s="37" t="s">
        <v>74</v>
      </c>
      <c r="G33" s="188" t="s">
        <v>33</v>
      </c>
      <c r="H33" s="188">
        <v>2</v>
      </c>
      <c r="I33" s="188">
        <f t="shared" si="3"/>
        <v>1.2237754316221157</v>
      </c>
      <c r="J33" s="188">
        <v>0.20928449536456342</v>
      </c>
      <c r="K33" s="188" t="s">
        <v>31</v>
      </c>
      <c r="L33" s="188" t="s">
        <v>31</v>
      </c>
      <c r="M33" s="188" t="s">
        <v>31</v>
      </c>
      <c r="N33" s="188"/>
      <c r="O33" s="188" t="s">
        <v>275</v>
      </c>
      <c r="P33" s="392">
        <v>3.4</v>
      </c>
      <c r="R33" s="188"/>
      <c r="S33" s="188"/>
      <c r="T33" s="188"/>
      <c r="U33" s="188"/>
    </row>
    <row r="34" spans="1:21">
      <c r="A34" s="37" t="s">
        <v>76</v>
      </c>
      <c r="B34" s="188">
        <f>3.4*0.0001</f>
        <v>3.4000000000000002E-4</v>
      </c>
      <c r="C34" s="188" t="s">
        <v>42</v>
      </c>
      <c r="D34" s="188" t="s">
        <v>40</v>
      </c>
      <c r="E34" s="188" t="s">
        <v>29</v>
      </c>
      <c r="F34" s="37" t="s">
        <v>74</v>
      </c>
      <c r="G34" s="188" t="s">
        <v>33</v>
      </c>
      <c r="H34" s="188">
        <v>2</v>
      </c>
      <c r="I34" s="188">
        <f t="shared" si="3"/>
        <v>-7.9865649403540671</v>
      </c>
      <c r="J34" s="188">
        <v>7.2284161474004766E-2</v>
      </c>
      <c r="K34" s="188" t="s">
        <v>31</v>
      </c>
      <c r="L34" s="188" t="s">
        <v>31</v>
      </c>
      <c r="M34" s="188" t="s">
        <v>31</v>
      </c>
      <c r="N34" s="188"/>
      <c r="O34" s="192"/>
      <c r="P34" s="399"/>
      <c r="Q34" s="413"/>
      <c r="R34" s="188"/>
      <c r="S34" s="188"/>
      <c r="T34" s="188"/>
      <c r="U34" s="188"/>
    </row>
    <row r="35" spans="1:21" s="73" customFormat="1">
      <c r="A35" s="347" t="s">
        <v>5</v>
      </c>
      <c r="B35" s="348" t="s">
        <v>948</v>
      </c>
      <c r="C35" s="330"/>
      <c r="D35" s="330"/>
      <c r="E35" s="330"/>
      <c r="F35" s="330"/>
      <c r="G35" s="330"/>
      <c r="H35" s="330"/>
      <c r="I35" s="330"/>
      <c r="J35" s="330"/>
      <c r="K35" s="330"/>
      <c r="L35" s="330"/>
      <c r="M35" s="330"/>
      <c r="N35" s="330"/>
      <c r="O35" s="330"/>
      <c r="P35" s="330"/>
      <c r="Q35" s="330"/>
      <c r="R35" s="330"/>
      <c r="S35" s="330"/>
      <c r="T35" s="330"/>
      <c r="U35" s="330"/>
    </row>
    <row r="36" spans="1:21">
      <c r="A36" s="323" t="s">
        <v>7</v>
      </c>
      <c r="B36" s="188" t="s">
        <v>831</v>
      </c>
      <c r="C36" s="322"/>
      <c r="D36" s="188"/>
      <c r="E36" s="188"/>
      <c r="F36" s="188"/>
      <c r="G36" s="188"/>
      <c r="H36" s="188"/>
      <c r="I36" s="188"/>
      <c r="J36" s="188"/>
      <c r="K36" s="188"/>
      <c r="L36" s="188"/>
      <c r="M36" s="188"/>
      <c r="N36" s="188"/>
      <c r="O36" s="188"/>
      <c r="P36" s="188"/>
      <c r="Q36" s="188"/>
      <c r="R36" s="188"/>
      <c r="S36" s="188"/>
      <c r="T36" s="188"/>
      <c r="U36" s="188"/>
    </row>
    <row r="37" spans="1:21">
      <c r="A37" s="402" t="s">
        <v>9</v>
      </c>
      <c r="B37" s="188" t="s">
        <v>949</v>
      </c>
      <c r="C37" s="322"/>
      <c r="D37" s="188"/>
      <c r="E37" s="188"/>
      <c r="F37" s="188"/>
      <c r="G37" s="188"/>
      <c r="H37" s="188"/>
      <c r="I37" s="188"/>
      <c r="J37" s="188"/>
      <c r="K37" s="188"/>
      <c r="L37" s="188"/>
      <c r="M37" s="188"/>
      <c r="N37" s="188"/>
      <c r="O37" s="188"/>
      <c r="P37" s="188"/>
      <c r="Q37" s="188"/>
      <c r="R37" s="188"/>
      <c r="S37" s="188"/>
      <c r="T37" s="188"/>
      <c r="U37" s="188"/>
    </row>
    <row r="38" spans="1:21"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row>
    <row r="39" spans="1:21">
      <c r="A39" s="323"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23" t="s">
        <v>15</v>
      </c>
      <c r="B40" s="393">
        <f>B45</f>
        <v>0.04</v>
      </c>
      <c r="C40" s="188"/>
      <c r="D40" s="188"/>
      <c r="E40" s="188"/>
      <c r="F40" s="188"/>
      <c r="G40" s="188"/>
      <c r="H40" s="188"/>
      <c r="I40" s="188"/>
      <c r="J40" s="188"/>
      <c r="K40" s="188"/>
      <c r="L40" s="188"/>
      <c r="M40" s="188"/>
      <c r="N40" s="188"/>
      <c r="O40" s="188"/>
      <c r="P40" s="188"/>
      <c r="Q40" s="188"/>
      <c r="R40" s="188"/>
      <c r="S40" s="188"/>
      <c r="T40" s="188"/>
      <c r="U40" s="188"/>
    </row>
    <row r="41" spans="1:21">
      <c r="A41" s="323"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23" t="s">
        <v>18</v>
      </c>
      <c r="B42" s="188" t="s">
        <v>853</v>
      </c>
      <c r="C42" s="188"/>
      <c r="D42" s="188"/>
      <c r="E42" s="188"/>
      <c r="F42" s="188"/>
      <c r="G42" s="188"/>
      <c r="H42" s="188"/>
      <c r="I42" s="188"/>
      <c r="J42" s="188"/>
      <c r="K42" s="188"/>
      <c r="L42" s="188"/>
      <c r="M42" s="188"/>
      <c r="N42" s="188"/>
      <c r="O42" s="188"/>
      <c r="P42" s="188"/>
      <c r="Q42" s="188"/>
      <c r="R42" s="188"/>
      <c r="S42" s="188"/>
      <c r="T42" s="188"/>
      <c r="U42" s="188"/>
    </row>
    <row r="43" spans="1:21">
      <c r="A43" s="320"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row>
    <row r="45" spans="1:21">
      <c r="A45" s="188" t="s">
        <v>948</v>
      </c>
      <c r="B45" s="393">
        <f>B29</f>
        <v>0.04</v>
      </c>
      <c r="C45" s="188" t="s">
        <v>853</v>
      </c>
      <c r="D45" s="386" t="s">
        <v>2</v>
      </c>
      <c r="E45" s="188" t="s">
        <v>29</v>
      </c>
      <c r="F45" s="188" t="s">
        <v>14</v>
      </c>
      <c r="G45" s="188" t="s">
        <v>30</v>
      </c>
      <c r="H45" s="188">
        <v>1</v>
      </c>
      <c r="I45" s="393">
        <f>B45</f>
        <v>0.04</v>
      </c>
      <c r="J45" s="188" t="s">
        <v>31</v>
      </c>
      <c r="K45" s="188" t="s">
        <v>31</v>
      </c>
      <c r="L45" s="188" t="s">
        <v>31</v>
      </c>
      <c r="M45" s="188" t="s">
        <v>31</v>
      </c>
      <c r="N45" s="188"/>
      <c r="O45" s="188"/>
      <c r="P45" s="188"/>
      <c r="Q45" s="188"/>
      <c r="R45" s="188"/>
      <c r="S45" s="188"/>
      <c r="T45" s="188"/>
      <c r="U45" s="188"/>
    </row>
    <row r="46" spans="1:21">
      <c r="A46" s="37" t="s">
        <v>950</v>
      </c>
      <c r="B46" s="188">
        <v>0.5</v>
      </c>
      <c r="C46" s="188" t="s">
        <v>37</v>
      </c>
      <c r="D46" s="188" t="s">
        <v>40</v>
      </c>
      <c r="E46" s="188" t="s">
        <v>29</v>
      </c>
      <c r="F46" s="188" t="s">
        <v>82</v>
      </c>
      <c r="G46" s="188" t="s">
        <v>33</v>
      </c>
      <c r="H46" s="188">
        <v>1</v>
      </c>
      <c r="I46" s="393">
        <f t="shared" ref="I46:I47" si="4">B46</f>
        <v>0.5</v>
      </c>
      <c r="J46" s="188" t="s">
        <v>31</v>
      </c>
      <c r="K46" s="188" t="s">
        <v>31</v>
      </c>
      <c r="L46" s="188" t="s">
        <v>31</v>
      </c>
      <c r="M46" s="188" t="s">
        <v>31</v>
      </c>
      <c r="N46" s="188"/>
      <c r="O46" s="188"/>
      <c r="P46" s="188"/>
      <c r="Q46" s="188"/>
      <c r="R46" s="188"/>
      <c r="S46" s="188"/>
      <c r="T46" s="188"/>
      <c r="U46" s="188"/>
    </row>
    <row r="47" spans="1:21">
      <c r="A47" s="37" t="s">
        <v>951</v>
      </c>
      <c r="B47" s="188">
        <v>0.5</v>
      </c>
      <c r="C47" s="188" t="s">
        <v>37</v>
      </c>
      <c r="D47" s="188" t="s">
        <v>40</v>
      </c>
      <c r="E47" s="188" t="s">
        <v>29</v>
      </c>
      <c r="F47" s="188" t="s">
        <v>59</v>
      </c>
      <c r="G47" s="188" t="s">
        <v>33</v>
      </c>
      <c r="H47" s="188">
        <v>1</v>
      </c>
      <c r="I47" s="393">
        <f t="shared" si="4"/>
        <v>0.5</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B59A4-32FE-417A-88A1-6CF510081FAB}">
  <sheetPr>
    <tabColor theme="9"/>
  </sheetPr>
  <dimension ref="A1:Y57"/>
  <sheetViews>
    <sheetView zoomScale="85" zoomScaleNormal="85" workbookViewId="0">
      <selection activeCell="A12" sqref="A12"/>
    </sheetView>
  </sheetViews>
  <sheetFormatPr defaultRowHeight="14.45"/>
  <cols>
    <col min="1" max="1" width="74" customWidth="1"/>
    <col min="5" max="5" width="34.28515625" customWidth="1"/>
    <col min="6" max="6" width="16.7109375" customWidth="1"/>
    <col min="8" max="8" width="14.28515625" customWidth="1"/>
  </cols>
  <sheetData>
    <row r="1" spans="1:21">
      <c r="A1" s="188" t="s">
        <v>0</v>
      </c>
      <c r="B1" s="188">
        <v>14</v>
      </c>
      <c r="C1" s="188"/>
      <c r="D1" s="188"/>
      <c r="E1" s="188"/>
      <c r="F1" s="188"/>
      <c r="G1" s="188"/>
      <c r="H1" s="188"/>
      <c r="I1" s="188"/>
      <c r="J1" s="188"/>
      <c r="K1" s="188"/>
      <c r="L1" s="188"/>
      <c r="M1" s="188"/>
      <c r="N1" s="188"/>
      <c r="O1" s="188"/>
      <c r="P1" s="188"/>
      <c r="Q1" s="188"/>
      <c r="R1" s="192"/>
      <c r="S1" s="399"/>
    </row>
    <row r="2" spans="1:21" s="73" customFormat="1">
      <c r="A2" s="347" t="s">
        <v>5</v>
      </c>
      <c r="B2" s="348" t="s">
        <v>895</v>
      </c>
      <c r="C2" s="348"/>
      <c r="D2" s="330"/>
      <c r="E2" s="330"/>
      <c r="F2" s="330"/>
      <c r="G2" s="330"/>
      <c r="H2" s="330"/>
      <c r="I2" s="330"/>
      <c r="J2" s="330"/>
      <c r="K2" s="330"/>
      <c r="L2" s="330"/>
      <c r="M2" s="330"/>
      <c r="N2" s="330"/>
      <c r="O2" s="330"/>
      <c r="P2" s="330"/>
      <c r="Q2" s="330"/>
      <c r="R2" s="414"/>
      <c r="S2" s="415"/>
    </row>
    <row r="3" spans="1:21">
      <c r="A3" s="323" t="s">
        <v>7</v>
      </c>
      <c r="B3" s="188" t="s">
        <v>831</v>
      </c>
      <c r="C3" s="188"/>
      <c r="D3" s="322"/>
      <c r="E3" s="188"/>
      <c r="F3" s="188"/>
      <c r="G3" s="188"/>
      <c r="H3" s="188"/>
      <c r="I3" s="188"/>
      <c r="J3" s="188"/>
      <c r="K3" s="188"/>
      <c r="L3" s="188"/>
      <c r="M3" s="188"/>
      <c r="N3" s="188"/>
      <c r="O3" s="188"/>
      <c r="P3" s="188"/>
      <c r="Q3" s="188"/>
      <c r="R3" s="192"/>
      <c r="S3" s="399"/>
    </row>
    <row r="4" spans="1:21">
      <c r="A4" s="402" t="s">
        <v>9</v>
      </c>
      <c r="B4" s="188" t="s">
        <v>952</v>
      </c>
      <c r="C4" s="188"/>
      <c r="D4" s="322"/>
      <c r="E4" s="188"/>
      <c r="F4" s="188"/>
      <c r="G4" s="188"/>
      <c r="H4" s="188"/>
      <c r="I4" s="188"/>
      <c r="J4" s="188"/>
      <c r="K4" s="188"/>
      <c r="L4" s="188"/>
      <c r="M4" s="188"/>
      <c r="N4" s="188"/>
      <c r="O4" s="188"/>
      <c r="P4" s="188"/>
      <c r="Q4" s="188"/>
      <c r="R4" s="188"/>
      <c r="S4" s="188"/>
    </row>
    <row r="5" spans="1:21" ht="15.75" customHeight="1">
      <c r="A5" s="323" t="s">
        <v>11</v>
      </c>
      <c r="B5" s="324" t="s">
        <v>841</v>
      </c>
      <c r="C5" s="324"/>
      <c r="D5" s="188"/>
      <c r="E5" s="188"/>
      <c r="F5" s="188"/>
      <c r="G5" s="188"/>
      <c r="H5" s="188"/>
      <c r="I5" s="188"/>
      <c r="J5" s="188"/>
      <c r="K5" s="188"/>
      <c r="L5" s="188"/>
      <c r="M5" s="188"/>
      <c r="N5" s="188"/>
      <c r="O5" s="188"/>
      <c r="P5" s="188"/>
      <c r="Q5" s="188"/>
      <c r="R5" s="188"/>
      <c r="S5" s="188"/>
    </row>
    <row r="6" spans="1:21">
      <c r="A6" s="323" t="s">
        <v>13</v>
      </c>
      <c r="B6" s="188" t="s">
        <v>14</v>
      </c>
      <c r="C6" s="188"/>
      <c r="D6" s="188"/>
      <c r="E6" s="188"/>
      <c r="F6" s="188"/>
      <c r="G6" s="188"/>
      <c r="H6" s="188"/>
      <c r="I6" s="188"/>
      <c r="J6" s="188"/>
      <c r="K6" s="188"/>
      <c r="L6" s="188"/>
      <c r="M6" s="188"/>
      <c r="N6" s="188"/>
      <c r="O6" s="188"/>
      <c r="P6" s="188"/>
      <c r="Q6" s="188"/>
      <c r="R6" s="188"/>
      <c r="S6" s="188"/>
    </row>
    <row r="7" spans="1:21">
      <c r="A7" s="323" t="s">
        <v>15</v>
      </c>
      <c r="B7" s="335">
        <f>B48</f>
        <v>3.15</v>
      </c>
      <c r="C7" s="335"/>
      <c r="D7" s="188"/>
      <c r="E7" s="188"/>
      <c r="F7" s="188"/>
      <c r="G7" s="188"/>
      <c r="H7" s="188"/>
      <c r="I7" s="188"/>
      <c r="J7" s="188"/>
      <c r="K7" s="188"/>
      <c r="L7" s="188"/>
      <c r="M7" s="188"/>
      <c r="N7" s="188"/>
      <c r="O7" s="188"/>
      <c r="P7" s="188"/>
      <c r="Q7" s="188"/>
      <c r="R7" s="188"/>
      <c r="S7" s="188"/>
    </row>
    <row r="8" spans="1:21">
      <c r="A8" s="323" t="s">
        <v>16</v>
      </c>
      <c r="B8" s="188" t="s">
        <v>17</v>
      </c>
      <c r="C8" s="188"/>
      <c r="D8" s="188"/>
      <c r="E8" s="188"/>
      <c r="F8" s="188"/>
      <c r="G8" s="188"/>
      <c r="H8" s="188"/>
      <c r="I8" s="188"/>
      <c r="J8" s="188"/>
      <c r="K8" s="188"/>
      <c r="L8" s="188"/>
      <c r="M8" s="188"/>
      <c r="N8" s="188"/>
      <c r="O8" s="188"/>
      <c r="P8" s="188"/>
      <c r="Q8" s="188"/>
      <c r="R8" s="188"/>
      <c r="S8" s="188"/>
    </row>
    <row r="9" spans="1:21">
      <c r="A9" s="323" t="s">
        <v>18</v>
      </c>
      <c r="B9" s="188" t="s">
        <v>37</v>
      </c>
      <c r="C9" s="188"/>
      <c r="D9" s="188"/>
      <c r="E9" s="188"/>
      <c r="F9" s="188"/>
      <c r="G9" s="188"/>
      <c r="H9" s="188"/>
      <c r="I9" s="188"/>
      <c r="J9" s="188"/>
      <c r="K9" s="188"/>
      <c r="L9" s="188"/>
      <c r="M9" s="188"/>
      <c r="N9" s="188"/>
      <c r="O9" s="188"/>
      <c r="P9" s="188"/>
      <c r="Q9" s="188"/>
      <c r="R9" s="188"/>
      <c r="S9" s="188"/>
    </row>
    <row r="10" spans="1:21">
      <c r="A10" s="320" t="s">
        <v>19</v>
      </c>
      <c r="B10" s="188"/>
      <c r="C10" s="188"/>
      <c r="D10" s="188"/>
      <c r="E10" s="188"/>
      <c r="F10" s="188"/>
      <c r="G10" s="188"/>
      <c r="H10" s="188"/>
      <c r="I10" s="188"/>
      <c r="J10" s="188"/>
      <c r="K10" s="188"/>
      <c r="L10" s="188"/>
      <c r="M10" s="188"/>
      <c r="N10" s="188"/>
      <c r="O10" s="188"/>
      <c r="P10" s="188"/>
      <c r="Q10" s="188"/>
      <c r="R10" s="188"/>
      <c r="S10" s="188"/>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P11" s="188"/>
      <c r="Q11" s="188"/>
      <c r="R11" s="188"/>
      <c r="S11" s="188"/>
      <c r="U11" s="111"/>
    </row>
    <row r="12" spans="1:21">
      <c r="A12" s="188" t="s">
        <v>895</v>
      </c>
      <c r="B12" s="188">
        <f>B48</f>
        <v>3.15</v>
      </c>
      <c r="C12" s="188"/>
      <c r="D12" s="188" t="s">
        <v>37</v>
      </c>
      <c r="E12" s="386" t="s">
        <v>2</v>
      </c>
      <c r="F12" s="188" t="s">
        <v>29</v>
      </c>
      <c r="G12" s="188" t="s">
        <v>14</v>
      </c>
      <c r="H12" s="188" t="s">
        <v>30</v>
      </c>
      <c r="I12" s="188">
        <v>1</v>
      </c>
      <c r="J12" s="188">
        <f>B12</f>
        <v>3.15</v>
      </c>
      <c r="K12" s="188" t="s">
        <v>31</v>
      </c>
      <c r="L12" s="188" t="s">
        <v>31</v>
      </c>
      <c r="M12" s="188" t="s">
        <v>31</v>
      </c>
      <c r="N12" s="188" t="s">
        <v>31</v>
      </c>
      <c r="O12" s="188"/>
      <c r="P12" s="192"/>
      <c r="Q12" s="399"/>
      <c r="R12" s="188"/>
      <c r="S12" s="188"/>
    </row>
    <row r="13" spans="1:21">
      <c r="A13" s="188" t="s">
        <v>953</v>
      </c>
      <c r="B13" s="188">
        <v>1</v>
      </c>
      <c r="C13" s="188"/>
      <c r="D13" s="188" t="s">
        <v>18</v>
      </c>
      <c r="E13" s="386"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391">
        <v>9.6046863561492793E-2</v>
      </c>
      <c r="L14" s="188" t="s">
        <v>31</v>
      </c>
      <c r="M14" s="188" t="s">
        <v>31</v>
      </c>
      <c r="N14" s="188" t="s">
        <v>31</v>
      </c>
      <c r="O14" s="188"/>
      <c r="P14" s="379" t="s">
        <v>271</v>
      </c>
      <c r="Q14" s="392">
        <v>0.25</v>
      </c>
      <c r="R14" s="188"/>
      <c r="S14" s="188"/>
    </row>
    <row r="15" spans="1:21">
      <c r="A15" s="323" t="s">
        <v>265</v>
      </c>
      <c r="B15" s="327">
        <f>Q15</f>
        <v>0.5</v>
      </c>
      <c r="C15" s="327"/>
      <c r="D15" s="188" t="s">
        <v>39</v>
      </c>
      <c r="E15" s="188" t="s">
        <v>40</v>
      </c>
      <c r="F15" s="188" t="s">
        <v>29</v>
      </c>
      <c r="G15" s="37" t="s">
        <v>35</v>
      </c>
      <c r="H15" s="188" t="s">
        <v>33</v>
      </c>
      <c r="I15" s="188">
        <v>2</v>
      </c>
      <c r="J15" s="188">
        <f t="shared" si="0"/>
        <v>-0.69314718055994529</v>
      </c>
      <c r="K15" s="391">
        <v>9.6046863561492793E-2</v>
      </c>
      <c r="L15" s="188" t="s">
        <v>31</v>
      </c>
      <c r="M15" s="188" t="s">
        <v>31</v>
      </c>
      <c r="N15" s="188" t="s">
        <v>31</v>
      </c>
      <c r="O15" s="188"/>
      <c r="P15" s="379" t="s">
        <v>271</v>
      </c>
      <c r="Q15" s="392">
        <v>0.5</v>
      </c>
      <c r="R15" s="188"/>
      <c r="S15" s="188"/>
    </row>
    <row r="16" spans="1:21">
      <c r="A16" s="37" t="s">
        <v>954</v>
      </c>
      <c r="B16" s="188">
        <f>S16</f>
        <v>6.5000000000000002E-2</v>
      </c>
      <c r="C16" s="188"/>
      <c r="D16" s="188" t="s">
        <v>37</v>
      </c>
      <c r="E16" s="188" t="s">
        <v>40</v>
      </c>
      <c r="F16" s="188" t="s">
        <v>29</v>
      </c>
      <c r="G16" s="188" t="s">
        <v>35</v>
      </c>
      <c r="H16" s="188" t="s">
        <v>33</v>
      </c>
      <c r="I16" s="188">
        <v>2</v>
      </c>
      <c r="J16" s="188">
        <f t="shared" si="0"/>
        <v>-2.7333680090865</v>
      </c>
      <c r="K16" s="391">
        <v>9.6046863561492793E-2</v>
      </c>
      <c r="L16" s="188"/>
      <c r="M16" s="188"/>
      <c r="N16" s="188"/>
      <c r="O16" s="188"/>
      <c r="P16" s="379" t="s">
        <v>857</v>
      </c>
      <c r="Q16" s="392">
        <v>65</v>
      </c>
      <c r="R16" s="379" t="s">
        <v>275</v>
      </c>
      <c r="S16" s="392">
        <f>0.001*Q16</f>
        <v>6.5000000000000002E-2</v>
      </c>
    </row>
    <row r="17" spans="1:21">
      <c r="A17" s="37" t="s">
        <v>955</v>
      </c>
      <c r="B17" s="188">
        <f>Q17</f>
        <v>1.2</v>
      </c>
      <c r="C17" s="188"/>
      <c r="D17" s="188" t="s">
        <v>37</v>
      </c>
      <c r="E17" s="188" t="s">
        <v>40</v>
      </c>
      <c r="F17" s="188" t="s">
        <v>29</v>
      </c>
      <c r="G17" s="37" t="s">
        <v>74</v>
      </c>
      <c r="H17" s="188" t="s">
        <v>33</v>
      </c>
      <c r="I17" s="188">
        <v>2</v>
      </c>
      <c r="J17" s="188">
        <f t="shared" si="0"/>
        <v>0.18232155679395459</v>
      </c>
      <c r="K17" s="391">
        <v>9.6046863561492793E-2</v>
      </c>
      <c r="L17" s="188"/>
      <c r="M17" s="188"/>
      <c r="N17" s="188"/>
      <c r="O17" s="188"/>
      <c r="P17" s="379" t="s">
        <v>275</v>
      </c>
      <c r="Q17" s="392">
        <v>1.2</v>
      </c>
      <c r="R17" s="188"/>
      <c r="S17" s="188"/>
    </row>
    <row r="18" spans="1:21">
      <c r="A18" s="37" t="s">
        <v>787</v>
      </c>
      <c r="B18" s="188">
        <f>S18</f>
        <v>6.5000000000000002E-2</v>
      </c>
      <c r="C18" s="188"/>
      <c r="D18" s="188" t="s">
        <v>37</v>
      </c>
      <c r="E18" s="188" t="s">
        <v>40</v>
      </c>
      <c r="F18" s="188" t="s">
        <v>29</v>
      </c>
      <c r="G18" s="37" t="s">
        <v>74</v>
      </c>
      <c r="H18" s="188" t="s">
        <v>33</v>
      </c>
      <c r="I18" s="188">
        <v>2</v>
      </c>
      <c r="J18" s="188">
        <f t="shared" si="0"/>
        <v>-2.7333680090865</v>
      </c>
      <c r="K18" s="391">
        <v>9.6046863561492793E-2</v>
      </c>
      <c r="L18" s="188"/>
      <c r="M18" s="188"/>
      <c r="N18" s="188"/>
      <c r="O18" s="188"/>
      <c r="P18" s="379" t="s">
        <v>857</v>
      </c>
      <c r="Q18" s="392">
        <v>65</v>
      </c>
      <c r="R18" s="379" t="s">
        <v>275</v>
      </c>
      <c r="S18" s="392">
        <f>0.001*Q18</f>
        <v>6.5000000000000002E-2</v>
      </c>
    </row>
    <row r="19" spans="1:21" s="73" customFormat="1">
      <c r="A19" s="347" t="s">
        <v>5</v>
      </c>
      <c r="B19" s="348" t="str">
        <f>A29</f>
        <v>production of machined casing, mass scaled activities, DCAC grid inverter, SOFC-bat, Long-Term</v>
      </c>
      <c r="C19" s="348"/>
      <c r="D19" s="330"/>
      <c r="E19" s="330"/>
      <c r="F19" s="330"/>
      <c r="G19" s="330"/>
      <c r="H19" s="330"/>
      <c r="I19" s="330"/>
      <c r="J19" s="330"/>
      <c r="K19" s="330"/>
      <c r="L19" s="330"/>
      <c r="M19" s="330"/>
      <c r="N19" s="330"/>
      <c r="O19" s="330"/>
      <c r="P19" s="330"/>
      <c r="Q19" s="330"/>
      <c r="R19" s="330"/>
      <c r="S19" s="330"/>
    </row>
    <row r="20" spans="1:21">
      <c r="A20" s="323" t="s">
        <v>7</v>
      </c>
      <c r="B20" s="188" t="s">
        <v>831</v>
      </c>
      <c r="C20" s="188"/>
      <c r="D20" s="322"/>
      <c r="E20" s="188"/>
      <c r="F20" s="188"/>
      <c r="G20" s="188"/>
      <c r="H20" s="188"/>
      <c r="I20" s="188"/>
      <c r="J20" s="188"/>
      <c r="K20" s="188"/>
      <c r="L20" s="188"/>
      <c r="M20" s="188"/>
      <c r="N20" s="188"/>
      <c r="O20" s="188"/>
      <c r="P20" s="188"/>
      <c r="Q20" s="188"/>
      <c r="R20" s="188"/>
      <c r="S20" s="188"/>
    </row>
    <row r="21" spans="1:21">
      <c r="A21" s="402" t="s">
        <v>9</v>
      </c>
      <c r="B21" s="188" t="s">
        <v>956</v>
      </c>
      <c r="C21" s="188"/>
      <c r="D21" s="322"/>
      <c r="E21" s="188"/>
      <c r="F21" s="188"/>
      <c r="G21" s="188"/>
      <c r="H21" s="188"/>
      <c r="I21" s="188"/>
      <c r="J21" s="188"/>
      <c r="K21" s="188"/>
      <c r="L21" s="188"/>
      <c r="M21" s="188"/>
      <c r="N21" s="188"/>
      <c r="O21" s="188"/>
      <c r="P21" s="188"/>
      <c r="Q21" s="188"/>
      <c r="R21" s="188"/>
      <c r="S21" s="188"/>
    </row>
    <row r="22" spans="1:21" ht="15.75" customHeight="1">
      <c r="A22" s="323" t="s">
        <v>11</v>
      </c>
      <c r="B22" s="324" t="s">
        <v>841</v>
      </c>
      <c r="C22" s="324"/>
      <c r="D22" s="188"/>
      <c r="E22" s="188"/>
      <c r="F22" s="188"/>
      <c r="G22" s="188"/>
      <c r="H22" s="188"/>
      <c r="I22" s="188"/>
      <c r="J22" s="188"/>
      <c r="K22" s="188"/>
      <c r="L22" s="188"/>
      <c r="M22" s="188"/>
      <c r="N22" s="188"/>
      <c r="O22" s="188"/>
      <c r="P22" s="188"/>
      <c r="Q22" s="188"/>
      <c r="R22" s="188"/>
      <c r="S22" s="188"/>
    </row>
    <row r="23" spans="1:21">
      <c r="A23" s="323" t="s">
        <v>13</v>
      </c>
      <c r="B23" s="188" t="s">
        <v>14</v>
      </c>
      <c r="C23" s="188"/>
      <c r="D23" s="188"/>
      <c r="E23" s="188"/>
      <c r="F23" s="188"/>
      <c r="G23" s="188"/>
      <c r="H23" s="188"/>
      <c r="I23" s="188"/>
      <c r="J23" s="188"/>
      <c r="K23" s="188"/>
      <c r="L23" s="188"/>
      <c r="M23" s="188"/>
      <c r="N23" s="188"/>
      <c r="O23" s="188"/>
      <c r="P23" s="188"/>
      <c r="Q23" s="188"/>
      <c r="R23" s="188"/>
      <c r="S23" s="188"/>
    </row>
    <row r="24" spans="1:21">
      <c r="A24" s="323" t="s">
        <v>15</v>
      </c>
      <c r="B24" s="335">
        <v>1</v>
      </c>
      <c r="C24" s="335"/>
      <c r="D24" s="188"/>
      <c r="E24" s="188"/>
      <c r="F24" s="188"/>
      <c r="G24" s="188"/>
      <c r="H24" s="188"/>
      <c r="I24" s="188"/>
      <c r="J24" s="188"/>
      <c r="K24" s="188"/>
      <c r="L24" s="188"/>
      <c r="M24" s="188"/>
      <c r="N24" s="188"/>
      <c r="O24" s="188"/>
      <c r="P24" s="188"/>
      <c r="Q24" s="188"/>
      <c r="R24" s="188"/>
      <c r="S24" s="188"/>
    </row>
    <row r="25" spans="1:21">
      <c r="A25" s="323" t="s">
        <v>16</v>
      </c>
      <c r="B25" s="188" t="s">
        <v>17</v>
      </c>
      <c r="C25" s="188"/>
      <c r="D25" s="188"/>
      <c r="E25" s="188"/>
      <c r="F25" s="188"/>
      <c r="G25" s="188"/>
      <c r="H25" s="188"/>
      <c r="I25" s="188"/>
      <c r="J25" s="188"/>
      <c r="K25" s="188"/>
      <c r="L25" s="188"/>
      <c r="M25" s="188"/>
      <c r="N25" s="188"/>
      <c r="O25" s="188"/>
      <c r="P25" s="188"/>
      <c r="Q25" s="188"/>
      <c r="R25" s="188"/>
      <c r="S25" s="188"/>
    </row>
    <row r="26" spans="1:21">
      <c r="A26" s="323" t="s">
        <v>18</v>
      </c>
      <c r="B26" s="188" t="s">
        <v>18</v>
      </c>
      <c r="C26" s="188"/>
      <c r="D26" s="188"/>
      <c r="E26" s="188"/>
      <c r="F26" s="188"/>
      <c r="G26" s="188"/>
      <c r="H26" s="188"/>
      <c r="I26" s="188"/>
      <c r="J26" s="188"/>
      <c r="K26" s="188"/>
      <c r="L26" s="188"/>
      <c r="M26" s="188"/>
      <c r="N26" s="188"/>
      <c r="O26" s="188"/>
      <c r="P26" s="188"/>
      <c r="Q26" s="188"/>
      <c r="R26" s="188"/>
      <c r="S26" s="188"/>
    </row>
    <row r="27" spans="1:21">
      <c r="A27" s="320" t="s">
        <v>19</v>
      </c>
      <c r="B27" s="188"/>
      <c r="C27" s="188"/>
      <c r="D27" s="188"/>
      <c r="E27" s="188"/>
      <c r="F27" s="188"/>
      <c r="G27" s="188"/>
      <c r="H27" s="188"/>
      <c r="I27" s="188"/>
      <c r="J27" s="188"/>
      <c r="K27" s="188"/>
      <c r="L27" s="188"/>
      <c r="M27" s="188"/>
      <c r="N27" s="188"/>
      <c r="O27" s="188"/>
      <c r="P27" s="188"/>
      <c r="Q27" s="188"/>
      <c r="R27" s="188"/>
      <c r="S27" s="188"/>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P28" s="188"/>
      <c r="Q28" s="188"/>
      <c r="R28" s="188"/>
      <c r="S28" s="188"/>
      <c r="U28" s="111"/>
    </row>
    <row r="29" spans="1:21">
      <c r="A29" s="188" t="s">
        <v>953</v>
      </c>
      <c r="B29" s="188">
        <v>1</v>
      </c>
      <c r="C29" s="188"/>
      <c r="D29" s="188" t="s">
        <v>18</v>
      </c>
      <c r="E29" s="386" t="s">
        <v>2</v>
      </c>
      <c r="F29" s="188" t="s">
        <v>29</v>
      </c>
      <c r="G29" s="188" t="s">
        <v>14</v>
      </c>
      <c r="H29" s="188" t="s">
        <v>30</v>
      </c>
      <c r="I29" s="188">
        <v>1</v>
      </c>
      <c r="J29" s="188">
        <f>B29</f>
        <v>1</v>
      </c>
      <c r="K29" s="188" t="s">
        <v>31</v>
      </c>
      <c r="L29" s="188" t="s">
        <v>31</v>
      </c>
      <c r="M29" s="188" t="s">
        <v>31</v>
      </c>
      <c r="N29" s="188" t="s">
        <v>31</v>
      </c>
      <c r="O29" s="188"/>
      <c r="P29" s="188"/>
      <c r="Q29" s="188"/>
      <c r="R29" s="188"/>
      <c r="S29" s="188"/>
    </row>
    <row r="30" spans="1:21">
      <c r="A30" s="188" t="s">
        <v>957</v>
      </c>
      <c r="B30" s="188">
        <v>1</v>
      </c>
      <c r="C30" s="188"/>
      <c r="D30" s="188" t="s">
        <v>37</v>
      </c>
      <c r="E30" s="386" t="s">
        <v>2</v>
      </c>
      <c r="F30" s="188" t="s">
        <v>29</v>
      </c>
      <c r="G30" s="188" t="s">
        <v>14</v>
      </c>
      <c r="H30" s="188" t="s">
        <v>33</v>
      </c>
      <c r="I30" s="188">
        <v>2</v>
      </c>
      <c r="J30" s="188">
        <f>LN(B30)</f>
        <v>0</v>
      </c>
      <c r="K30" s="188">
        <v>0.10307764064044142</v>
      </c>
      <c r="L30" s="188" t="s">
        <v>31</v>
      </c>
      <c r="M30" s="188" t="s">
        <v>31</v>
      </c>
      <c r="N30" s="188" t="s">
        <v>31</v>
      </c>
      <c r="O30" s="188"/>
      <c r="P30" s="188"/>
      <c r="Q30" s="188"/>
      <c r="R30" s="188"/>
      <c r="S30" s="188"/>
    </row>
    <row r="31" spans="1:21">
      <c r="A31" s="323" t="s">
        <v>265</v>
      </c>
      <c r="B31" s="327">
        <f>Q31</f>
        <v>0.18</v>
      </c>
      <c r="C31" s="327"/>
      <c r="D31" s="188" t="s">
        <v>39</v>
      </c>
      <c r="E31" s="188" t="s">
        <v>40</v>
      </c>
      <c r="F31" s="188" t="s">
        <v>29</v>
      </c>
      <c r="G31" s="37" t="s">
        <v>35</v>
      </c>
      <c r="H31" s="188" t="s">
        <v>33</v>
      </c>
      <c r="I31" s="188">
        <v>2</v>
      </c>
      <c r="J31" s="188">
        <f t="shared" ref="J31:J37" si="1">LN(B31)</f>
        <v>-1.7147984280919266</v>
      </c>
      <c r="K31" s="188">
        <v>9.6046863561492793E-2</v>
      </c>
      <c r="L31" s="188" t="s">
        <v>31</v>
      </c>
      <c r="M31" s="188" t="s">
        <v>31</v>
      </c>
      <c r="N31" s="188" t="s">
        <v>31</v>
      </c>
      <c r="O31" s="188"/>
      <c r="P31" s="379" t="s">
        <v>271</v>
      </c>
      <c r="Q31" s="392">
        <v>0.18</v>
      </c>
      <c r="R31" s="188"/>
      <c r="S31" s="188"/>
    </row>
    <row r="32" spans="1:21">
      <c r="A32" s="37" t="s">
        <v>954</v>
      </c>
      <c r="B32" s="188">
        <f>S32</f>
        <v>4.2000000000000003E-2</v>
      </c>
      <c r="C32" s="188"/>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O32" s="188"/>
      <c r="P32" s="379" t="s">
        <v>857</v>
      </c>
      <c r="Q32" s="392">
        <v>42</v>
      </c>
      <c r="R32" s="379" t="s">
        <v>275</v>
      </c>
      <c r="S32" s="392">
        <f>0.001*Q32</f>
        <v>4.2000000000000003E-2</v>
      </c>
    </row>
    <row r="33" spans="1:21">
      <c r="A33" s="37" t="s">
        <v>955</v>
      </c>
      <c r="B33" s="188">
        <f>Q33</f>
        <v>0.78</v>
      </c>
      <c r="C33" s="188"/>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O33" s="188"/>
      <c r="P33" s="379" t="s">
        <v>275</v>
      </c>
      <c r="Q33" s="392">
        <v>0.78</v>
      </c>
      <c r="R33" s="188"/>
      <c r="S33" s="188"/>
    </row>
    <row r="34" spans="1:21">
      <c r="A34" s="416" t="s">
        <v>202</v>
      </c>
      <c r="B34" s="188">
        <f>S35</f>
        <v>0.159</v>
      </c>
      <c r="C34" s="192" t="s">
        <v>203</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O34" s="188"/>
      <c r="P34" s="379"/>
      <c r="Q34" s="392"/>
      <c r="R34" s="188"/>
      <c r="S34" s="188"/>
    </row>
    <row r="35" spans="1:21">
      <c r="A35" s="192" t="s">
        <v>201</v>
      </c>
      <c r="B35" s="188">
        <f>S35</f>
        <v>0.159</v>
      </c>
      <c r="C35" s="188"/>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O35" s="188"/>
      <c r="P35" s="396" t="s">
        <v>857</v>
      </c>
      <c r="Q35" s="397">
        <v>159</v>
      </c>
      <c r="R35" s="379" t="s">
        <v>275</v>
      </c>
      <c r="S35" s="392">
        <f>0.001*Q35</f>
        <v>0.159</v>
      </c>
    </row>
    <row r="36" spans="1:21">
      <c r="A36" s="37" t="s">
        <v>958</v>
      </c>
      <c r="B36" s="188">
        <f t="shared" ref="B36" si="2">S36</f>
        <v>0.159</v>
      </c>
      <c r="C36" s="188"/>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O36" s="188"/>
      <c r="P36" s="396" t="s">
        <v>857</v>
      </c>
      <c r="Q36" s="397">
        <v>159</v>
      </c>
      <c r="R36" s="379" t="s">
        <v>275</v>
      </c>
      <c r="S36" s="392">
        <f t="shared" ref="S36:S37" si="3">0.001*Q36</f>
        <v>0.159</v>
      </c>
    </row>
    <row r="37" spans="1:21">
      <c r="A37" s="37" t="s">
        <v>787</v>
      </c>
      <c r="B37" s="188">
        <f>S37</f>
        <v>4.2000000000000003E-2</v>
      </c>
      <c r="C37" s="188"/>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O37" s="188"/>
      <c r="P37" s="396" t="s">
        <v>857</v>
      </c>
      <c r="Q37" s="397">
        <v>42</v>
      </c>
      <c r="R37" s="379" t="s">
        <v>275</v>
      </c>
      <c r="S37" s="392">
        <f t="shared" si="3"/>
        <v>4.2000000000000003E-2</v>
      </c>
    </row>
    <row r="38" spans="1:21" s="73" customFormat="1">
      <c r="A38" s="347" t="s">
        <v>5</v>
      </c>
      <c r="B38" s="348" t="s">
        <v>957</v>
      </c>
      <c r="C38" s="348"/>
      <c r="D38" s="330"/>
      <c r="E38" s="330"/>
      <c r="F38" s="330"/>
      <c r="G38" s="330"/>
      <c r="H38" s="330"/>
      <c r="I38" s="330"/>
      <c r="J38" s="330"/>
      <c r="K38" s="330"/>
      <c r="L38" s="330"/>
      <c r="M38" s="330"/>
      <c r="N38" s="330"/>
      <c r="O38" s="330"/>
      <c r="P38" s="330"/>
      <c r="Q38" s="330"/>
      <c r="R38" s="330"/>
      <c r="S38" s="330"/>
    </row>
    <row r="39" spans="1:21">
      <c r="A39" s="323" t="s">
        <v>7</v>
      </c>
      <c r="B39" s="188" t="s">
        <v>831</v>
      </c>
      <c r="C39" s="188"/>
      <c r="D39" s="322"/>
      <c r="E39" s="188"/>
      <c r="F39" s="188"/>
      <c r="G39" s="188"/>
      <c r="H39" s="188"/>
      <c r="I39" s="188"/>
      <c r="J39" s="188"/>
      <c r="K39" s="188"/>
      <c r="L39" s="188"/>
      <c r="M39" s="188"/>
      <c r="N39" s="188"/>
      <c r="O39" s="188"/>
      <c r="P39" s="188"/>
      <c r="Q39" s="188"/>
      <c r="R39" s="188"/>
      <c r="S39" s="188"/>
    </row>
    <row r="40" spans="1:21">
      <c r="A40" s="402" t="s">
        <v>9</v>
      </c>
      <c r="B40" s="188" t="s">
        <v>959</v>
      </c>
      <c r="C40" s="188"/>
      <c r="D40" s="322"/>
      <c r="E40" s="188"/>
      <c r="F40" s="188"/>
      <c r="G40" s="188"/>
      <c r="H40" s="188"/>
      <c r="I40" s="188"/>
      <c r="J40" s="188"/>
      <c r="K40" s="188"/>
      <c r="L40" s="188"/>
      <c r="M40" s="188"/>
      <c r="N40" s="188"/>
      <c r="O40" s="188"/>
      <c r="P40" s="188"/>
      <c r="Q40" s="188"/>
      <c r="R40" s="188"/>
      <c r="S40" s="188"/>
    </row>
    <row r="41" spans="1:21" ht="15.75" customHeight="1">
      <c r="A41" s="323" t="s">
        <v>11</v>
      </c>
      <c r="B41" s="324" t="s">
        <v>841</v>
      </c>
      <c r="C41" s="324"/>
      <c r="D41" s="188"/>
      <c r="E41" s="188"/>
      <c r="F41" s="188"/>
      <c r="G41" s="188"/>
      <c r="H41" s="188"/>
      <c r="I41" s="188"/>
      <c r="J41" s="188"/>
      <c r="K41" s="188"/>
      <c r="L41" s="188"/>
      <c r="M41" s="188"/>
      <c r="N41" s="188"/>
      <c r="O41" s="188"/>
      <c r="P41" s="188"/>
      <c r="Q41" s="188"/>
      <c r="R41" s="188"/>
      <c r="S41" s="188"/>
    </row>
    <row r="42" spans="1:21">
      <c r="A42" s="323" t="s">
        <v>13</v>
      </c>
      <c r="B42" s="188" t="s">
        <v>14</v>
      </c>
      <c r="C42" s="188"/>
      <c r="D42" s="188"/>
      <c r="E42" s="188"/>
      <c r="F42" s="188"/>
      <c r="G42" s="188"/>
      <c r="H42" s="188"/>
      <c r="I42" s="188"/>
      <c r="J42" s="188"/>
      <c r="K42" s="188"/>
      <c r="L42" s="188"/>
      <c r="M42" s="188"/>
      <c r="N42" s="188"/>
      <c r="O42" s="188"/>
      <c r="P42" s="188"/>
      <c r="Q42" s="188"/>
      <c r="R42" s="188"/>
      <c r="S42" s="188"/>
    </row>
    <row r="43" spans="1:21">
      <c r="A43" s="323" t="s">
        <v>15</v>
      </c>
      <c r="B43" s="335">
        <v>3.15</v>
      </c>
      <c r="C43" s="335"/>
      <c r="D43" s="188"/>
      <c r="E43" s="188"/>
      <c r="F43" s="188"/>
      <c r="G43" s="188"/>
      <c r="H43" s="188"/>
      <c r="I43" s="188"/>
      <c r="J43" s="188"/>
      <c r="K43" s="188"/>
      <c r="L43" s="188"/>
      <c r="M43" s="188"/>
      <c r="N43" s="188"/>
      <c r="O43" s="188"/>
      <c r="P43" s="188"/>
      <c r="Q43" s="188"/>
      <c r="R43" s="188"/>
      <c r="S43" s="188"/>
    </row>
    <row r="44" spans="1:21">
      <c r="A44" s="323" t="s">
        <v>16</v>
      </c>
      <c r="B44" s="188" t="s">
        <v>17</v>
      </c>
      <c r="C44" s="188"/>
      <c r="D44" s="188"/>
      <c r="E44" s="188"/>
      <c r="F44" s="188"/>
      <c r="G44" s="188"/>
      <c r="H44" s="188"/>
      <c r="I44" s="188"/>
      <c r="J44" s="188"/>
      <c r="K44" s="188"/>
      <c r="L44" s="188"/>
      <c r="M44" s="188"/>
      <c r="N44" s="188"/>
      <c r="O44" s="188"/>
      <c r="P44" s="188"/>
      <c r="Q44" s="188"/>
      <c r="R44" s="188"/>
      <c r="S44" s="188"/>
    </row>
    <row r="45" spans="1:21">
      <c r="A45" s="323" t="s">
        <v>18</v>
      </c>
      <c r="B45" s="188" t="s">
        <v>37</v>
      </c>
      <c r="C45" s="188"/>
      <c r="D45" s="188"/>
      <c r="E45" s="188"/>
      <c r="F45" s="188"/>
      <c r="G45" s="188"/>
      <c r="H45" s="188"/>
      <c r="I45" s="188"/>
      <c r="J45" s="188"/>
      <c r="K45" s="188"/>
      <c r="L45" s="188"/>
      <c r="M45" s="188"/>
      <c r="N45" s="188"/>
      <c r="O45" s="188"/>
      <c r="P45" s="188"/>
      <c r="Q45" s="188"/>
      <c r="R45" s="188"/>
      <c r="S45" s="188"/>
    </row>
    <row r="46" spans="1:21">
      <c r="A46" s="320" t="s">
        <v>19</v>
      </c>
      <c r="B46" s="188"/>
      <c r="C46" s="188"/>
      <c r="D46" s="188"/>
      <c r="E46" s="188"/>
      <c r="F46" s="188"/>
      <c r="G46" s="188"/>
      <c r="H46" s="188"/>
      <c r="I46" s="188"/>
      <c r="J46" s="188"/>
      <c r="K46" s="188"/>
      <c r="L46" s="188"/>
      <c r="M46" s="188"/>
      <c r="N46" s="188"/>
      <c r="O46" s="188"/>
      <c r="P46" s="188"/>
      <c r="Q46" s="188"/>
      <c r="R46" s="188"/>
      <c r="S46" s="188"/>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P47" s="188"/>
      <c r="Q47" s="188"/>
      <c r="R47" s="188"/>
      <c r="S47" s="188"/>
      <c r="U47" s="111"/>
    </row>
    <row r="48" spans="1:21">
      <c r="A48" s="188" t="s">
        <v>957</v>
      </c>
      <c r="B48" s="188">
        <v>3.15</v>
      </c>
      <c r="C48" s="188"/>
      <c r="D48" s="188" t="s">
        <v>37</v>
      </c>
      <c r="E48" s="386" t="s">
        <v>2</v>
      </c>
      <c r="F48" s="188" t="s">
        <v>29</v>
      </c>
      <c r="G48" s="188" t="s">
        <v>14</v>
      </c>
      <c r="H48" s="188" t="s">
        <v>30</v>
      </c>
      <c r="I48" s="188">
        <v>2</v>
      </c>
      <c r="J48" s="188">
        <f>LN(B48)</f>
        <v>1.1474024528375417</v>
      </c>
      <c r="K48" s="188">
        <v>0.10307764064044142</v>
      </c>
      <c r="L48" s="188" t="s">
        <v>31</v>
      </c>
      <c r="M48" s="188" t="s">
        <v>31</v>
      </c>
      <c r="N48" s="188" t="s">
        <v>31</v>
      </c>
      <c r="O48" s="188"/>
      <c r="P48" s="188"/>
      <c r="Q48" s="188"/>
      <c r="R48" s="188"/>
      <c r="S48" s="188"/>
    </row>
    <row r="49" spans="1:25">
      <c r="A49" s="37" t="s">
        <v>958</v>
      </c>
      <c r="B49" s="188">
        <f>Q49</f>
        <v>3.34</v>
      </c>
      <c r="C49" s="188"/>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O49" s="188"/>
      <c r="P49" s="379" t="s">
        <v>275</v>
      </c>
      <c r="Q49" s="392">
        <v>3.34</v>
      </c>
      <c r="R49" s="188"/>
      <c r="S49" s="188"/>
    </row>
    <row r="50" spans="1:25">
      <c r="A50" s="27" t="s">
        <v>69</v>
      </c>
      <c r="B50" s="188">
        <f>S50</f>
        <v>0.88772845953002621</v>
      </c>
      <c r="C50" s="188"/>
      <c r="D50" s="188" t="s">
        <v>42</v>
      </c>
      <c r="E50" s="188" t="s">
        <v>40</v>
      </c>
      <c r="F50" s="188" t="s">
        <v>29</v>
      </c>
      <c r="G50" s="188" t="s">
        <v>272</v>
      </c>
      <c r="H50" s="188" t="s">
        <v>33</v>
      </c>
      <c r="I50" s="188">
        <v>2</v>
      </c>
      <c r="J50" s="188">
        <f t="shared" si="4"/>
        <v>-0.11908937157043879</v>
      </c>
      <c r="K50" s="188">
        <v>4.9999999999998969E-3</v>
      </c>
      <c r="L50" s="188" t="s">
        <v>31</v>
      </c>
      <c r="M50" s="188" t="s">
        <v>31</v>
      </c>
      <c r="N50" s="188" t="s">
        <v>31</v>
      </c>
      <c r="O50" s="188"/>
      <c r="P50" s="379" t="s">
        <v>270</v>
      </c>
      <c r="Q50" s="392">
        <v>34</v>
      </c>
      <c r="R50" s="188" t="s">
        <v>274</v>
      </c>
      <c r="S50" s="188">
        <f>Q50/38.3</f>
        <v>0.88772845953002621</v>
      </c>
      <c r="T50" s="147"/>
      <c r="U50" s="146"/>
      <c r="V50" s="146"/>
      <c r="W50" s="146"/>
      <c r="X50" s="146"/>
      <c r="Y50" s="146"/>
    </row>
    <row r="51" spans="1:25">
      <c r="A51" s="323" t="s">
        <v>265</v>
      </c>
      <c r="B51" s="327">
        <f>Q51</f>
        <v>8.19</v>
      </c>
      <c r="C51" s="327"/>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O51" s="188"/>
      <c r="P51" s="379" t="s">
        <v>271</v>
      </c>
      <c r="Q51" s="392">
        <v>8.19</v>
      </c>
      <c r="R51" s="188"/>
      <c r="S51" s="188"/>
    </row>
    <row r="52" spans="1:25">
      <c r="A52" s="37" t="s">
        <v>960</v>
      </c>
      <c r="B52" s="188">
        <f>S52</f>
        <v>6.3E-2</v>
      </c>
      <c r="C52" s="188"/>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O52" s="188"/>
      <c r="P52" s="379" t="s">
        <v>857</v>
      </c>
      <c r="Q52" s="392">
        <v>63</v>
      </c>
      <c r="R52" s="379" t="s">
        <v>275</v>
      </c>
      <c r="S52" s="392">
        <f t="shared" ref="S52:S55" si="5">0.001*Q52</f>
        <v>6.3E-2</v>
      </c>
    </row>
    <row r="53" spans="1:25">
      <c r="A53" s="37" t="s">
        <v>961</v>
      </c>
      <c r="B53" s="188">
        <f>S53</f>
        <v>1.3000000000000002E-3</v>
      </c>
      <c r="C53" s="188"/>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O53" s="188"/>
      <c r="P53" s="394" t="s">
        <v>857</v>
      </c>
      <c r="Q53" s="417">
        <v>1.3</v>
      </c>
      <c r="R53" s="379" t="s">
        <v>275</v>
      </c>
      <c r="S53" s="392">
        <f t="shared" si="5"/>
        <v>1.3000000000000002E-3</v>
      </c>
    </row>
    <row r="54" spans="1:25">
      <c r="A54" s="323" t="s">
        <v>807</v>
      </c>
      <c r="B54" s="188">
        <f>S54</f>
        <v>1.3000000000000002E-3</v>
      </c>
      <c r="C54" s="188"/>
      <c r="D54" s="188" t="s">
        <v>37</v>
      </c>
      <c r="E54" s="188" t="s">
        <v>43</v>
      </c>
      <c r="F54" s="188" t="s">
        <v>44</v>
      </c>
      <c r="G54" s="37" t="s">
        <v>29</v>
      </c>
      <c r="H54" s="188" t="s">
        <v>45</v>
      </c>
      <c r="I54" s="188">
        <v>2</v>
      </c>
      <c r="J54" s="188">
        <f t="shared" si="4"/>
        <v>-6.6453910145146455</v>
      </c>
      <c r="K54" s="188">
        <v>8.9582364335844641E-2</v>
      </c>
      <c r="L54" s="188" t="s">
        <v>31</v>
      </c>
      <c r="M54" s="188" t="s">
        <v>31</v>
      </c>
      <c r="N54" s="188" t="s">
        <v>31</v>
      </c>
      <c r="O54" s="188"/>
      <c r="P54" s="394" t="s">
        <v>857</v>
      </c>
      <c r="Q54" s="417">
        <v>1.3</v>
      </c>
      <c r="R54" s="379" t="s">
        <v>275</v>
      </c>
      <c r="S54" s="392">
        <f t="shared" si="5"/>
        <v>1.3000000000000002E-3</v>
      </c>
    </row>
    <row r="55" spans="1:25">
      <c r="A55" s="416" t="s">
        <v>202</v>
      </c>
      <c r="B55" s="188">
        <f>S55</f>
        <v>3.2000000000000002E-3</v>
      </c>
      <c r="C55" s="192" t="s">
        <v>203</v>
      </c>
      <c r="D55" s="188" t="s">
        <v>37</v>
      </c>
      <c r="E55" s="188" t="s">
        <v>40</v>
      </c>
      <c r="F55" s="188" t="s">
        <v>29</v>
      </c>
      <c r="G55" s="37" t="s">
        <v>35</v>
      </c>
      <c r="H55" s="188" t="s">
        <v>33</v>
      </c>
      <c r="I55" s="188">
        <v>2</v>
      </c>
      <c r="J55" s="188">
        <f t="shared" si="4"/>
        <v>-5.7446044691764557</v>
      </c>
      <c r="K55" s="188">
        <v>9.6046863561492793E-2</v>
      </c>
      <c r="L55" s="188" t="s">
        <v>31</v>
      </c>
      <c r="M55" s="188" t="s">
        <v>31</v>
      </c>
      <c r="N55" s="188" t="s">
        <v>31</v>
      </c>
      <c r="O55" s="188"/>
      <c r="P55" s="394" t="s">
        <v>857</v>
      </c>
      <c r="Q55" s="417">
        <v>3.2</v>
      </c>
      <c r="R55" s="379" t="s">
        <v>275</v>
      </c>
      <c r="S55" s="392">
        <f t="shared" si="5"/>
        <v>3.2000000000000002E-3</v>
      </c>
    </row>
    <row r="56" spans="1:25">
      <c r="A56" s="192" t="s">
        <v>201</v>
      </c>
      <c r="B56" s="188">
        <f>S55</f>
        <v>3.2000000000000002E-3</v>
      </c>
      <c r="C56" s="188"/>
      <c r="D56" s="188" t="s">
        <v>37</v>
      </c>
      <c r="E56" s="188" t="s">
        <v>40</v>
      </c>
      <c r="F56" s="188" t="s">
        <v>29</v>
      </c>
      <c r="G56" s="188" t="s">
        <v>35</v>
      </c>
      <c r="H56" s="188" t="s">
        <v>33</v>
      </c>
      <c r="I56" s="188">
        <v>2</v>
      </c>
      <c r="J56" s="188">
        <f t="shared" si="4"/>
        <v>-5.7446044691764557</v>
      </c>
      <c r="K56" s="188">
        <v>4.9999999999998969E-3</v>
      </c>
      <c r="L56" s="188" t="s">
        <v>31</v>
      </c>
      <c r="M56" s="188" t="s">
        <v>31</v>
      </c>
      <c r="N56" s="188" t="s">
        <v>31</v>
      </c>
      <c r="O56" s="188"/>
      <c r="P56" s="396" t="s">
        <v>275</v>
      </c>
      <c r="Q56" s="417">
        <v>0.19</v>
      </c>
      <c r="R56" s="188"/>
      <c r="S56" s="188"/>
    </row>
    <row r="57" spans="1:25">
      <c r="A57" s="37" t="s">
        <v>958</v>
      </c>
      <c r="B57" s="188">
        <f>Q56</f>
        <v>0.19</v>
      </c>
      <c r="C57" s="188"/>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N139"/>
  <sheetViews>
    <sheetView topLeftCell="A107" zoomScale="85" zoomScaleNormal="85" workbookViewId="0">
      <selection activeCell="A136" sqref="A136:B139"/>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14" max="14" width="12.28515625" bestFit="1" customWidth="1"/>
  </cols>
  <sheetData>
    <row r="1" spans="1:13">
      <c r="A1" t="s">
        <v>0</v>
      </c>
      <c r="B1">
        <v>13</v>
      </c>
    </row>
    <row r="2" spans="1:13" ht="15.6">
      <c r="A2" s="1" t="s">
        <v>5</v>
      </c>
      <c r="B2" s="2" t="s">
        <v>53</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61</v>
      </c>
      <c r="C4" s="4"/>
      <c r="D4" s="13"/>
      <c r="E4" s="13"/>
      <c r="F4" s="13"/>
      <c r="G4" s="13"/>
      <c r="H4" s="13"/>
      <c r="I4" s="13"/>
      <c r="J4" s="13"/>
      <c r="K4" s="13"/>
      <c r="L4" s="13"/>
      <c r="M4" s="13"/>
    </row>
    <row r="5" spans="1:13" ht="29.1">
      <c r="A5" s="12" t="s">
        <v>11</v>
      </c>
      <c r="B5" s="14" t="s">
        <v>62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6">
      <c r="A10" s="5" t="s">
        <v>19</v>
      </c>
      <c r="B10" s="13"/>
      <c r="C10" s="13"/>
      <c r="D10" s="13"/>
      <c r="E10" s="13"/>
      <c r="F10" s="13"/>
      <c r="G10" s="13"/>
      <c r="H10" s="13"/>
      <c r="I10" s="13"/>
      <c r="J10" s="13"/>
      <c r="K10" s="13"/>
      <c r="L10" s="13"/>
      <c r="M10" s="13"/>
    </row>
    <row r="11" spans="1:13" ht="15.6">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6">
      <c r="A12" s="7" t="s">
        <v>53</v>
      </c>
      <c r="B12" s="13">
        <v>1</v>
      </c>
      <c r="C12" s="13" t="s">
        <v>18</v>
      </c>
      <c r="D12" s="8" t="s">
        <v>2</v>
      </c>
      <c r="E12" s="13" t="s">
        <v>29</v>
      </c>
      <c r="F12" s="15" t="s">
        <v>14</v>
      </c>
      <c r="G12" s="13" t="s">
        <v>30</v>
      </c>
      <c r="H12" s="13">
        <v>1</v>
      </c>
      <c r="I12" s="13">
        <v>1</v>
      </c>
      <c r="J12" s="13" t="s">
        <v>31</v>
      </c>
      <c r="K12" s="13" t="s">
        <v>31</v>
      </c>
      <c r="L12" s="13" t="s">
        <v>31</v>
      </c>
      <c r="M12" s="13" t="s">
        <v>31</v>
      </c>
    </row>
    <row r="13" spans="1:13" ht="15.6">
      <c r="A13" s="7" t="s">
        <v>63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6">
      <c r="A14" s="7" t="s">
        <v>64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6">
      <c r="A15" s="7" t="s">
        <v>65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6">
      <c r="A16" s="7" t="s">
        <v>66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6">
      <c r="A17" s="7" t="s">
        <v>67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6">
      <c r="A18" s="7" t="s">
        <v>68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6">
      <c r="A19" s="7" t="s">
        <v>38</v>
      </c>
      <c r="B19" s="13">
        <v>40912.711200000005</v>
      </c>
      <c r="C19" s="13" t="s">
        <v>39</v>
      </c>
      <c r="D19" s="8" t="s">
        <v>40</v>
      </c>
      <c r="E19" s="13" t="s">
        <v>29</v>
      </c>
      <c r="F19" s="15" t="s">
        <v>14</v>
      </c>
      <c r="G19" s="13" t="s">
        <v>33</v>
      </c>
      <c r="H19" s="13">
        <v>2</v>
      </c>
      <c r="I19" s="13">
        <f>LN(B19)</f>
        <v>10.619196081032593</v>
      </c>
      <c r="J19" s="13">
        <v>5.0990195135927806E-2</v>
      </c>
      <c r="K19" s="13" t="s">
        <v>31</v>
      </c>
      <c r="L19" s="13" t="s">
        <v>31</v>
      </c>
      <c r="M19" s="13" t="s">
        <v>31</v>
      </c>
    </row>
    <row r="20" spans="1:13" ht="15.6">
      <c r="A20" s="7" t="s">
        <v>69</v>
      </c>
      <c r="B20" s="13">
        <f>121478.3322/(1/3.6)/38.3</f>
        <v>11418.328875195824</v>
      </c>
      <c r="C20" s="13" t="s">
        <v>42</v>
      </c>
      <c r="D20" s="8" t="s">
        <v>40</v>
      </c>
      <c r="E20" s="13" t="s">
        <v>29</v>
      </c>
      <c r="F20" s="15" t="s">
        <v>14</v>
      </c>
      <c r="G20" s="13" t="s">
        <v>33</v>
      </c>
      <c r="H20" s="13">
        <v>2</v>
      </c>
      <c r="I20" s="13">
        <f t="shared" ref="I20:I30" si="1">LN(B20)</f>
        <v>9.3429751393320153</v>
      </c>
      <c r="J20" s="13">
        <v>5.0990195135927806E-2</v>
      </c>
      <c r="K20" s="13" t="s">
        <v>31</v>
      </c>
      <c r="L20" s="13" t="s">
        <v>31</v>
      </c>
      <c r="M20" s="13" t="s">
        <v>31</v>
      </c>
    </row>
    <row r="21" spans="1:13" ht="15.6">
      <c r="A21" s="7" t="s">
        <v>70</v>
      </c>
      <c r="B21" s="13">
        <f>17619.6*3.6</f>
        <v>63430.559999999998</v>
      </c>
      <c r="C21" s="13" t="s">
        <v>71</v>
      </c>
      <c r="D21" s="8" t="s">
        <v>40</v>
      </c>
      <c r="E21" s="13" t="s">
        <v>29</v>
      </c>
      <c r="F21" s="15" t="s">
        <v>59</v>
      </c>
      <c r="G21" s="13" t="s">
        <v>33</v>
      </c>
      <c r="H21" s="13">
        <v>2</v>
      </c>
      <c r="I21" s="13">
        <f t="shared" si="1"/>
        <v>11.057701043218957</v>
      </c>
      <c r="J21" s="13">
        <v>5.0990195135927806E-2</v>
      </c>
      <c r="K21" s="13" t="s">
        <v>31</v>
      </c>
      <c r="L21" s="13" t="s">
        <v>31</v>
      </c>
      <c r="M21" s="13" t="s">
        <v>31</v>
      </c>
    </row>
    <row r="22" spans="1:13" ht="15.6">
      <c r="A22" s="7" t="s">
        <v>72</v>
      </c>
      <c r="B22" s="13">
        <f>8.8098*3.6/44.8</f>
        <v>0.70793035714285713</v>
      </c>
      <c r="C22" s="13" t="s">
        <v>37</v>
      </c>
      <c r="D22" s="8" t="s">
        <v>40</v>
      </c>
      <c r="E22" s="13" t="s">
        <v>29</v>
      </c>
      <c r="F22" s="15" t="s">
        <v>14</v>
      </c>
      <c r="G22" s="13" t="s">
        <v>33</v>
      </c>
      <c r="H22" s="13">
        <v>2</v>
      </c>
      <c r="I22" s="13">
        <f t="shared" si="1"/>
        <v>-0.34540955574406534</v>
      </c>
      <c r="J22" s="13">
        <v>5.0990195135927806E-2</v>
      </c>
      <c r="K22" s="13" t="s">
        <v>31</v>
      </c>
      <c r="L22" s="13" t="s">
        <v>31</v>
      </c>
      <c r="M22" s="13" t="s">
        <v>31</v>
      </c>
    </row>
    <row r="23" spans="1:13" ht="15.6">
      <c r="A23" s="7" t="s">
        <v>73</v>
      </c>
      <c r="B23" s="13">
        <f>5321.1192*3.6/46.2</f>
        <v>414.63266493506489</v>
      </c>
      <c r="C23" s="13" t="s">
        <v>37</v>
      </c>
      <c r="D23" s="8" t="s">
        <v>40</v>
      </c>
      <c r="E23" s="13" t="s">
        <v>29</v>
      </c>
      <c r="F23" s="15" t="s">
        <v>74</v>
      </c>
      <c r="G23" s="13" t="s">
        <v>33</v>
      </c>
      <c r="H23" s="13">
        <v>2</v>
      </c>
      <c r="I23" s="13">
        <f t="shared" si="1"/>
        <v>6.0273929835239954</v>
      </c>
      <c r="J23" s="13">
        <v>5.0990195135927806E-2</v>
      </c>
      <c r="K23" s="13" t="s">
        <v>31</v>
      </c>
      <c r="L23" s="13" t="s">
        <v>31</v>
      </c>
      <c r="M23" s="13" t="s">
        <v>31</v>
      </c>
    </row>
    <row r="24" spans="1:13" ht="15.6">
      <c r="A24" s="7" t="s">
        <v>75</v>
      </c>
      <c r="B24" s="9">
        <v>8809.8000000000011</v>
      </c>
      <c r="C24" s="13" t="s">
        <v>37</v>
      </c>
      <c r="D24" s="8" t="s">
        <v>40</v>
      </c>
      <c r="E24" s="13" t="s">
        <v>29</v>
      </c>
      <c r="F24" s="15" t="s">
        <v>59</v>
      </c>
      <c r="G24" s="13" t="s">
        <v>33</v>
      </c>
      <c r="H24" s="13">
        <v>2</v>
      </c>
      <c r="I24" s="13">
        <f t="shared" si="1"/>
        <v>9.0836200171969477</v>
      </c>
      <c r="J24" s="13">
        <v>5.0990195135927806E-2</v>
      </c>
      <c r="K24" s="13" t="s">
        <v>31</v>
      </c>
      <c r="L24" s="13" t="s">
        <v>31</v>
      </c>
      <c r="M24" s="13" t="s">
        <v>31</v>
      </c>
    </row>
    <row r="25" spans="1:13" ht="15.6">
      <c r="A25" s="7" t="s">
        <v>76</v>
      </c>
      <c r="B25" s="9">
        <f>8809.8/1000</f>
        <v>8.8097999999999992</v>
      </c>
      <c r="C25" s="13" t="s">
        <v>42</v>
      </c>
      <c r="D25" s="8" t="s">
        <v>40</v>
      </c>
      <c r="E25" s="13" t="s">
        <v>29</v>
      </c>
      <c r="F25" s="15" t="s">
        <v>74</v>
      </c>
      <c r="G25" s="13" t="s">
        <v>33</v>
      </c>
      <c r="H25" s="13">
        <v>2</v>
      </c>
      <c r="I25" s="13">
        <f t="shared" si="1"/>
        <v>2.1758647382148095</v>
      </c>
      <c r="J25" s="13">
        <v>5.0990195135927806E-2</v>
      </c>
      <c r="K25" s="13" t="s">
        <v>31</v>
      </c>
      <c r="L25" s="13" t="s">
        <v>31</v>
      </c>
      <c r="M25" s="13" t="s">
        <v>31</v>
      </c>
    </row>
    <row r="26" spans="1:13" ht="15.6">
      <c r="A26" s="7" t="s">
        <v>77</v>
      </c>
      <c r="B26" s="9">
        <v>4852.4378400000005</v>
      </c>
      <c r="C26" s="13" t="s">
        <v>37</v>
      </c>
      <c r="D26" s="8" t="s">
        <v>43</v>
      </c>
      <c r="E26" s="13" t="s">
        <v>44</v>
      </c>
      <c r="F26" s="15" t="s">
        <v>29</v>
      </c>
      <c r="G26" s="13" t="s">
        <v>45</v>
      </c>
      <c r="H26" s="13">
        <v>2</v>
      </c>
      <c r="I26" s="13">
        <f t="shared" si="1"/>
        <v>8.4872365050693102</v>
      </c>
      <c r="J26" s="13">
        <v>5.0990195135927806E-2</v>
      </c>
      <c r="K26" s="13" t="s">
        <v>31</v>
      </c>
      <c r="L26" s="13" t="s">
        <v>31</v>
      </c>
      <c r="M26" s="13" t="s">
        <v>31</v>
      </c>
    </row>
    <row r="27" spans="1:13" ht="15.6">
      <c r="A27" s="7" t="s">
        <v>78</v>
      </c>
      <c r="B27" s="9">
        <v>46.195208236800006</v>
      </c>
      <c r="C27" s="13" t="s">
        <v>37</v>
      </c>
      <c r="D27" s="8" t="s">
        <v>43</v>
      </c>
      <c r="E27" s="13" t="s">
        <v>44</v>
      </c>
      <c r="F27" s="15" t="s">
        <v>29</v>
      </c>
      <c r="G27" s="13" t="s">
        <v>45</v>
      </c>
      <c r="H27" s="13">
        <v>2</v>
      </c>
      <c r="I27" s="13">
        <f t="shared" si="1"/>
        <v>3.8328760748904465</v>
      </c>
      <c r="J27" s="13">
        <v>5.0990195135927806E-2</v>
      </c>
      <c r="K27" s="13" t="s">
        <v>31</v>
      </c>
      <c r="L27" s="13" t="s">
        <v>31</v>
      </c>
      <c r="M27" s="13" t="s">
        <v>31</v>
      </c>
    </row>
    <row r="28" spans="1:13" ht="15.6">
      <c r="A28" s="7" t="s">
        <v>79</v>
      </c>
      <c r="B28" s="9">
        <v>0.54185555880000014</v>
      </c>
      <c r="C28" s="13" t="s">
        <v>37</v>
      </c>
      <c r="D28" s="8" t="s">
        <v>43</v>
      </c>
      <c r="E28" s="13" t="s">
        <v>44</v>
      </c>
      <c r="F28" s="15" t="s">
        <v>29</v>
      </c>
      <c r="G28" s="13" t="s">
        <v>45</v>
      </c>
      <c r="H28" s="13">
        <v>2</v>
      </c>
      <c r="I28" s="13">
        <f t="shared" si="1"/>
        <v>-0.61275580973800747</v>
      </c>
      <c r="J28" s="13">
        <v>5.0990195135927806E-2</v>
      </c>
      <c r="K28" s="13" t="s">
        <v>31</v>
      </c>
      <c r="L28" s="13" t="s">
        <v>31</v>
      </c>
      <c r="M28" s="13" t="s">
        <v>31</v>
      </c>
    </row>
    <row r="29" spans="1:13" ht="15.6">
      <c r="A29" s="7" t="s">
        <v>80</v>
      </c>
      <c r="B29" s="9">
        <v>0.61464212640000004</v>
      </c>
      <c r="C29" s="13" t="s">
        <v>37</v>
      </c>
      <c r="D29" s="8" t="s">
        <v>43</v>
      </c>
      <c r="E29" s="13" t="s">
        <v>44</v>
      </c>
      <c r="F29" s="15" t="s">
        <v>29</v>
      </c>
      <c r="G29" s="13" t="s">
        <v>45</v>
      </c>
      <c r="H29" s="13">
        <v>2</v>
      </c>
      <c r="I29" s="13">
        <f t="shared" si="1"/>
        <v>-0.48671508884264264</v>
      </c>
      <c r="J29" s="13">
        <v>5.0990195135927806E-2</v>
      </c>
      <c r="K29" s="13" t="s">
        <v>31</v>
      </c>
      <c r="L29" s="13" t="s">
        <v>31</v>
      </c>
      <c r="M29" s="13" t="s">
        <v>31</v>
      </c>
    </row>
    <row r="30" spans="1:13" ht="15.6">
      <c r="A30" s="10" t="s">
        <v>81</v>
      </c>
      <c r="B30" s="9">
        <v>220.24500000000003</v>
      </c>
      <c r="C30" s="13" t="s">
        <v>37</v>
      </c>
      <c r="D30" s="8" t="s">
        <v>40</v>
      </c>
      <c r="E30" s="13" t="s">
        <v>29</v>
      </c>
      <c r="F30" s="15" t="s">
        <v>82</v>
      </c>
      <c r="G30" s="13" t="s">
        <v>33</v>
      </c>
      <c r="H30" s="13">
        <v>2</v>
      </c>
      <c r="I30" s="13">
        <f t="shared" si="1"/>
        <v>5.394740563083011</v>
      </c>
      <c r="J30" s="13">
        <v>5.0990195135927806E-2</v>
      </c>
      <c r="K30" s="13" t="s">
        <v>31</v>
      </c>
      <c r="L30" s="13" t="s">
        <v>31</v>
      </c>
      <c r="M30" s="13" t="s">
        <v>31</v>
      </c>
    </row>
    <row r="31" spans="1:13" ht="15.6">
      <c r="A31" s="1" t="s">
        <v>5</v>
      </c>
      <c r="B31" s="2" t="s">
        <v>63</v>
      </c>
      <c r="C31" s="3"/>
      <c r="D31" s="11"/>
      <c r="E31" s="11"/>
      <c r="F31" s="11"/>
      <c r="G31" s="11"/>
      <c r="H31" s="11"/>
      <c r="I31" s="11"/>
      <c r="J31" s="11"/>
      <c r="K31" s="11"/>
      <c r="L31" s="11"/>
      <c r="M31" s="11"/>
    </row>
    <row r="32" spans="1:13">
      <c r="A32" s="12" t="s">
        <v>7</v>
      </c>
      <c r="B32" s="13" t="s">
        <v>49</v>
      </c>
      <c r="C32" s="4"/>
      <c r="D32" s="13"/>
      <c r="E32" s="13"/>
      <c r="F32" s="13"/>
      <c r="G32" s="13"/>
      <c r="H32" s="13"/>
      <c r="I32" s="13"/>
      <c r="J32" s="13"/>
      <c r="K32" s="13"/>
      <c r="L32" s="13"/>
      <c r="M32" s="13"/>
    </row>
    <row r="33" spans="1:13">
      <c r="A33" s="12" t="s">
        <v>9</v>
      </c>
      <c r="B33" s="13" t="s">
        <v>83</v>
      </c>
      <c r="C33" s="13"/>
      <c r="D33" s="13"/>
      <c r="E33" s="13"/>
      <c r="F33" s="13"/>
      <c r="G33" s="13"/>
      <c r="H33" s="13"/>
      <c r="I33" s="13"/>
      <c r="J33" s="13"/>
      <c r="K33" s="13"/>
      <c r="L33" s="13"/>
      <c r="M33" s="13"/>
    </row>
    <row r="34" spans="1:13" ht="29.1">
      <c r="A34" s="12" t="s">
        <v>11</v>
      </c>
      <c r="B34" s="14" t="s">
        <v>84</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6">
      <c r="A39" s="5" t="s">
        <v>19</v>
      </c>
      <c r="B39" s="13"/>
      <c r="C39" s="13"/>
      <c r="D39" s="13"/>
      <c r="E39" s="13"/>
      <c r="F39" s="13"/>
      <c r="G39" s="13"/>
      <c r="H39" s="13"/>
      <c r="I39" s="13"/>
      <c r="J39" s="13"/>
      <c r="K39" s="13"/>
      <c r="L39" s="13"/>
      <c r="M39" s="13"/>
    </row>
    <row r="40" spans="1:13" ht="15.6">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6">
      <c r="A41" s="7" t="s">
        <v>63</v>
      </c>
      <c r="B41" s="13">
        <v>1</v>
      </c>
      <c r="C41" s="13" t="s">
        <v>18</v>
      </c>
      <c r="D41" s="8" t="s">
        <v>2</v>
      </c>
      <c r="E41" s="13" t="s">
        <v>29</v>
      </c>
      <c r="F41" s="15" t="s">
        <v>14</v>
      </c>
      <c r="G41" s="13" t="s">
        <v>30</v>
      </c>
      <c r="H41" s="13">
        <v>1</v>
      </c>
      <c r="I41" s="13">
        <v>1</v>
      </c>
      <c r="J41" s="13" t="s">
        <v>31</v>
      </c>
      <c r="K41" s="13" t="s">
        <v>31</v>
      </c>
      <c r="L41" s="13" t="s">
        <v>31</v>
      </c>
      <c r="M41" s="13" t="s">
        <v>31</v>
      </c>
    </row>
    <row r="42" spans="1:13" ht="15.6">
      <c r="A42" s="7" t="s">
        <v>85</v>
      </c>
      <c r="B42" s="13">
        <v>326.31551999999999</v>
      </c>
      <c r="C42" s="13" t="s">
        <v>37</v>
      </c>
      <c r="D42" s="8" t="s">
        <v>40</v>
      </c>
      <c r="E42" s="13" t="s">
        <v>29</v>
      </c>
      <c r="F42" s="15" t="s">
        <v>59</v>
      </c>
      <c r="G42" s="13" t="s">
        <v>33</v>
      </c>
      <c r="H42" s="13">
        <v>2</v>
      </c>
      <c r="I42" s="13">
        <f t="shared" ref="I42:I45" si="2">LN(B42)</f>
        <v>5.7878647660599496</v>
      </c>
      <c r="J42" s="13">
        <v>0.24083189157584584</v>
      </c>
      <c r="K42" s="13" t="s">
        <v>31</v>
      </c>
      <c r="L42" s="13" t="s">
        <v>31</v>
      </c>
      <c r="M42" s="13" t="s">
        <v>31</v>
      </c>
    </row>
    <row r="43" spans="1:13" ht="15.6">
      <c r="A43" s="7" t="s">
        <v>86</v>
      </c>
      <c r="B43" s="13">
        <v>120.24387000000002</v>
      </c>
      <c r="C43" s="13" t="s">
        <v>37</v>
      </c>
      <c r="D43" s="8" t="s">
        <v>40</v>
      </c>
      <c r="E43" s="13" t="s">
        <v>29</v>
      </c>
      <c r="F43" s="15" t="s">
        <v>59</v>
      </c>
      <c r="G43" s="13" t="s">
        <v>33</v>
      </c>
      <c r="H43" s="13">
        <v>2</v>
      </c>
      <c r="I43" s="13">
        <f t="shared" si="2"/>
        <v>4.7895219305555159</v>
      </c>
      <c r="J43" s="13">
        <v>0.24083189157584584</v>
      </c>
      <c r="K43" s="13" t="s">
        <v>31</v>
      </c>
      <c r="L43" s="13" t="s">
        <v>31</v>
      </c>
      <c r="M43" s="13" t="s">
        <v>31</v>
      </c>
    </row>
    <row r="44" spans="1:13" ht="15.6">
      <c r="A44" s="7" t="s">
        <v>87</v>
      </c>
      <c r="B44" s="13">
        <v>3575.0244600000005</v>
      </c>
      <c r="C44" s="13" t="s">
        <v>37</v>
      </c>
      <c r="D44" s="8" t="s">
        <v>40</v>
      </c>
      <c r="E44" s="13" t="s">
        <v>29</v>
      </c>
      <c r="F44" s="15" t="s">
        <v>14</v>
      </c>
      <c r="G44" s="13" t="s">
        <v>33</v>
      </c>
      <c r="H44" s="13">
        <v>2</v>
      </c>
      <c r="I44" s="13">
        <f t="shared" si="2"/>
        <v>8.1817272970627446</v>
      </c>
      <c r="J44" s="13">
        <v>0.24083189157584584</v>
      </c>
      <c r="K44" s="13" t="s">
        <v>31</v>
      </c>
      <c r="L44" s="13" t="s">
        <v>31</v>
      </c>
      <c r="M44" s="13" t="s">
        <v>31</v>
      </c>
    </row>
    <row r="45" spans="1:13" ht="15.6">
      <c r="A45" s="7" t="s">
        <v>88</v>
      </c>
      <c r="B45" s="13">
        <v>227.31615000000002</v>
      </c>
      <c r="C45" s="13" t="s">
        <v>37</v>
      </c>
      <c r="D45" s="8" t="s">
        <v>40</v>
      </c>
      <c r="E45" s="13" t="s">
        <v>29</v>
      </c>
      <c r="F45" s="15" t="s">
        <v>59</v>
      </c>
      <c r="G45" s="13" t="s">
        <v>33</v>
      </c>
      <c r="H45" s="13">
        <v>2</v>
      </c>
      <c r="I45" s="13">
        <f t="shared" si="2"/>
        <v>5.4263417798082845</v>
      </c>
      <c r="J45" s="13">
        <v>0.24083189157584584</v>
      </c>
      <c r="K45" s="13" t="s">
        <v>31</v>
      </c>
      <c r="L45" s="13" t="s">
        <v>31</v>
      </c>
      <c r="M45" s="13" t="s">
        <v>31</v>
      </c>
    </row>
    <row r="46" spans="1:13" ht="15.6">
      <c r="A46" s="1" t="s">
        <v>5</v>
      </c>
      <c r="B46" s="2" t="s">
        <v>87</v>
      </c>
      <c r="C46" s="3"/>
      <c r="D46" s="11"/>
      <c r="E46" s="11"/>
      <c r="F46" s="11"/>
      <c r="G46" s="11"/>
      <c r="H46" s="11"/>
      <c r="I46" s="11"/>
      <c r="J46" s="11"/>
      <c r="K46" s="11"/>
      <c r="L46" s="11"/>
      <c r="M46" s="11"/>
    </row>
    <row r="47" spans="1:13">
      <c r="A47" s="12" t="s">
        <v>7</v>
      </c>
      <c r="B47" s="13" t="s">
        <v>49</v>
      </c>
      <c r="C47" s="4"/>
      <c r="D47" s="13"/>
      <c r="E47" s="13"/>
      <c r="F47" s="13"/>
      <c r="G47" s="13"/>
      <c r="H47" s="13"/>
      <c r="I47" s="13"/>
      <c r="J47" s="13"/>
      <c r="K47" s="13"/>
      <c r="L47" s="13"/>
      <c r="M47" s="13"/>
    </row>
    <row r="48" spans="1:13">
      <c r="A48" s="12" t="s">
        <v>9</v>
      </c>
      <c r="B48" s="13" t="s">
        <v>89</v>
      </c>
      <c r="C48" s="13"/>
      <c r="D48" s="13"/>
      <c r="E48" s="13"/>
      <c r="F48" s="13"/>
      <c r="G48" s="13"/>
      <c r="H48" s="13"/>
      <c r="I48" s="13"/>
      <c r="J48" s="13"/>
      <c r="K48" s="13"/>
      <c r="L48" s="13"/>
      <c r="M48" s="13"/>
    </row>
    <row r="49" spans="1:14">
      <c r="A49" s="12" t="s">
        <v>11</v>
      </c>
      <c r="B49" s="14" t="s">
        <v>90</v>
      </c>
      <c r="C49" s="13"/>
      <c r="D49" s="13"/>
      <c r="E49" s="13"/>
      <c r="F49" s="13"/>
      <c r="G49" s="13"/>
      <c r="H49" s="13"/>
      <c r="I49" s="13"/>
      <c r="J49" s="13"/>
      <c r="K49" s="13"/>
      <c r="L49" s="13"/>
      <c r="M49" s="13"/>
    </row>
    <row r="50" spans="1:14">
      <c r="A50" s="12" t="s">
        <v>13</v>
      </c>
      <c r="B50" s="13" t="s">
        <v>14</v>
      </c>
      <c r="C50" s="13"/>
      <c r="D50" s="13"/>
      <c r="E50" s="13"/>
      <c r="F50" s="13"/>
      <c r="G50" s="13"/>
      <c r="H50" s="13"/>
      <c r="I50" s="13"/>
      <c r="J50" s="13"/>
      <c r="K50" s="13"/>
      <c r="L50" s="13"/>
      <c r="M50" s="13"/>
    </row>
    <row r="51" spans="1:14">
      <c r="A51" s="12" t="s">
        <v>15</v>
      </c>
      <c r="B51" s="13">
        <v>1</v>
      </c>
      <c r="C51" s="13"/>
      <c r="D51" s="13"/>
      <c r="E51" s="13"/>
      <c r="F51" s="13"/>
      <c r="G51" s="13"/>
      <c r="H51" s="13"/>
      <c r="I51" s="13"/>
      <c r="J51" s="13"/>
      <c r="K51" s="13"/>
      <c r="L51" s="13"/>
      <c r="M51" s="13"/>
    </row>
    <row r="52" spans="1:14">
      <c r="A52" s="12" t="s">
        <v>16</v>
      </c>
      <c r="B52" s="13" t="s">
        <v>17</v>
      </c>
      <c r="C52" s="13"/>
      <c r="D52" s="13"/>
      <c r="E52" s="13"/>
      <c r="F52" s="13"/>
      <c r="G52" s="13"/>
      <c r="H52" s="13"/>
      <c r="I52" s="13"/>
      <c r="J52" s="13"/>
      <c r="K52" s="13"/>
      <c r="L52" s="13"/>
      <c r="M52" s="13"/>
    </row>
    <row r="53" spans="1:14">
      <c r="A53" s="12" t="s">
        <v>18</v>
      </c>
      <c r="B53" s="13" t="s">
        <v>37</v>
      </c>
      <c r="C53" s="13"/>
      <c r="D53" s="13"/>
      <c r="E53" s="13"/>
      <c r="F53" s="13"/>
      <c r="G53" s="13"/>
      <c r="H53" s="13"/>
      <c r="I53" s="13"/>
      <c r="J53" s="13"/>
      <c r="K53" s="13"/>
      <c r="L53" s="13"/>
      <c r="M53" s="13"/>
    </row>
    <row r="54" spans="1:14" ht="15.6">
      <c r="A54" s="5" t="s">
        <v>19</v>
      </c>
      <c r="B54" s="13"/>
      <c r="C54" s="13"/>
      <c r="D54" s="13"/>
      <c r="E54" s="13"/>
      <c r="F54" s="13"/>
      <c r="G54" s="13"/>
      <c r="H54" s="13"/>
      <c r="I54" s="13"/>
      <c r="J54" s="13"/>
      <c r="K54" s="13"/>
      <c r="L54" s="13"/>
      <c r="M54" s="13"/>
    </row>
    <row r="55" spans="1:14" ht="15.6">
      <c r="A55" s="5" t="s">
        <v>20</v>
      </c>
      <c r="B55" s="6" t="s">
        <v>21</v>
      </c>
      <c r="C55" s="6" t="s">
        <v>18</v>
      </c>
      <c r="D55" s="6" t="s">
        <v>22</v>
      </c>
      <c r="E55" s="6" t="s">
        <v>7</v>
      </c>
      <c r="F55" s="6" t="s">
        <v>13</v>
      </c>
      <c r="G55" s="6" t="s">
        <v>16</v>
      </c>
      <c r="H55" s="6" t="s">
        <v>23</v>
      </c>
      <c r="I55" s="6" t="s">
        <v>24</v>
      </c>
      <c r="J55" s="6" t="s">
        <v>25</v>
      </c>
      <c r="K55" s="6" t="s">
        <v>26</v>
      </c>
      <c r="L55" s="6" t="s">
        <v>27</v>
      </c>
      <c r="M55" s="6" t="s">
        <v>28</v>
      </c>
    </row>
    <row r="56" spans="1:14" ht="15.6">
      <c r="A56" s="7" t="s">
        <v>87</v>
      </c>
      <c r="B56" s="13">
        <v>1</v>
      </c>
      <c r="C56" s="13" t="s">
        <v>37</v>
      </c>
      <c r="D56" s="8" t="s">
        <v>2</v>
      </c>
      <c r="E56" s="13" t="s">
        <v>29</v>
      </c>
      <c r="F56" s="15" t="s">
        <v>14</v>
      </c>
      <c r="G56" s="13" t="s">
        <v>30</v>
      </c>
      <c r="H56" s="13">
        <v>1</v>
      </c>
      <c r="I56" s="13">
        <v>1</v>
      </c>
      <c r="J56" s="13" t="s">
        <v>31</v>
      </c>
      <c r="K56" s="13" t="s">
        <v>31</v>
      </c>
      <c r="L56" s="13" t="s">
        <v>31</v>
      </c>
      <c r="M56" s="13" t="s">
        <v>31</v>
      </c>
    </row>
    <row r="57" spans="1:14" ht="15.6">
      <c r="A57" s="7" t="s">
        <v>91</v>
      </c>
      <c r="B57" s="13">
        <f>N57/$B$44</f>
        <v>1.108747807667867</v>
      </c>
      <c r="C57" s="13" t="s">
        <v>37</v>
      </c>
      <c r="D57" s="8" t="s">
        <v>40</v>
      </c>
      <c r="E57" s="13" t="s">
        <v>29</v>
      </c>
      <c r="F57" s="15" t="s">
        <v>59</v>
      </c>
      <c r="G57" s="13" t="s">
        <v>33</v>
      </c>
      <c r="H57" s="13">
        <v>2</v>
      </c>
      <c r="I57" s="13">
        <f t="shared" ref="I57:I65" si="3">LN(B57)</f>
        <v>0.10323127733901365</v>
      </c>
      <c r="J57" s="13">
        <v>0.22113344400000001</v>
      </c>
      <c r="K57" s="13" t="s">
        <v>31</v>
      </c>
      <c r="L57" s="13" t="s">
        <v>31</v>
      </c>
      <c r="M57" s="13" t="s">
        <v>31</v>
      </c>
      <c r="N57">
        <v>3963.8005323840002</v>
      </c>
    </row>
    <row r="58" spans="1:14" ht="15.6">
      <c r="A58" s="7" t="s">
        <v>92</v>
      </c>
      <c r="B58" s="13">
        <f t="shared" ref="B58:B65" si="4">N58/$B$44</f>
        <v>0.57117311304102236</v>
      </c>
      <c r="C58" s="13" t="s">
        <v>37</v>
      </c>
      <c r="D58" s="8" t="s">
        <v>40</v>
      </c>
      <c r="E58" s="13" t="s">
        <v>29</v>
      </c>
      <c r="F58" s="15" t="s">
        <v>35</v>
      </c>
      <c r="G58" s="13" t="s">
        <v>33</v>
      </c>
      <c r="H58" s="13">
        <v>2</v>
      </c>
      <c r="I58" s="13">
        <f t="shared" si="3"/>
        <v>-0.56006294007125057</v>
      </c>
      <c r="J58" s="13">
        <v>0.22113344400000001</v>
      </c>
      <c r="K58" s="13" t="s">
        <v>31</v>
      </c>
      <c r="L58" s="13" t="s">
        <v>31</v>
      </c>
      <c r="M58" s="13" t="s">
        <v>31</v>
      </c>
      <c r="N58">
        <v>2041.9578500160003</v>
      </c>
    </row>
    <row r="59" spans="1:14" ht="15.6">
      <c r="A59" s="7" t="s">
        <v>93</v>
      </c>
      <c r="B59" s="13">
        <f t="shared" si="4"/>
        <v>0.28298667890512835</v>
      </c>
      <c r="C59" s="13" t="s">
        <v>37</v>
      </c>
      <c r="D59" s="8" t="s">
        <v>40</v>
      </c>
      <c r="E59" s="13" t="s">
        <v>29</v>
      </c>
      <c r="F59" s="15" t="s">
        <v>35</v>
      </c>
      <c r="G59" s="13" t="s">
        <v>33</v>
      </c>
      <c r="H59" s="13">
        <v>2</v>
      </c>
      <c r="I59" s="13">
        <f t="shared" si="3"/>
        <v>-1.2623554534533876</v>
      </c>
      <c r="J59" s="13">
        <v>0.22113344400000001</v>
      </c>
      <c r="K59" s="13" t="s">
        <v>31</v>
      </c>
      <c r="L59" s="13" t="s">
        <v>31</v>
      </c>
      <c r="M59" s="13" t="s">
        <v>31</v>
      </c>
      <c r="N59">
        <v>1011.68429894</v>
      </c>
    </row>
    <row r="60" spans="1:14" ht="15.6">
      <c r="A60" s="7" t="s">
        <v>94</v>
      </c>
      <c r="B60" s="13">
        <f t="shared" si="4"/>
        <v>0.44997881804702389</v>
      </c>
      <c r="C60" s="13" t="s">
        <v>37</v>
      </c>
      <c r="D60" s="8" t="s">
        <v>40</v>
      </c>
      <c r="E60" s="13" t="s">
        <v>29</v>
      </c>
      <c r="F60" s="15" t="s">
        <v>59</v>
      </c>
      <c r="G60" s="13" t="s">
        <v>33</v>
      </c>
      <c r="H60" s="13">
        <v>2</v>
      </c>
      <c r="I60" s="13">
        <f t="shared" si="3"/>
        <v>-0.7985547683322598</v>
      </c>
      <c r="J60" s="13">
        <v>0.22113344400000001</v>
      </c>
      <c r="K60" s="13" t="s">
        <v>31</v>
      </c>
      <c r="L60" s="13" t="s">
        <v>31</v>
      </c>
      <c r="M60" s="13" t="s">
        <v>31</v>
      </c>
      <c r="N60">
        <v>1608.685281</v>
      </c>
    </row>
    <row r="61" spans="1:14" ht="15.6">
      <c r="A61" s="7" t="s">
        <v>95</v>
      </c>
      <c r="B61" s="13">
        <f t="shared" si="4"/>
        <v>4.0998070088728841E-2</v>
      </c>
      <c r="C61" s="13" t="s">
        <v>37</v>
      </c>
      <c r="D61" s="8" t="s">
        <v>40</v>
      </c>
      <c r="E61" s="13" t="s">
        <v>29</v>
      </c>
      <c r="F61" s="15" t="s">
        <v>59</v>
      </c>
      <c r="G61" s="13" t="s">
        <v>33</v>
      </c>
      <c r="H61" s="13">
        <v>2</v>
      </c>
      <c r="I61" s="13">
        <f t="shared" si="3"/>
        <v>-3.1942302843923174</v>
      </c>
      <c r="J61" s="13">
        <v>0.22113344400000001</v>
      </c>
      <c r="K61" s="13" t="s">
        <v>31</v>
      </c>
      <c r="L61" s="13" t="s">
        <v>31</v>
      </c>
      <c r="M61" s="13" t="s">
        <v>31</v>
      </c>
      <c r="N61">
        <v>146.56910338</v>
      </c>
    </row>
    <row r="62" spans="1:14" ht="15.6">
      <c r="A62" s="7" t="s">
        <v>96</v>
      </c>
      <c r="B62" s="13">
        <f t="shared" si="4"/>
        <v>1.4999293934900796E-2</v>
      </c>
      <c r="C62" s="13" t="s">
        <v>37</v>
      </c>
      <c r="D62" s="8" t="s">
        <v>40</v>
      </c>
      <c r="E62" s="13" t="s">
        <v>29</v>
      </c>
      <c r="F62" s="15" t="s">
        <v>59</v>
      </c>
      <c r="G62" s="13" t="s">
        <v>33</v>
      </c>
      <c r="H62" s="13">
        <v>2</v>
      </c>
      <c r="I62" s="13">
        <f t="shared" si="3"/>
        <v>-4.1997521499944153</v>
      </c>
      <c r="J62" s="13">
        <v>0.22113344400000001</v>
      </c>
      <c r="K62" s="13" t="s">
        <v>31</v>
      </c>
      <c r="L62" s="13" t="s">
        <v>31</v>
      </c>
      <c r="M62" s="13" t="s">
        <v>31</v>
      </c>
      <c r="N62">
        <v>53.6228427</v>
      </c>
    </row>
    <row r="63" spans="1:14" ht="15.6">
      <c r="A63" s="7" t="s">
        <v>97</v>
      </c>
      <c r="B63" s="13">
        <f t="shared" si="4"/>
        <v>7.5596441431900002E-2</v>
      </c>
      <c r="C63" s="13" t="s">
        <v>37</v>
      </c>
      <c r="D63" s="8" t="s">
        <v>40</v>
      </c>
      <c r="E63" s="13" t="s">
        <v>29</v>
      </c>
      <c r="F63" s="15" t="s">
        <v>59</v>
      </c>
      <c r="G63" s="13" t="s">
        <v>33</v>
      </c>
      <c r="H63" s="13">
        <v>2</v>
      </c>
      <c r="I63" s="13">
        <f t="shared" si="3"/>
        <v>-2.5823460679111379</v>
      </c>
      <c r="J63" s="13">
        <v>0.22113344400000001</v>
      </c>
      <c r="K63" s="13" t="s">
        <v>31</v>
      </c>
      <c r="L63" s="13" t="s">
        <v>31</v>
      </c>
      <c r="M63" s="13" t="s">
        <v>31</v>
      </c>
      <c r="N63">
        <v>270.259127208</v>
      </c>
    </row>
    <row r="64" spans="1:14" ht="15.6">
      <c r="A64" s="7" t="s">
        <v>98</v>
      </c>
      <c r="B64" s="13">
        <f t="shared" si="4"/>
        <v>9.9995292899338644</v>
      </c>
      <c r="C64" s="13" t="s">
        <v>37</v>
      </c>
      <c r="D64" s="8" t="s">
        <v>40</v>
      </c>
      <c r="E64" s="13" t="s">
        <v>29</v>
      </c>
      <c r="F64" s="15" t="s">
        <v>59</v>
      </c>
      <c r="G64" s="13" t="s">
        <v>33</v>
      </c>
      <c r="H64" s="13">
        <v>2</v>
      </c>
      <c r="I64" s="13">
        <f t="shared" si="3"/>
        <v>2.3025380208795574</v>
      </c>
      <c r="J64" s="13">
        <v>0.22113344400000001</v>
      </c>
      <c r="K64" s="13" t="s">
        <v>31</v>
      </c>
      <c r="L64" s="13" t="s">
        <v>31</v>
      </c>
      <c r="M64" s="13" t="s">
        <v>31</v>
      </c>
      <c r="N64">
        <v>35748.561800000003</v>
      </c>
    </row>
    <row r="65" spans="1:14" ht="15.6">
      <c r="A65" s="7" t="s">
        <v>38</v>
      </c>
      <c r="B65" s="13">
        <f t="shared" si="4"/>
        <v>17.061196873601247</v>
      </c>
      <c r="C65" s="13" t="s">
        <v>39</v>
      </c>
      <c r="D65" s="8" t="s">
        <v>40</v>
      </c>
      <c r="E65" s="13" t="s">
        <v>29</v>
      </c>
      <c r="F65" s="15" t="s">
        <v>14</v>
      </c>
      <c r="G65" s="13" t="s">
        <v>33</v>
      </c>
      <c r="H65" s="13">
        <v>2</v>
      </c>
      <c r="I65" s="13">
        <f t="shared" si="3"/>
        <v>2.8368066963202065</v>
      </c>
      <c r="J65" s="13">
        <v>0.22113344400000001</v>
      </c>
      <c r="K65" s="13" t="s">
        <v>31</v>
      </c>
      <c r="L65" s="13" t="s">
        <v>31</v>
      </c>
      <c r="M65" s="13" t="s">
        <v>31</v>
      </c>
      <c r="N65">
        <v>60994.19614</v>
      </c>
    </row>
    <row r="66" spans="1:14" ht="15.6">
      <c r="A66" s="1" t="s">
        <v>5</v>
      </c>
      <c r="B66" s="2" t="s">
        <v>64</v>
      </c>
      <c r="C66" s="3"/>
      <c r="D66" s="11"/>
      <c r="E66" s="11"/>
      <c r="F66" s="11"/>
      <c r="G66" s="11"/>
      <c r="H66" s="11"/>
      <c r="I66" s="11"/>
      <c r="J66" s="11"/>
      <c r="K66" s="11"/>
      <c r="L66" s="11"/>
      <c r="M66" s="11"/>
    </row>
    <row r="67" spans="1:14">
      <c r="A67" s="12" t="s">
        <v>7</v>
      </c>
      <c r="B67" s="13" t="s">
        <v>49</v>
      </c>
      <c r="C67" s="4"/>
      <c r="D67" s="13"/>
      <c r="E67" s="13"/>
      <c r="F67" s="13"/>
      <c r="G67" s="13"/>
      <c r="H67" s="13"/>
      <c r="I67" s="13"/>
      <c r="J67" s="13"/>
      <c r="K67" s="13"/>
      <c r="L67" s="13"/>
      <c r="M67" s="13"/>
    </row>
    <row r="68" spans="1:14">
      <c r="A68" s="12" t="s">
        <v>9</v>
      </c>
      <c r="B68" s="13" t="s">
        <v>99</v>
      </c>
      <c r="C68" s="13"/>
      <c r="D68" s="13"/>
      <c r="E68" s="13"/>
      <c r="F68" s="13"/>
      <c r="G68" s="13"/>
      <c r="H68" s="13"/>
      <c r="I68" s="13"/>
      <c r="J68" s="13"/>
      <c r="K68" s="13"/>
      <c r="L68" s="13"/>
      <c r="M68" s="13"/>
    </row>
    <row r="69" spans="1:14" ht="29.1">
      <c r="A69" s="12" t="s">
        <v>11</v>
      </c>
      <c r="B69" s="14" t="s">
        <v>100</v>
      </c>
      <c r="C69" s="13"/>
      <c r="D69" s="13"/>
      <c r="E69" s="13"/>
      <c r="F69" s="13"/>
      <c r="G69" s="13"/>
      <c r="H69" s="13"/>
      <c r="I69" s="13"/>
      <c r="J69" s="13"/>
      <c r="K69" s="13"/>
      <c r="L69" s="13"/>
      <c r="M69" s="13"/>
    </row>
    <row r="70" spans="1:14">
      <c r="A70" s="12" t="s">
        <v>13</v>
      </c>
      <c r="B70" s="13" t="s">
        <v>14</v>
      </c>
      <c r="C70" s="13"/>
      <c r="D70" s="13"/>
      <c r="E70" s="13"/>
      <c r="F70" s="13"/>
      <c r="G70" s="13"/>
      <c r="H70" s="13"/>
      <c r="I70" s="13"/>
      <c r="J70" s="13"/>
      <c r="K70" s="13"/>
      <c r="L70" s="13"/>
      <c r="M70" s="13"/>
    </row>
    <row r="71" spans="1:14">
      <c r="A71" s="12" t="s">
        <v>15</v>
      </c>
      <c r="B71" s="13">
        <v>1</v>
      </c>
      <c r="C71" s="13"/>
      <c r="D71" s="13"/>
      <c r="E71" s="13"/>
      <c r="F71" s="13"/>
      <c r="G71" s="13"/>
      <c r="H71" s="13"/>
      <c r="I71" s="13"/>
      <c r="J71" s="13"/>
      <c r="K71" s="13"/>
      <c r="L71" s="13"/>
      <c r="M71" s="13"/>
    </row>
    <row r="72" spans="1:14">
      <c r="A72" s="12" t="s">
        <v>16</v>
      </c>
      <c r="B72" s="13" t="s">
        <v>17</v>
      </c>
      <c r="C72" s="13"/>
      <c r="D72" s="13"/>
      <c r="E72" s="13"/>
      <c r="F72" s="13"/>
      <c r="G72" s="13"/>
      <c r="H72" s="13"/>
      <c r="I72" s="13"/>
      <c r="J72" s="13"/>
      <c r="K72" s="13"/>
      <c r="L72" s="13"/>
      <c r="M72" s="13"/>
    </row>
    <row r="73" spans="1:14">
      <c r="A73" s="12" t="s">
        <v>18</v>
      </c>
      <c r="B73" s="13" t="s">
        <v>18</v>
      </c>
      <c r="C73" s="13"/>
      <c r="D73" s="13"/>
      <c r="E73" s="13"/>
      <c r="F73" s="13"/>
      <c r="G73" s="13"/>
      <c r="H73" s="13"/>
      <c r="I73" s="13"/>
      <c r="J73" s="13"/>
      <c r="K73" s="13"/>
      <c r="L73" s="13"/>
      <c r="M73" s="13"/>
    </row>
    <row r="74" spans="1:14" ht="15.6">
      <c r="A74" s="5" t="s">
        <v>19</v>
      </c>
      <c r="B74" s="13"/>
      <c r="C74" s="13"/>
      <c r="D74" s="13"/>
      <c r="E74" s="13"/>
      <c r="F74" s="13"/>
      <c r="G74" s="13"/>
      <c r="H74" s="13"/>
      <c r="I74" s="13"/>
      <c r="J74" s="13"/>
      <c r="K74" s="13"/>
      <c r="L74" s="13"/>
      <c r="M74" s="13"/>
    </row>
    <row r="75" spans="1:14" ht="15.6">
      <c r="A75" s="5" t="s">
        <v>20</v>
      </c>
      <c r="B75" s="6" t="s">
        <v>21</v>
      </c>
      <c r="C75" s="6" t="s">
        <v>18</v>
      </c>
      <c r="D75" s="6" t="s">
        <v>22</v>
      </c>
      <c r="E75" s="6" t="s">
        <v>7</v>
      </c>
      <c r="F75" s="6" t="s">
        <v>13</v>
      </c>
      <c r="G75" s="6" t="s">
        <v>16</v>
      </c>
      <c r="H75" s="6" t="s">
        <v>23</v>
      </c>
      <c r="I75" s="6" t="s">
        <v>24</v>
      </c>
      <c r="J75" s="6" t="s">
        <v>25</v>
      </c>
      <c r="K75" s="6" t="s">
        <v>26</v>
      </c>
      <c r="L75" s="6" t="s">
        <v>27</v>
      </c>
      <c r="M75" s="6" t="s">
        <v>28</v>
      </c>
    </row>
    <row r="76" spans="1:14" ht="15.6">
      <c r="A76" s="7" t="s">
        <v>64</v>
      </c>
      <c r="B76" s="13">
        <v>1</v>
      </c>
      <c r="C76" s="13" t="s">
        <v>18</v>
      </c>
      <c r="D76" s="8" t="s">
        <v>2</v>
      </c>
      <c r="E76" s="13" t="s">
        <v>29</v>
      </c>
      <c r="F76" s="15" t="s">
        <v>14</v>
      </c>
      <c r="G76" s="13" t="s">
        <v>30</v>
      </c>
      <c r="H76" s="13">
        <v>1</v>
      </c>
      <c r="I76" s="13">
        <v>1</v>
      </c>
      <c r="J76" s="13" t="s">
        <v>31</v>
      </c>
      <c r="K76" s="13" t="s">
        <v>31</v>
      </c>
      <c r="L76" s="13" t="s">
        <v>31</v>
      </c>
      <c r="M76" s="13" t="s">
        <v>31</v>
      </c>
    </row>
    <row r="77" spans="1:14" ht="15.6">
      <c r="A77" s="7" t="s">
        <v>85</v>
      </c>
      <c r="B77" s="13">
        <v>10.10538092701119</v>
      </c>
      <c r="C77" s="13" t="s">
        <v>37</v>
      </c>
      <c r="D77" s="8" t="s">
        <v>40</v>
      </c>
      <c r="E77" s="13" t="s">
        <v>29</v>
      </c>
      <c r="F77" s="15" t="s">
        <v>59</v>
      </c>
      <c r="G77" s="13" t="s">
        <v>33</v>
      </c>
      <c r="H77" s="13">
        <v>2</v>
      </c>
      <c r="I77" s="13">
        <f>LN(B77)</f>
        <v>2.3130680470289136</v>
      </c>
      <c r="J77" s="13">
        <v>0.24083189157584584</v>
      </c>
      <c r="K77" s="13" t="s">
        <v>31</v>
      </c>
      <c r="L77" s="13" t="s">
        <v>31</v>
      </c>
      <c r="M77" s="13" t="s">
        <v>31</v>
      </c>
    </row>
    <row r="78" spans="1:14" ht="15.6">
      <c r="A78" s="7" t="s">
        <v>97</v>
      </c>
      <c r="B78" s="13">
        <v>172.29174214171553</v>
      </c>
      <c r="C78" s="13" t="s">
        <v>37</v>
      </c>
      <c r="D78" s="8" t="s">
        <v>40</v>
      </c>
      <c r="E78" s="13" t="s">
        <v>29</v>
      </c>
      <c r="F78" s="15" t="s">
        <v>59</v>
      </c>
      <c r="G78" s="13" t="s">
        <v>33</v>
      </c>
      <c r="H78" s="13">
        <v>2</v>
      </c>
      <c r="I78" s="13">
        <f>LN(B78)</f>
        <v>5.1491892151753298</v>
      </c>
      <c r="J78" s="13">
        <v>0.24083189157584584</v>
      </c>
      <c r="K78" s="13" t="s">
        <v>31</v>
      </c>
      <c r="L78" s="13" t="s">
        <v>31</v>
      </c>
      <c r="M78" s="13" t="s">
        <v>31</v>
      </c>
    </row>
    <row r="79" spans="1:14" ht="15.6">
      <c r="A79" s="7" t="s">
        <v>101</v>
      </c>
      <c r="B79" s="13">
        <v>5.4028769312733091</v>
      </c>
      <c r="C79" s="13" t="s">
        <v>37</v>
      </c>
      <c r="D79" s="8" t="s">
        <v>40</v>
      </c>
      <c r="E79" s="13" t="s">
        <v>29</v>
      </c>
      <c r="F79" s="15" t="s">
        <v>59</v>
      </c>
      <c r="G79" s="13" t="s">
        <v>33</v>
      </c>
      <c r="H79" s="13">
        <v>2</v>
      </c>
      <c r="I79" s="13">
        <f>LN(B79)</f>
        <v>1.6869315767519282</v>
      </c>
      <c r="J79" s="13">
        <v>0.24083189157584584</v>
      </c>
      <c r="K79" s="13" t="s">
        <v>31</v>
      </c>
      <c r="L79" s="13" t="s">
        <v>31</v>
      </c>
      <c r="M79" s="13" t="s">
        <v>31</v>
      </c>
    </row>
    <row r="80" spans="1:14" ht="15.6">
      <c r="A80" s="1" t="s">
        <v>5</v>
      </c>
      <c r="B80" s="2" t="s">
        <v>65</v>
      </c>
      <c r="C80" s="3"/>
      <c r="D80" s="11"/>
      <c r="E80" s="11"/>
      <c r="F80" s="11"/>
      <c r="G80" s="11"/>
      <c r="H80" s="11"/>
      <c r="I80" s="11"/>
      <c r="J80" s="11"/>
      <c r="K80" s="11"/>
      <c r="L80" s="11"/>
      <c r="M80" s="11"/>
    </row>
    <row r="81" spans="1:13">
      <c r="A81" s="12" t="s">
        <v>7</v>
      </c>
      <c r="B81" s="13" t="s">
        <v>49</v>
      </c>
      <c r="C81" s="4"/>
      <c r="D81" s="13"/>
      <c r="E81" s="13"/>
      <c r="F81" s="13"/>
      <c r="G81" s="13"/>
      <c r="H81" s="13"/>
      <c r="I81" s="13"/>
      <c r="J81" s="13"/>
      <c r="K81" s="13"/>
      <c r="L81" s="13"/>
      <c r="M81" s="13"/>
    </row>
    <row r="82" spans="1:13">
      <c r="A82" s="12" t="s">
        <v>9</v>
      </c>
      <c r="B82" s="13" t="s">
        <v>102</v>
      </c>
      <c r="C82" s="13"/>
      <c r="D82" s="13"/>
      <c r="E82" s="13"/>
      <c r="F82" s="13"/>
      <c r="G82" s="13"/>
      <c r="H82" s="13"/>
      <c r="I82" s="13"/>
      <c r="J82" s="13"/>
      <c r="K82" s="13"/>
      <c r="L82" s="13"/>
      <c r="M82" s="13"/>
    </row>
    <row r="83" spans="1:13" ht="29.1">
      <c r="A83" s="12" t="s">
        <v>11</v>
      </c>
      <c r="B83" s="14" t="s">
        <v>103</v>
      </c>
      <c r="C83" s="13"/>
      <c r="D83" s="13"/>
      <c r="E83" s="13"/>
      <c r="F83" s="13"/>
      <c r="G83" s="13"/>
      <c r="H83" s="13"/>
      <c r="I83" s="13"/>
      <c r="J83" s="13"/>
      <c r="K83" s="13"/>
      <c r="L83" s="13"/>
      <c r="M83" s="13"/>
    </row>
    <row r="84" spans="1:13">
      <c r="A84" s="12" t="s">
        <v>13</v>
      </c>
      <c r="B84" s="13" t="s">
        <v>14</v>
      </c>
      <c r="C84" s="13"/>
      <c r="D84" s="13"/>
      <c r="E84" s="13"/>
      <c r="F84" s="13"/>
      <c r="G84" s="13"/>
      <c r="H84" s="13"/>
      <c r="I84" s="13"/>
      <c r="J84" s="13"/>
      <c r="K84" s="13"/>
      <c r="L84" s="13"/>
      <c r="M84" s="13"/>
    </row>
    <row r="85" spans="1:13">
      <c r="A85" s="12" t="s">
        <v>15</v>
      </c>
      <c r="B85" s="13">
        <v>1</v>
      </c>
      <c r="C85" s="13"/>
      <c r="D85" s="13"/>
      <c r="E85" s="13"/>
      <c r="F85" s="13"/>
      <c r="G85" s="13"/>
      <c r="H85" s="13"/>
      <c r="I85" s="13"/>
      <c r="J85" s="13"/>
      <c r="K85" s="13"/>
      <c r="L85" s="13"/>
      <c r="M85" s="13"/>
    </row>
    <row r="86" spans="1:13">
      <c r="A86" s="12" t="s">
        <v>16</v>
      </c>
      <c r="B86" s="13" t="s">
        <v>17</v>
      </c>
      <c r="C86" s="13"/>
      <c r="D86" s="13"/>
      <c r="E86" s="13"/>
      <c r="F86" s="13"/>
      <c r="G86" s="13"/>
      <c r="H86" s="13"/>
      <c r="I86" s="13"/>
      <c r="J86" s="13"/>
      <c r="K86" s="13"/>
      <c r="L86" s="13"/>
      <c r="M86" s="13"/>
    </row>
    <row r="87" spans="1:13">
      <c r="A87" s="12" t="s">
        <v>18</v>
      </c>
      <c r="B87" s="13" t="s">
        <v>18</v>
      </c>
      <c r="C87" s="13"/>
      <c r="D87" s="13"/>
      <c r="E87" s="13"/>
      <c r="F87" s="13"/>
      <c r="G87" s="13"/>
      <c r="H87" s="13"/>
      <c r="I87" s="13"/>
      <c r="J87" s="13"/>
      <c r="K87" s="13"/>
      <c r="L87" s="13"/>
      <c r="M87" s="13"/>
    </row>
    <row r="88" spans="1:13" ht="15.6">
      <c r="A88" s="5" t="s">
        <v>19</v>
      </c>
      <c r="B88" s="13"/>
      <c r="C88" s="13"/>
      <c r="D88" s="13"/>
      <c r="E88" s="13"/>
      <c r="F88" s="13"/>
      <c r="G88" s="13"/>
      <c r="H88" s="13"/>
      <c r="I88" s="13"/>
      <c r="J88" s="13"/>
      <c r="K88" s="13"/>
      <c r="L88" s="13"/>
      <c r="M88" s="13"/>
    </row>
    <row r="89" spans="1:13" ht="15.6">
      <c r="A89" s="5" t="s">
        <v>20</v>
      </c>
      <c r="B89" s="6" t="s">
        <v>21</v>
      </c>
      <c r="C89" s="6" t="s">
        <v>18</v>
      </c>
      <c r="D89" s="6" t="s">
        <v>22</v>
      </c>
      <c r="E89" s="6" t="s">
        <v>7</v>
      </c>
      <c r="F89" s="6" t="s">
        <v>13</v>
      </c>
      <c r="G89" s="6" t="s">
        <v>16</v>
      </c>
      <c r="H89" s="6" t="s">
        <v>23</v>
      </c>
      <c r="I89" s="6" t="s">
        <v>24</v>
      </c>
      <c r="J89" s="6" t="s">
        <v>25</v>
      </c>
      <c r="K89" s="6" t="s">
        <v>26</v>
      </c>
      <c r="L89" s="6" t="s">
        <v>27</v>
      </c>
      <c r="M89" s="6" t="s">
        <v>28</v>
      </c>
    </row>
    <row r="90" spans="1:13" ht="15.6">
      <c r="A90" s="7" t="s">
        <v>65</v>
      </c>
      <c r="B90" s="13">
        <v>1</v>
      </c>
      <c r="C90" s="13" t="s">
        <v>18</v>
      </c>
      <c r="D90" s="8" t="s">
        <v>2</v>
      </c>
      <c r="E90" s="13" t="s">
        <v>29</v>
      </c>
      <c r="F90" s="15" t="s">
        <v>14</v>
      </c>
      <c r="G90" s="13" t="s">
        <v>30</v>
      </c>
      <c r="H90" s="13">
        <v>1</v>
      </c>
      <c r="I90" s="13">
        <v>1</v>
      </c>
      <c r="J90" s="13" t="s">
        <v>31</v>
      </c>
      <c r="K90" s="13" t="s">
        <v>31</v>
      </c>
      <c r="L90" s="13" t="s">
        <v>31</v>
      </c>
      <c r="M90" s="13" t="s">
        <v>31</v>
      </c>
    </row>
    <row r="91" spans="1:13" ht="15.6">
      <c r="A91" s="7" t="s">
        <v>85</v>
      </c>
      <c r="B91" s="13">
        <v>9.2490771812080528</v>
      </c>
      <c r="C91" s="13" t="s">
        <v>37</v>
      </c>
      <c r="D91" s="8" t="s">
        <v>40</v>
      </c>
      <c r="E91" s="13" t="s">
        <v>29</v>
      </c>
      <c r="F91" s="15" t="s">
        <v>59</v>
      </c>
      <c r="G91" s="13" t="s">
        <v>33</v>
      </c>
      <c r="H91" s="13">
        <v>2</v>
      </c>
      <c r="I91" s="13">
        <f>LN(B91)</f>
        <v>2.2245237823538315</v>
      </c>
      <c r="J91" s="13">
        <v>0.24083189157584584</v>
      </c>
      <c r="K91" s="13" t="s">
        <v>31</v>
      </c>
      <c r="L91" s="13" t="s">
        <v>31</v>
      </c>
      <c r="M91" s="13" t="s">
        <v>31</v>
      </c>
    </row>
    <row r="92" spans="1:13" ht="15.6">
      <c r="A92" s="7" t="s">
        <v>97</v>
      </c>
      <c r="B92" s="13">
        <v>147.98523489932884</v>
      </c>
      <c r="C92" s="13" t="s">
        <v>37</v>
      </c>
      <c r="D92" s="8" t="s">
        <v>40</v>
      </c>
      <c r="E92" s="13" t="s">
        <v>29</v>
      </c>
      <c r="F92" s="15" t="s">
        <v>59</v>
      </c>
      <c r="G92" s="13" t="s">
        <v>33</v>
      </c>
      <c r="H92" s="13">
        <v>2</v>
      </c>
      <c r="I92" s="13">
        <f>LN(B92)</f>
        <v>4.9971125045936127</v>
      </c>
      <c r="J92" s="13">
        <v>0.24083189157584584</v>
      </c>
      <c r="K92" s="13" t="s">
        <v>31</v>
      </c>
      <c r="L92" s="13" t="s">
        <v>31</v>
      </c>
      <c r="M92" s="13" t="s">
        <v>31</v>
      </c>
    </row>
    <row r="93" spans="1:13" ht="15.6">
      <c r="A93" s="7" t="s">
        <v>101</v>
      </c>
      <c r="B93" s="13">
        <v>111.66568791946308</v>
      </c>
      <c r="C93" s="13" t="s">
        <v>37</v>
      </c>
      <c r="D93" s="8" t="s">
        <v>40</v>
      </c>
      <c r="E93" s="13" t="s">
        <v>29</v>
      </c>
      <c r="F93" s="15" t="s">
        <v>59</v>
      </c>
      <c r="G93" s="13" t="s">
        <v>33</v>
      </c>
      <c r="H93" s="13">
        <v>2</v>
      </c>
      <c r="I93" s="13">
        <f>LN(B93)</f>
        <v>4.7155094782182143</v>
      </c>
      <c r="J93" s="13">
        <v>0.24083189157584584</v>
      </c>
      <c r="K93" s="13" t="s">
        <v>31</v>
      </c>
      <c r="L93" s="13" t="s">
        <v>31</v>
      </c>
      <c r="M93" s="13" t="s">
        <v>31</v>
      </c>
    </row>
    <row r="94" spans="1:13" ht="15.6">
      <c r="A94" s="1" t="s">
        <v>5</v>
      </c>
      <c r="B94" s="2" t="s">
        <v>66</v>
      </c>
      <c r="C94" s="3"/>
      <c r="D94" s="11"/>
      <c r="E94" s="11"/>
      <c r="F94" s="11"/>
      <c r="G94" s="11"/>
      <c r="H94" s="11"/>
      <c r="I94" s="11"/>
      <c r="J94" s="11"/>
      <c r="K94" s="11"/>
      <c r="L94" s="11"/>
      <c r="M94" s="11"/>
    </row>
    <row r="95" spans="1:13">
      <c r="A95" s="12" t="s">
        <v>7</v>
      </c>
      <c r="B95" s="13" t="s">
        <v>49</v>
      </c>
      <c r="C95" s="4"/>
      <c r="D95" s="13"/>
      <c r="E95" s="13"/>
      <c r="F95" s="13"/>
      <c r="G95" s="13"/>
      <c r="H95" s="13"/>
      <c r="I95" s="13"/>
      <c r="J95" s="13"/>
      <c r="K95" s="13"/>
      <c r="L95" s="13"/>
      <c r="M95" s="13"/>
    </row>
    <row r="96" spans="1:13">
      <c r="A96" s="12" t="s">
        <v>9</v>
      </c>
      <c r="B96" s="13" t="s">
        <v>104</v>
      </c>
      <c r="C96" s="13"/>
      <c r="D96" s="13"/>
      <c r="E96" s="13"/>
      <c r="F96" s="13"/>
      <c r="G96" s="13"/>
      <c r="H96" s="13"/>
      <c r="I96" s="13"/>
      <c r="J96" s="13"/>
      <c r="K96" s="13"/>
      <c r="L96" s="13"/>
      <c r="M96" s="13"/>
    </row>
    <row r="97" spans="1:13" ht="43.5">
      <c r="A97" s="12" t="s">
        <v>11</v>
      </c>
      <c r="B97" s="14" t="s">
        <v>105</v>
      </c>
      <c r="C97" s="13"/>
      <c r="D97" s="13"/>
      <c r="E97" s="13"/>
      <c r="F97" s="13"/>
      <c r="G97" s="13"/>
      <c r="H97" s="13"/>
      <c r="I97" s="13"/>
      <c r="J97" s="13"/>
      <c r="K97" s="13"/>
      <c r="L97" s="13"/>
      <c r="M97" s="13"/>
    </row>
    <row r="98" spans="1:13">
      <c r="A98" s="12" t="s">
        <v>13</v>
      </c>
      <c r="B98" s="13" t="s">
        <v>14</v>
      </c>
      <c r="C98" s="13"/>
      <c r="D98" s="13"/>
      <c r="E98" s="13"/>
      <c r="F98" s="13"/>
      <c r="G98" s="13"/>
      <c r="H98" s="13"/>
      <c r="I98" s="13"/>
      <c r="J98" s="13"/>
      <c r="K98" s="13"/>
      <c r="L98" s="13"/>
      <c r="M98" s="13"/>
    </row>
    <row r="99" spans="1:13">
      <c r="A99" s="12" t="s">
        <v>15</v>
      </c>
      <c r="B99" s="13">
        <v>1</v>
      </c>
      <c r="C99" s="13"/>
      <c r="D99" s="13"/>
      <c r="E99" s="13"/>
      <c r="F99" s="13"/>
      <c r="G99" s="13"/>
      <c r="H99" s="13"/>
      <c r="I99" s="13"/>
      <c r="J99" s="13"/>
      <c r="K99" s="13"/>
      <c r="L99" s="13"/>
      <c r="M99" s="13"/>
    </row>
    <row r="100" spans="1:13">
      <c r="A100" s="12" t="s">
        <v>16</v>
      </c>
      <c r="B100" s="13" t="s">
        <v>17</v>
      </c>
      <c r="C100" s="13"/>
      <c r="D100" s="13"/>
      <c r="E100" s="13"/>
      <c r="F100" s="13"/>
      <c r="G100" s="13"/>
      <c r="H100" s="13"/>
      <c r="I100" s="13"/>
      <c r="J100" s="13"/>
      <c r="K100" s="13"/>
      <c r="L100" s="13"/>
      <c r="M100" s="13"/>
    </row>
    <row r="101" spans="1:13">
      <c r="A101" s="12" t="s">
        <v>18</v>
      </c>
      <c r="B101" s="13" t="s">
        <v>18</v>
      </c>
      <c r="C101" s="13"/>
      <c r="D101" s="13"/>
      <c r="E101" s="13"/>
      <c r="F101" s="13"/>
      <c r="G101" s="13"/>
      <c r="H101" s="13"/>
      <c r="I101" s="13"/>
      <c r="J101" s="13"/>
      <c r="K101" s="13"/>
      <c r="L101" s="13"/>
      <c r="M101" s="13"/>
    </row>
    <row r="102" spans="1:13" ht="15.6">
      <c r="A102" s="5" t="s">
        <v>19</v>
      </c>
      <c r="B102" s="13"/>
      <c r="C102" s="13"/>
      <c r="D102" s="13"/>
      <c r="E102" s="13"/>
      <c r="F102" s="13"/>
      <c r="G102" s="13"/>
      <c r="H102" s="13"/>
      <c r="I102" s="13"/>
      <c r="J102" s="13"/>
      <c r="K102" s="13"/>
      <c r="L102" s="13"/>
      <c r="M102" s="13"/>
    </row>
    <row r="103" spans="1:13" ht="15.6">
      <c r="A103" s="5" t="s">
        <v>20</v>
      </c>
      <c r="B103" s="6" t="s">
        <v>21</v>
      </c>
      <c r="C103" s="6" t="s">
        <v>18</v>
      </c>
      <c r="D103" s="6" t="s">
        <v>22</v>
      </c>
      <c r="E103" s="6" t="s">
        <v>7</v>
      </c>
      <c r="F103" s="6" t="s">
        <v>13</v>
      </c>
      <c r="G103" s="6" t="s">
        <v>16</v>
      </c>
      <c r="H103" s="6" t="s">
        <v>23</v>
      </c>
      <c r="I103" s="6" t="s">
        <v>24</v>
      </c>
      <c r="J103" s="6" t="s">
        <v>25</v>
      </c>
      <c r="K103" s="6" t="s">
        <v>26</v>
      </c>
      <c r="L103" s="6" t="s">
        <v>27</v>
      </c>
      <c r="M103" s="6" t="s">
        <v>28</v>
      </c>
    </row>
    <row r="104" spans="1:13" ht="15.6">
      <c r="A104" s="7" t="s">
        <v>66</v>
      </c>
      <c r="B104" s="13">
        <v>1</v>
      </c>
      <c r="C104" s="13" t="s">
        <v>18</v>
      </c>
      <c r="D104" s="8" t="s">
        <v>2</v>
      </c>
      <c r="E104" s="13" t="s">
        <v>29</v>
      </c>
      <c r="F104" s="15" t="s">
        <v>14</v>
      </c>
      <c r="G104" s="13" t="s">
        <v>30</v>
      </c>
      <c r="H104" s="13">
        <v>1</v>
      </c>
      <c r="I104" s="13">
        <v>1</v>
      </c>
      <c r="J104" s="13" t="s">
        <v>31</v>
      </c>
      <c r="K104" s="13" t="s">
        <v>31</v>
      </c>
      <c r="L104" s="13" t="s">
        <v>31</v>
      </c>
      <c r="M104" s="13" t="s">
        <v>31</v>
      </c>
    </row>
    <row r="105" spans="1:13" ht="15.6">
      <c r="A105" s="7" t="s">
        <v>85</v>
      </c>
      <c r="B105" s="13">
        <f>190.0889616/(2969.6-84.35197672)*2969.6</f>
        <v>195.64632773775895</v>
      </c>
      <c r="C105" s="13" t="s">
        <v>37</v>
      </c>
      <c r="D105" s="8" t="s">
        <v>40</v>
      </c>
      <c r="E105" s="13" t="s">
        <v>29</v>
      </c>
      <c r="F105" s="15" t="s">
        <v>59</v>
      </c>
      <c r="G105" s="13" t="s">
        <v>33</v>
      </c>
      <c r="H105" s="13">
        <v>2</v>
      </c>
      <c r="I105" s="13">
        <f>LN(B105)</f>
        <v>5.2763085789313777</v>
      </c>
      <c r="J105" s="13">
        <v>0.24083189157584584</v>
      </c>
      <c r="K105" s="13" t="s">
        <v>31</v>
      </c>
      <c r="L105" s="13" t="s">
        <v>31</v>
      </c>
      <c r="M105" s="13" t="s">
        <v>31</v>
      </c>
    </row>
    <row r="106" spans="1:13" ht="15.6">
      <c r="A106" s="7" t="s">
        <v>101</v>
      </c>
      <c r="B106" s="13">
        <f>13.50063648/(2969.6-84.35197672)*2969.6</f>
        <v>13.895335779636476</v>
      </c>
      <c r="C106" s="13" t="s">
        <v>37</v>
      </c>
      <c r="D106" s="8" t="s">
        <v>40</v>
      </c>
      <c r="E106" s="13" t="s">
        <v>29</v>
      </c>
      <c r="F106" s="15" t="s">
        <v>59</v>
      </c>
      <c r="G106" s="13" t="s">
        <v>33</v>
      </c>
      <c r="H106" s="13">
        <v>2</v>
      </c>
      <c r="I106" s="13">
        <f>LN(B106)</f>
        <v>2.6315532284034919</v>
      </c>
      <c r="J106" s="13">
        <v>0.24083189157584584</v>
      </c>
      <c r="K106" s="13" t="s">
        <v>31</v>
      </c>
      <c r="L106" s="13" t="s">
        <v>31</v>
      </c>
      <c r="M106" s="13" t="s">
        <v>31</v>
      </c>
    </row>
    <row r="107" spans="1:13" ht="15.6">
      <c r="A107" s="7" t="s">
        <v>86</v>
      </c>
      <c r="B107" s="13">
        <f>20.41296236/(2969.6-84.35197672)*2969.6</f>
        <v>21.009747701115842</v>
      </c>
      <c r="C107" s="13" t="s">
        <v>37</v>
      </c>
      <c r="D107" s="8" t="s">
        <v>40</v>
      </c>
      <c r="E107" s="13" t="s">
        <v>29</v>
      </c>
      <c r="F107" s="15" t="s">
        <v>59</v>
      </c>
      <c r="G107" s="13" t="s">
        <v>33</v>
      </c>
      <c r="H107" s="13">
        <v>2</v>
      </c>
      <c r="I107" s="13">
        <f t="shared" ref="I107:I109" si="5">LN(B107)</f>
        <v>3.0449865062705674</v>
      </c>
      <c r="J107" s="13">
        <v>0.24083189157584584</v>
      </c>
      <c r="K107" s="13" t="s">
        <v>31</v>
      </c>
      <c r="L107" s="13" t="s">
        <v>31</v>
      </c>
      <c r="M107" s="13" t="s">
        <v>31</v>
      </c>
    </row>
    <row r="108" spans="1:13" ht="15.6">
      <c r="A108" s="7" t="s">
        <v>88</v>
      </c>
      <c r="B108" s="13">
        <f>135.0063648/(2969.6-84.35197672)*2969.6</f>
        <v>138.95335779636474</v>
      </c>
      <c r="C108" s="13" t="s">
        <v>37</v>
      </c>
      <c r="D108" s="8" t="s">
        <v>40</v>
      </c>
      <c r="E108" s="13" t="s">
        <v>29</v>
      </c>
      <c r="F108" s="15" t="s">
        <v>59</v>
      </c>
      <c r="G108" s="13" t="s">
        <v>33</v>
      </c>
      <c r="H108" s="13">
        <v>2</v>
      </c>
      <c r="I108" s="13">
        <f t="shared" si="5"/>
        <v>4.9341383213975378</v>
      </c>
      <c r="J108" s="13">
        <v>0.24083189157584584</v>
      </c>
      <c r="K108" s="13" t="s">
        <v>31</v>
      </c>
      <c r="L108" s="13" t="s">
        <v>31</v>
      </c>
      <c r="M108" s="13" t="s">
        <v>31</v>
      </c>
    </row>
    <row r="109" spans="1:13" ht="15.6">
      <c r="A109" s="7" t="s">
        <v>97</v>
      </c>
      <c r="B109" s="13">
        <f>2526.239098/(2969.6-84.35197672)*2969.6</f>
        <v>2600.0952309439549</v>
      </c>
      <c r="C109" s="13" t="s">
        <v>37</v>
      </c>
      <c r="D109" s="8" t="s">
        <v>40</v>
      </c>
      <c r="E109" s="13" t="s">
        <v>29</v>
      </c>
      <c r="F109" s="15" t="s">
        <v>59</v>
      </c>
      <c r="G109" s="13" t="s">
        <v>33</v>
      </c>
      <c r="H109" s="13">
        <v>2</v>
      </c>
      <c r="I109" s="13">
        <f t="shared" si="5"/>
        <v>7.863303350624947</v>
      </c>
      <c r="J109" s="13">
        <v>0.24083189157584584</v>
      </c>
      <c r="K109" s="13" t="s">
        <v>31</v>
      </c>
      <c r="L109" s="13" t="s">
        <v>31</v>
      </c>
      <c r="M109" s="13" t="s">
        <v>31</v>
      </c>
    </row>
    <row r="110" spans="1:13" ht="15.6">
      <c r="A110" s="1" t="s">
        <v>5</v>
      </c>
      <c r="B110" s="2" t="s">
        <v>67</v>
      </c>
      <c r="C110" s="3"/>
      <c r="D110" s="11"/>
      <c r="E110" s="11"/>
      <c r="F110" s="11"/>
      <c r="G110" s="11"/>
      <c r="H110" s="11"/>
      <c r="I110" s="11"/>
      <c r="J110" s="11"/>
      <c r="K110" s="11"/>
      <c r="L110" s="11"/>
      <c r="M110" s="11"/>
    </row>
    <row r="111" spans="1:13">
      <c r="A111" s="12" t="s">
        <v>7</v>
      </c>
      <c r="B111" s="13" t="s">
        <v>49</v>
      </c>
      <c r="C111" s="4"/>
      <c r="D111" s="13"/>
      <c r="E111" s="13"/>
      <c r="F111" s="13"/>
      <c r="G111" s="13"/>
      <c r="H111" s="13"/>
      <c r="I111" s="13"/>
      <c r="J111" s="13"/>
      <c r="K111" s="13"/>
      <c r="L111" s="13"/>
      <c r="M111" s="13"/>
    </row>
    <row r="112" spans="1:13">
      <c r="A112" s="12" t="s">
        <v>9</v>
      </c>
      <c r="B112" s="13" t="s">
        <v>106</v>
      </c>
      <c r="C112" s="13"/>
      <c r="D112" s="13"/>
      <c r="E112" s="13"/>
      <c r="F112" s="13"/>
      <c r="G112" s="13"/>
      <c r="H112" s="13"/>
      <c r="I112" s="13"/>
      <c r="J112" s="13"/>
      <c r="K112" s="13"/>
      <c r="L112" s="13"/>
      <c r="M112" s="13"/>
    </row>
    <row r="113" spans="1:13" ht="29.1">
      <c r="A113" s="12" t="s">
        <v>11</v>
      </c>
      <c r="B113" s="14" t="s">
        <v>107</v>
      </c>
      <c r="C113" s="13"/>
      <c r="D113" s="13"/>
      <c r="E113" s="13"/>
      <c r="F113" s="13"/>
      <c r="G113" s="13"/>
      <c r="H113" s="13"/>
      <c r="I113" s="13"/>
      <c r="J113" s="13"/>
      <c r="K113" s="13"/>
      <c r="L113" s="13"/>
      <c r="M113" s="13"/>
    </row>
    <row r="114" spans="1:13">
      <c r="A114" s="12" t="s">
        <v>13</v>
      </c>
      <c r="B114" s="13" t="s">
        <v>14</v>
      </c>
      <c r="C114" s="13"/>
      <c r="D114" s="13"/>
      <c r="E114" s="13"/>
      <c r="F114" s="13"/>
      <c r="G114" s="13"/>
      <c r="H114" s="13"/>
      <c r="I114" s="13"/>
      <c r="J114" s="13"/>
      <c r="K114" s="13"/>
      <c r="L114" s="13"/>
      <c r="M114" s="13"/>
    </row>
    <row r="115" spans="1:13">
      <c r="A115" s="12" t="s">
        <v>15</v>
      </c>
      <c r="B115" s="13">
        <v>1</v>
      </c>
      <c r="C115" s="13"/>
      <c r="D115" s="13"/>
      <c r="E115" s="13"/>
      <c r="F115" s="13"/>
      <c r="G115" s="13"/>
      <c r="H115" s="13"/>
      <c r="I115" s="13"/>
      <c r="J115" s="13"/>
      <c r="K115" s="13"/>
      <c r="L115" s="13"/>
      <c r="M115" s="13"/>
    </row>
    <row r="116" spans="1:13">
      <c r="A116" s="12" t="s">
        <v>16</v>
      </c>
      <c r="B116" s="13" t="s">
        <v>17</v>
      </c>
      <c r="C116" s="13"/>
      <c r="D116" s="13"/>
      <c r="E116" s="13"/>
      <c r="F116" s="13"/>
      <c r="G116" s="13"/>
      <c r="H116" s="13"/>
      <c r="I116" s="13"/>
      <c r="J116" s="13"/>
      <c r="K116" s="13"/>
      <c r="L116" s="13"/>
      <c r="M116" s="13"/>
    </row>
    <row r="117" spans="1:13">
      <c r="A117" s="12" t="s">
        <v>18</v>
      </c>
      <c r="B117" s="13" t="s">
        <v>18</v>
      </c>
      <c r="C117" s="13"/>
      <c r="D117" s="13"/>
      <c r="E117" s="13"/>
      <c r="F117" s="13"/>
      <c r="G117" s="13"/>
      <c r="H117" s="13"/>
      <c r="I117" s="13"/>
      <c r="J117" s="13"/>
      <c r="K117" s="13"/>
      <c r="L117" s="13"/>
      <c r="M117" s="13"/>
    </row>
    <row r="118" spans="1:13" ht="15.6">
      <c r="A118" s="5" t="s">
        <v>19</v>
      </c>
      <c r="B118" s="13"/>
      <c r="C118" s="13"/>
      <c r="D118" s="13"/>
      <c r="E118" s="13"/>
      <c r="F118" s="13"/>
      <c r="G118" s="13"/>
      <c r="H118" s="13"/>
      <c r="I118" s="13"/>
      <c r="J118" s="13"/>
      <c r="K118" s="13"/>
      <c r="L118" s="13"/>
      <c r="M118" s="13"/>
    </row>
    <row r="119" spans="1:13" ht="15.6">
      <c r="A119" s="5" t="s">
        <v>20</v>
      </c>
      <c r="B119" s="6" t="s">
        <v>21</v>
      </c>
      <c r="C119" s="6" t="s">
        <v>18</v>
      </c>
      <c r="D119" s="6" t="s">
        <v>22</v>
      </c>
      <c r="E119" s="6" t="s">
        <v>7</v>
      </c>
      <c r="F119" s="6" t="s">
        <v>13</v>
      </c>
      <c r="G119" s="6" t="s">
        <v>16</v>
      </c>
      <c r="H119" s="6" t="s">
        <v>23</v>
      </c>
      <c r="I119" s="6" t="s">
        <v>24</v>
      </c>
      <c r="J119" s="6" t="s">
        <v>25</v>
      </c>
      <c r="K119" s="6" t="s">
        <v>26</v>
      </c>
      <c r="L119" s="6" t="s">
        <v>27</v>
      </c>
      <c r="M119" s="6" t="s">
        <v>28</v>
      </c>
    </row>
    <row r="120" spans="1:13" ht="15.6">
      <c r="A120" s="7" t="s">
        <v>67</v>
      </c>
      <c r="B120" s="13">
        <v>1</v>
      </c>
      <c r="C120" s="13" t="s">
        <v>18</v>
      </c>
      <c r="D120" s="8" t="s">
        <v>2</v>
      </c>
      <c r="E120" s="13" t="s">
        <v>29</v>
      </c>
      <c r="F120" s="15" t="s">
        <v>14</v>
      </c>
      <c r="G120" s="13" t="s">
        <v>30</v>
      </c>
      <c r="H120" s="13">
        <v>1</v>
      </c>
      <c r="I120" s="13">
        <v>1</v>
      </c>
      <c r="J120" s="13" t="s">
        <v>31</v>
      </c>
      <c r="K120" s="13" t="s">
        <v>31</v>
      </c>
      <c r="L120" s="13" t="s">
        <v>31</v>
      </c>
      <c r="M120" s="13" t="s">
        <v>31</v>
      </c>
    </row>
    <row r="121" spans="1:13" ht="15.6">
      <c r="A121" s="7" t="s">
        <v>85</v>
      </c>
      <c r="B121" s="13">
        <v>45.557706384709228</v>
      </c>
      <c r="C121" s="13" t="s">
        <v>37</v>
      </c>
      <c r="D121" s="8" t="s">
        <v>40</v>
      </c>
      <c r="E121" s="13" t="s">
        <v>29</v>
      </c>
      <c r="F121" s="15" t="s">
        <v>59</v>
      </c>
      <c r="G121" s="13" t="s">
        <v>33</v>
      </c>
      <c r="H121" s="13">
        <v>2</v>
      </c>
      <c r="I121" s="13">
        <f>LN(B121)</f>
        <v>3.818979794570506</v>
      </c>
      <c r="J121" s="13">
        <v>0.24083189157584584</v>
      </c>
      <c r="K121" s="13" t="s">
        <v>31</v>
      </c>
      <c r="L121" s="13" t="s">
        <v>31</v>
      </c>
      <c r="M121" s="13" t="s">
        <v>31</v>
      </c>
    </row>
    <row r="122" spans="1:13" ht="15.6">
      <c r="A122" s="7" t="s">
        <v>86</v>
      </c>
      <c r="B122" s="13">
        <v>833.30427002846682</v>
      </c>
      <c r="C122" s="13" t="s">
        <v>37</v>
      </c>
      <c r="D122" s="8" t="s">
        <v>40</v>
      </c>
      <c r="E122" s="13" t="s">
        <v>29</v>
      </c>
      <c r="F122" s="15" t="s">
        <v>59</v>
      </c>
      <c r="G122" s="13" t="s">
        <v>33</v>
      </c>
      <c r="H122" s="13">
        <v>2</v>
      </c>
      <c r="I122" s="13">
        <f>LN(B122)</f>
        <v>6.725398845614162</v>
      </c>
      <c r="J122" s="13">
        <v>0.24083189157584584</v>
      </c>
      <c r="K122" s="13" t="s">
        <v>31</v>
      </c>
      <c r="L122" s="13" t="s">
        <v>31</v>
      </c>
      <c r="M122" s="13" t="s">
        <v>31</v>
      </c>
    </row>
    <row r="123" spans="1:13" ht="15.6">
      <c r="A123" s="7" t="s">
        <v>97</v>
      </c>
      <c r="B123" s="13">
        <v>7.5803172021146796</v>
      </c>
      <c r="C123" s="13" t="s">
        <v>37</v>
      </c>
      <c r="D123" s="8" t="s">
        <v>40</v>
      </c>
      <c r="E123" s="13" t="s">
        <v>29</v>
      </c>
      <c r="F123" s="15" t="s">
        <v>59</v>
      </c>
      <c r="G123" s="13" t="s">
        <v>33</v>
      </c>
      <c r="H123" s="13">
        <v>2</v>
      </c>
      <c r="I123" s="13">
        <f t="shared" ref="I123:I124" si="6">LN(B123)</f>
        <v>2.0255550460233893</v>
      </c>
      <c r="J123" s="13">
        <v>0.24083189157584584</v>
      </c>
      <c r="K123" s="13" t="s">
        <v>31</v>
      </c>
      <c r="L123" s="13" t="s">
        <v>31</v>
      </c>
      <c r="M123" s="13" t="s">
        <v>31</v>
      </c>
    </row>
    <row r="124" spans="1:13" ht="15.6">
      <c r="A124" s="7" t="s">
        <v>88</v>
      </c>
      <c r="B124" s="13">
        <v>45.557706384709228</v>
      </c>
      <c r="C124" s="13" t="s">
        <v>37</v>
      </c>
      <c r="D124" s="8" t="s">
        <v>40</v>
      </c>
      <c r="E124" s="13" t="s">
        <v>29</v>
      </c>
      <c r="F124" s="15" t="s">
        <v>59</v>
      </c>
      <c r="G124" s="13" t="s">
        <v>33</v>
      </c>
      <c r="H124" s="13">
        <v>2</v>
      </c>
      <c r="I124" s="13">
        <f t="shared" si="6"/>
        <v>3.818979794570506</v>
      </c>
      <c r="J124" s="13">
        <v>0.24083189157584584</v>
      </c>
      <c r="K124" s="13" t="s">
        <v>31</v>
      </c>
      <c r="L124" s="13" t="s">
        <v>31</v>
      </c>
      <c r="M124" s="13" t="s">
        <v>31</v>
      </c>
    </row>
    <row r="125" spans="1:13" ht="15.6">
      <c r="A125" s="1" t="s">
        <v>5</v>
      </c>
      <c r="B125" s="2" t="s">
        <v>68</v>
      </c>
      <c r="C125" s="3"/>
      <c r="D125" s="11"/>
      <c r="E125" s="11"/>
      <c r="F125" s="11"/>
      <c r="G125" s="11"/>
      <c r="H125" s="11"/>
      <c r="I125" s="11"/>
      <c r="J125" s="11"/>
      <c r="K125" s="11"/>
      <c r="L125" s="11"/>
      <c r="M125" s="11"/>
    </row>
    <row r="126" spans="1:13">
      <c r="A126" s="12" t="s">
        <v>7</v>
      </c>
      <c r="B126" s="13" t="s">
        <v>49</v>
      </c>
      <c r="C126" s="4"/>
      <c r="D126" s="13"/>
      <c r="E126" s="13"/>
      <c r="F126" s="13"/>
      <c r="G126" s="13"/>
      <c r="H126" s="13"/>
      <c r="I126" s="13"/>
      <c r="J126" s="13"/>
      <c r="K126" s="13"/>
      <c r="L126" s="13"/>
      <c r="M126" s="13"/>
    </row>
    <row r="127" spans="1:13">
      <c r="A127" s="12" t="s">
        <v>9</v>
      </c>
      <c r="B127" s="13" t="s">
        <v>108</v>
      </c>
      <c r="C127" s="13"/>
      <c r="D127" s="13"/>
      <c r="E127" s="13"/>
      <c r="F127" s="13"/>
      <c r="G127" s="13"/>
      <c r="H127" s="13"/>
      <c r="I127" s="13"/>
      <c r="J127" s="13"/>
      <c r="K127" s="13"/>
      <c r="L127" s="13"/>
      <c r="M127" s="13"/>
    </row>
    <row r="128" spans="1:13" ht="29.1">
      <c r="A128" s="12" t="s">
        <v>11</v>
      </c>
      <c r="B128" s="14" t="s">
        <v>109</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ht="15.6">
      <c r="A133" s="5" t="s">
        <v>19</v>
      </c>
      <c r="B133" s="13"/>
      <c r="C133" s="13"/>
      <c r="D133" s="13"/>
      <c r="E133" s="13"/>
      <c r="F133" s="13"/>
      <c r="G133" s="13"/>
      <c r="H133" s="13"/>
      <c r="I133" s="13"/>
      <c r="J133" s="13"/>
      <c r="K133" s="13"/>
      <c r="L133" s="13"/>
      <c r="M133" s="13"/>
    </row>
    <row r="134" spans="1:13" ht="15.6">
      <c r="A134" s="5" t="s">
        <v>20</v>
      </c>
      <c r="B134" s="6" t="s">
        <v>21</v>
      </c>
      <c r="C134" s="6" t="s">
        <v>18</v>
      </c>
      <c r="D134" s="6" t="s">
        <v>22</v>
      </c>
      <c r="E134" s="6" t="s">
        <v>7</v>
      </c>
      <c r="F134" s="6" t="s">
        <v>13</v>
      </c>
      <c r="G134" s="6" t="s">
        <v>16</v>
      </c>
      <c r="H134" s="6" t="s">
        <v>23</v>
      </c>
      <c r="I134" s="6" t="s">
        <v>24</v>
      </c>
      <c r="J134" s="6" t="s">
        <v>25</v>
      </c>
      <c r="K134" s="6" t="s">
        <v>26</v>
      </c>
      <c r="L134" s="6" t="s">
        <v>27</v>
      </c>
      <c r="M134" s="6" t="s">
        <v>28</v>
      </c>
    </row>
    <row r="135" spans="1:13" ht="15.6">
      <c r="A135" s="7" t="s">
        <v>68</v>
      </c>
      <c r="B135" s="13">
        <v>1</v>
      </c>
      <c r="C135" s="13" t="s">
        <v>18</v>
      </c>
      <c r="D135" s="8" t="s">
        <v>2</v>
      </c>
      <c r="E135" s="13" t="s">
        <v>29</v>
      </c>
      <c r="F135" s="15" t="s">
        <v>14</v>
      </c>
      <c r="G135" s="13" t="s">
        <v>30</v>
      </c>
      <c r="H135" s="13">
        <v>1</v>
      </c>
      <c r="I135" s="13">
        <v>1</v>
      </c>
      <c r="J135" s="13" t="s">
        <v>31</v>
      </c>
      <c r="K135" s="13" t="s">
        <v>31</v>
      </c>
      <c r="L135" s="13" t="s">
        <v>31</v>
      </c>
      <c r="M135" s="13" t="s">
        <v>31</v>
      </c>
    </row>
    <row r="136" spans="1:13" ht="15.6">
      <c r="A136" s="7" t="s">
        <v>85</v>
      </c>
      <c r="B136" s="13">
        <v>9.1938943894389489</v>
      </c>
      <c r="C136" s="13" t="s">
        <v>37</v>
      </c>
      <c r="D136" s="8" t="s">
        <v>40</v>
      </c>
      <c r="E136" s="13" t="s">
        <v>29</v>
      </c>
      <c r="F136" s="15" t="s">
        <v>59</v>
      </c>
      <c r="G136" s="13" t="s">
        <v>33</v>
      </c>
      <c r="H136" s="13">
        <v>2</v>
      </c>
      <c r="I136" s="13">
        <f>LN(B136)</f>
        <v>2.2185396104177948</v>
      </c>
      <c r="J136" s="13">
        <v>0.24083189157584584</v>
      </c>
      <c r="K136" s="13" t="s">
        <v>31</v>
      </c>
      <c r="L136" s="13" t="s">
        <v>31</v>
      </c>
      <c r="M136" s="13" t="s">
        <v>31</v>
      </c>
    </row>
    <row r="137" spans="1:13" ht="15.6">
      <c r="A137" s="7" t="s">
        <v>86</v>
      </c>
      <c r="B137" s="13">
        <v>170.50495049504948</v>
      </c>
      <c r="C137" s="13" t="s">
        <v>37</v>
      </c>
      <c r="D137" s="8" t="s">
        <v>40</v>
      </c>
      <c r="E137" s="13" t="s">
        <v>29</v>
      </c>
      <c r="F137" s="15" t="s">
        <v>59</v>
      </c>
      <c r="G137" s="13" t="s">
        <v>33</v>
      </c>
      <c r="H137" s="13">
        <v>2</v>
      </c>
      <c r="I137" s="13">
        <f>LN(B137)</f>
        <v>5.1387643314636398</v>
      </c>
      <c r="J137" s="13">
        <v>0.24083189157584584</v>
      </c>
      <c r="K137" s="13" t="s">
        <v>31</v>
      </c>
      <c r="L137" s="13" t="s">
        <v>31</v>
      </c>
      <c r="M137" s="13" t="s">
        <v>31</v>
      </c>
    </row>
    <row r="138" spans="1:13" ht="15.6">
      <c r="A138" s="7" t="s">
        <v>97</v>
      </c>
      <c r="B138" s="13">
        <v>13.707260726072606</v>
      </c>
      <c r="C138" s="13" t="s">
        <v>37</v>
      </c>
      <c r="D138" s="8" t="s">
        <v>40</v>
      </c>
      <c r="E138" s="13" t="s">
        <v>29</v>
      </c>
      <c r="F138" s="15" t="s">
        <v>59</v>
      </c>
      <c r="G138" s="13" t="s">
        <v>33</v>
      </c>
      <c r="H138" s="13">
        <v>2</v>
      </c>
      <c r="I138" s="13">
        <f t="shared" ref="I138:I139" si="7">LN(B138)</f>
        <v>2.6179256724495761</v>
      </c>
      <c r="J138" s="13">
        <v>0.24083189157584584</v>
      </c>
      <c r="K138" s="13" t="s">
        <v>31</v>
      </c>
      <c r="L138" s="13" t="s">
        <v>31</v>
      </c>
      <c r="M138" s="13" t="s">
        <v>31</v>
      </c>
    </row>
    <row r="139" spans="1:13" ht="15.6">
      <c r="A139" s="7" t="s">
        <v>88</v>
      </c>
      <c r="B139" s="13">
        <v>9.1938943894389435</v>
      </c>
      <c r="C139" s="13" t="s">
        <v>37</v>
      </c>
      <c r="D139" s="8" t="s">
        <v>40</v>
      </c>
      <c r="E139" s="13" t="s">
        <v>29</v>
      </c>
      <c r="F139" s="15" t="s">
        <v>59</v>
      </c>
      <c r="G139" s="13" t="s">
        <v>33</v>
      </c>
      <c r="H139" s="13">
        <v>2</v>
      </c>
      <c r="I139" s="13">
        <f t="shared" si="7"/>
        <v>2.2185396104177939</v>
      </c>
      <c r="J139" s="13">
        <v>0.24083189157584584</v>
      </c>
      <c r="K139" s="13" t="s">
        <v>31</v>
      </c>
      <c r="L139" s="13" t="s">
        <v>31</v>
      </c>
      <c r="M139" s="13" t="s">
        <v>31</v>
      </c>
    </row>
  </sheetData>
  <pageMargins left="0.7" right="0.7" top="0.75" bottom="0.75" header="0.3" footer="0.3"/>
  <pageSetup paperSize="9" orientation="portrait"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D9E2-551A-4929-BED9-D487268B6ADF}">
  <sheetPr>
    <tabColor theme="9"/>
  </sheetPr>
  <dimension ref="A1:U362"/>
  <sheetViews>
    <sheetView zoomScaleNormal="100" workbookViewId="0">
      <selection activeCell="G23" sqref="G23"/>
    </sheetView>
  </sheetViews>
  <sheetFormatPr defaultRowHeight="14.45"/>
  <cols>
    <col min="1" max="1" width="65.5703125" customWidth="1"/>
    <col min="2" max="2" width="15.28515625" customWidth="1"/>
    <col min="3" max="3" width="14.28515625" customWidth="1"/>
    <col min="4" max="4" width="35.7109375" customWidth="1"/>
    <col min="7" max="7" width="15.570312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886</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962</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v>0.31379100000000004</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886</v>
      </c>
      <c r="B12" s="188">
        <f>'2A. DCAC GRID INVERTER'!B16</f>
        <v>0.31379100000000004</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963</v>
      </c>
      <c r="B13" s="188">
        <v>1</v>
      </c>
      <c r="C13" s="188" t="s">
        <v>18</v>
      </c>
      <c r="D13" s="386" t="s">
        <v>2</v>
      </c>
      <c r="E13" s="188" t="s">
        <v>29</v>
      </c>
      <c r="F13" s="37" t="s">
        <v>14</v>
      </c>
      <c r="G13" s="188" t="s">
        <v>33</v>
      </c>
      <c r="H13" s="188">
        <v>1</v>
      </c>
      <c r="I13" s="188">
        <v>1</v>
      </c>
      <c r="J13" s="188" t="s">
        <v>31</v>
      </c>
      <c r="K13" s="188" t="s">
        <v>31</v>
      </c>
      <c r="L13" s="188" t="s">
        <v>31</v>
      </c>
      <c r="M13" s="188" t="s">
        <v>31</v>
      </c>
      <c r="N13" s="188"/>
      <c r="O13" s="188"/>
      <c r="P13" s="188"/>
      <c r="Q13" s="188"/>
      <c r="R13" s="188"/>
      <c r="S13" s="188"/>
      <c r="T13" s="188"/>
      <c r="U13" s="188"/>
    </row>
    <row r="14" spans="1:21">
      <c r="A14" s="188" t="s">
        <v>964</v>
      </c>
      <c r="B14" s="188">
        <v>1</v>
      </c>
      <c r="C14" s="188" t="s">
        <v>18</v>
      </c>
      <c r="D14" s="386" t="s">
        <v>2</v>
      </c>
      <c r="E14" s="188" t="s">
        <v>29</v>
      </c>
      <c r="F14" s="37" t="s">
        <v>14</v>
      </c>
      <c r="G14" s="188" t="s">
        <v>33</v>
      </c>
      <c r="H14" s="188">
        <v>1</v>
      </c>
      <c r="I14" s="188">
        <v>1</v>
      </c>
      <c r="J14" s="188" t="s">
        <v>31</v>
      </c>
      <c r="K14" s="188" t="s">
        <v>31</v>
      </c>
      <c r="L14" s="188" t="s">
        <v>31</v>
      </c>
      <c r="M14" s="188" t="s">
        <v>31</v>
      </c>
      <c r="N14" s="188"/>
      <c r="O14" s="188"/>
      <c r="P14" s="188"/>
      <c r="Q14" s="188"/>
      <c r="R14" s="188"/>
      <c r="S14" s="188"/>
      <c r="T14" s="188"/>
      <c r="U14" s="188"/>
    </row>
    <row r="15" spans="1:21">
      <c r="A15" s="37" t="s">
        <v>179</v>
      </c>
      <c r="B15" s="370">
        <f>R15</f>
        <v>8.7000000000000001E-5</v>
      </c>
      <c r="C15" s="188" t="s">
        <v>37</v>
      </c>
      <c r="D15" s="188" t="s">
        <v>40</v>
      </c>
      <c r="E15" s="188" t="s">
        <v>29</v>
      </c>
      <c r="F15" s="37" t="s">
        <v>35</v>
      </c>
      <c r="G15" s="188" t="s">
        <v>33</v>
      </c>
      <c r="H15" s="188">
        <v>2</v>
      </c>
      <c r="I15" s="188">
        <f>LN(B15)</f>
        <v>-9.3496024393096899</v>
      </c>
      <c r="J15" s="188">
        <v>2.8722813232690055E-2</v>
      </c>
      <c r="K15" s="188" t="s">
        <v>31</v>
      </c>
      <c r="L15" s="188" t="s">
        <v>31</v>
      </c>
      <c r="M15" s="188" t="s">
        <v>31</v>
      </c>
      <c r="N15" s="188"/>
      <c r="O15" s="361" t="s">
        <v>857</v>
      </c>
      <c r="P15" s="372">
        <v>8.6999999999999994E-2</v>
      </c>
      <c r="Q15" s="188" t="s">
        <v>275</v>
      </c>
      <c r="R15" s="370">
        <f>P15*0.001</f>
        <v>8.7000000000000001E-5</v>
      </c>
      <c r="S15" s="188"/>
      <c r="T15" s="188"/>
      <c r="U15" s="188"/>
    </row>
    <row r="16" spans="1:21">
      <c r="A16" s="347" t="s">
        <v>5</v>
      </c>
      <c r="B16" s="348" t="s">
        <v>964</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965</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964</v>
      </c>
      <c r="B26" s="188">
        <v>1</v>
      </c>
      <c r="C26" s="188" t="s">
        <v>18</v>
      </c>
      <c r="D26" s="386" t="s">
        <v>2</v>
      </c>
      <c r="E26" s="188" t="s">
        <v>29</v>
      </c>
      <c r="F26" s="37" t="s">
        <v>14</v>
      </c>
      <c r="G26" s="188" t="s">
        <v>30</v>
      </c>
      <c r="H26" s="188">
        <v>1</v>
      </c>
      <c r="I26" s="188">
        <v>1</v>
      </c>
      <c r="J26" s="188" t="s">
        <v>31</v>
      </c>
      <c r="K26" s="188" t="s">
        <v>31</v>
      </c>
      <c r="L26" s="188" t="s">
        <v>31</v>
      </c>
      <c r="M26" s="188" t="s">
        <v>31</v>
      </c>
      <c r="N26" s="188"/>
      <c r="O26" s="188"/>
      <c r="P26" s="188"/>
      <c r="Q26" s="188"/>
      <c r="R26" s="188"/>
      <c r="S26" s="188"/>
      <c r="T26" s="188"/>
      <c r="U26" s="188"/>
    </row>
    <row r="27" spans="1:21">
      <c r="A27" s="37" t="s">
        <v>966</v>
      </c>
      <c r="B27" s="188">
        <v>0.17</v>
      </c>
      <c r="C27" s="188" t="s">
        <v>37</v>
      </c>
      <c r="D27" s="188" t="s">
        <v>40</v>
      </c>
      <c r="E27" s="188" t="s">
        <v>29</v>
      </c>
      <c r="F27" s="188" t="s">
        <v>59</v>
      </c>
      <c r="G27" s="188" t="s">
        <v>33</v>
      </c>
      <c r="H27" s="188">
        <v>1</v>
      </c>
      <c r="I27" s="188">
        <f>B27</f>
        <v>0.17</v>
      </c>
      <c r="J27" s="188" t="s">
        <v>31</v>
      </c>
      <c r="K27" s="188" t="s">
        <v>31</v>
      </c>
      <c r="L27" s="188" t="s">
        <v>31</v>
      </c>
      <c r="M27" s="188" t="s">
        <v>31</v>
      </c>
      <c r="N27" s="188"/>
      <c r="O27" s="188"/>
      <c r="P27" s="188"/>
      <c r="Q27" s="188"/>
      <c r="R27" s="188"/>
      <c r="S27" s="188"/>
      <c r="T27" s="188"/>
      <c r="U27" s="188"/>
    </row>
    <row r="28" spans="1:21">
      <c r="A28" s="37" t="s">
        <v>967</v>
      </c>
      <c r="B28" s="188">
        <f>R28</f>
        <v>0.112</v>
      </c>
      <c r="C28" s="188" t="s">
        <v>37</v>
      </c>
      <c r="D28" s="188" t="s">
        <v>40</v>
      </c>
      <c r="E28" s="188" t="s">
        <v>29</v>
      </c>
      <c r="F28" s="188" t="s">
        <v>59</v>
      </c>
      <c r="G28" s="188" t="s">
        <v>33</v>
      </c>
      <c r="H28" s="188">
        <v>2</v>
      </c>
      <c r="I28" s="188">
        <f>LN(B28)</f>
        <v>-2.1892564076870427</v>
      </c>
      <c r="J28" s="188">
        <v>3.7749172176353707E-2</v>
      </c>
      <c r="K28" s="188" t="s">
        <v>31</v>
      </c>
      <c r="L28" s="188" t="s">
        <v>31</v>
      </c>
      <c r="M28" s="188" t="s">
        <v>31</v>
      </c>
      <c r="N28" s="188"/>
      <c r="O28" s="379" t="s">
        <v>857</v>
      </c>
      <c r="P28" s="107">
        <v>112</v>
      </c>
      <c r="Q28" s="188" t="s">
        <v>275</v>
      </c>
      <c r="R28" s="188">
        <f>P28*0.001</f>
        <v>0.112</v>
      </c>
      <c r="S28" s="188"/>
      <c r="T28" s="188"/>
      <c r="U28" s="188"/>
    </row>
    <row r="29" spans="1:21">
      <c r="A29" s="37" t="s">
        <v>968</v>
      </c>
      <c r="B29" s="188">
        <f>R29</f>
        <v>6.7000000000000002E-3</v>
      </c>
      <c r="C29" s="188" t="s">
        <v>37</v>
      </c>
      <c r="D29" s="188" t="s">
        <v>40</v>
      </c>
      <c r="E29" s="188" t="s">
        <v>29</v>
      </c>
      <c r="F29" s="188" t="s">
        <v>59</v>
      </c>
      <c r="G29" s="188" t="s">
        <v>33</v>
      </c>
      <c r="H29" s="188">
        <v>2</v>
      </c>
      <c r="I29" s="188">
        <f>LN(B29)</f>
        <v>-5.005647752585217</v>
      </c>
      <c r="J29" s="188">
        <v>3.7749172176353707E-2</v>
      </c>
      <c r="K29" s="188" t="s">
        <v>31</v>
      </c>
      <c r="L29" s="188" t="s">
        <v>31</v>
      </c>
      <c r="M29" s="188" t="s">
        <v>31</v>
      </c>
      <c r="N29" s="188"/>
      <c r="O29" s="379" t="s">
        <v>857</v>
      </c>
      <c r="P29" s="107">
        <v>6.7</v>
      </c>
      <c r="Q29" s="188" t="s">
        <v>275</v>
      </c>
      <c r="R29" s="188">
        <f t="shared" ref="R29:R30" si="0">P29*0.001</f>
        <v>6.7000000000000002E-3</v>
      </c>
      <c r="S29" s="188"/>
      <c r="T29" s="188"/>
      <c r="U29" s="188"/>
    </row>
    <row r="30" spans="1:21">
      <c r="A30" s="37" t="s">
        <v>969</v>
      </c>
      <c r="B30" s="188">
        <f>R30</f>
        <v>5.1000000000000004E-2</v>
      </c>
      <c r="C30" s="188" t="s">
        <v>37</v>
      </c>
      <c r="D30" s="188" t="s">
        <v>40</v>
      </c>
      <c r="E30" s="188" t="s">
        <v>29</v>
      </c>
      <c r="F30" s="188" t="s">
        <v>59</v>
      </c>
      <c r="G30" s="188" t="s">
        <v>33</v>
      </c>
      <c r="H30" s="188">
        <v>2</v>
      </c>
      <c r="I30" s="188">
        <f>LN(B30)</f>
        <v>-2.9759296462578111</v>
      </c>
      <c r="J30" s="188">
        <v>3.7749172176353707E-2</v>
      </c>
      <c r="K30" s="188" t="s">
        <v>31</v>
      </c>
      <c r="L30" s="188" t="s">
        <v>31</v>
      </c>
      <c r="M30" s="188" t="s">
        <v>31</v>
      </c>
      <c r="N30" s="188"/>
      <c r="O30" s="379" t="s">
        <v>857</v>
      </c>
      <c r="P30" s="107">
        <v>51</v>
      </c>
      <c r="Q30" s="188" t="s">
        <v>275</v>
      </c>
      <c r="R30" s="188">
        <f t="shared" si="0"/>
        <v>5.1000000000000004E-2</v>
      </c>
      <c r="S30" s="188"/>
      <c r="T30" s="188"/>
      <c r="U30" s="188"/>
    </row>
    <row r="31" spans="1:21">
      <c r="A31" s="347" t="s">
        <v>5</v>
      </c>
      <c r="B31" s="348" t="s">
        <v>963</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970</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963</v>
      </c>
      <c r="B41" s="188">
        <v>1</v>
      </c>
      <c r="C41" s="188" t="s">
        <v>18</v>
      </c>
      <c r="D41" s="386" t="s">
        <v>2</v>
      </c>
      <c r="E41" s="188" t="s">
        <v>29</v>
      </c>
      <c r="F41" s="37" t="s">
        <v>14</v>
      </c>
      <c r="G41" s="188" t="s">
        <v>30</v>
      </c>
      <c r="H41" s="188">
        <v>1</v>
      </c>
      <c r="I41" s="188">
        <f t="shared" ref="I41:I43" si="1">B41</f>
        <v>1</v>
      </c>
      <c r="J41" s="188" t="s">
        <v>31</v>
      </c>
      <c r="K41" s="188" t="s">
        <v>31</v>
      </c>
      <c r="L41" s="188" t="s">
        <v>31</v>
      </c>
      <c r="M41" s="188" t="s">
        <v>31</v>
      </c>
      <c r="N41" s="188"/>
      <c r="O41" s="188"/>
      <c r="P41" s="188"/>
      <c r="Q41" s="188"/>
      <c r="R41" s="188"/>
      <c r="S41" s="188"/>
      <c r="T41" s="188"/>
      <c r="U41" s="188"/>
    </row>
    <row r="42" spans="1:21">
      <c r="A42" s="37" t="s">
        <v>971</v>
      </c>
      <c r="B42" s="188">
        <v>1</v>
      </c>
      <c r="C42" s="188" t="s">
        <v>18</v>
      </c>
      <c r="D42" s="386" t="s">
        <v>2</v>
      </c>
      <c r="E42" s="188" t="s">
        <v>29</v>
      </c>
      <c r="F42" s="37" t="s">
        <v>14</v>
      </c>
      <c r="G42" s="188" t="s">
        <v>33</v>
      </c>
      <c r="H42" s="188">
        <v>1</v>
      </c>
      <c r="I42" s="188">
        <f t="shared" si="1"/>
        <v>1</v>
      </c>
      <c r="J42" s="188" t="s">
        <v>31</v>
      </c>
      <c r="K42" s="188" t="s">
        <v>31</v>
      </c>
      <c r="L42" s="188" t="s">
        <v>31</v>
      </c>
      <c r="M42" s="188" t="s">
        <v>31</v>
      </c>
      <c r="N42" s="188"/>
      <c r="O42" s="379" t="s">
        <v>275</v>
      </c>
      <c r="P42" s="392">
        <v>0.02</v>
      </c>
      <c r="Q42" s="188" t="s">
        <v>275</v>
      </c>
      <c r="R42" s="188">
        <f>P42</f>
        <v>0.02</v>
      </c>
      <c r="S42" s="188"/>
      <c r="T42" s="188"/>
      <c r="U42" s="188"/>
    </row>
    <row r="43" spans="1:21">
      <c r="A43" s="37" t="s">
        <v>972</v>
      </c>
      <c r="B43" s="188">
        <v>1</v>
      </c>
      <c r="C43" s="188" t="s">
        <v>18</v>
      </c>
      <c r="D43" s="386" t="s">
        <v>2</v>
      </c>
      <c r="E43" s="188" t="s">
        <v>29</v>
      </c>
      <c r="F43" s="37" t="s">
        <v>14</v>
      </c>
      <c r="G43" s="188" t="s">
        <v>33</v>
      </c>
      <c r="H43" s="188">
        <v>1</v>
      </c>
      <c r="I43" s="188">
        <f t="shared" si="1"/>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2">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971</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973</v>
      </c>
      <c r="C47" s="322"/>
      <c r="D47" s="188"/>
      <c r="E47" s="188"/>
      <c r="F47" s="188"/>
      <c r="G47" s="188"/>
      <c r="H47" s="188"/>
      <c r="I47" s="188"/>
      <c r="J47" s="188"/>
      <c r="K47" s="188"/>
      <c r="L47" s="188"/>
      <c r="M47" s="188"/>
      <c r="N47" s="188"/>
      <c r="O47" s="188"/>
      <c r="P47" s="188"/>
      <c r="Q47" s="188"/>
      <c r="R47" s="188"/>
      <c r="S47" s="188"/>
      <c r="T47" s="188"/>
      <c r="U47" s="188"/>
    </row>
    <row r="48" spans="1:21" ht="78.599999999999994">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v>1</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18</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37" t="s">
        <v>971</v>
      </c>
      <c r="B55" s="188">
        <v>1</v>
      </c>
      <c r="C55" s="188" t="s">
        <v>18</v>
      </c>
      <c r="D55" s="386" t="s">
        <v>2</v>
      </c>
      <c r="E55" s="188" t="s">
        <v>29</v>
      </c>
      <c r="F55" s="37" t="s">
        <v>14</v>
      </c>
      <c r="G55" s="188" t="s">
        <v>30</v>
      </c>
      <c r="H55" s="188">
        <v>1</v>
      </c>
      <c r="I55" s="188">
        <f>B55</f>
        <v>1</v>
      </c>
      <c r="J55" s="188" t="s">
        <v>31</v>
      </c>
      <c r="K55" s="188" t="s">
        <v>31</v>
      </c>
      <c r="L55" s="188" t="s">
        <v>31</v>
      </c>
      <c r="M55" s="188" t="s">
        <v>31</v>
      </c>
      <c r="N55" s="188"/>
      <c r="O55" s="379" t="s">
        <v>275</v>
      </c>
      <c r="P55" s="392">
        <v>0.02</v>
      </c>
      <c r="Q55" s="188" t="s">
        <v>275</v>
      </c>
      <c r="R55" s="188">
        <f>P55</f>
        <v>0.02</v>
      </c>
      <c r="S55" s="188"/>
      <c r="T55" s="188"/>
      <c r="U55" s="188"/>
    </row>
    <row r="56" spans="1:21">
      <c r="A56" s="37" t="s">
        <v>179</v>
      </c>
      <c r="B56" s="370">
        <f>R56</f>
        <v>0.06</v>
      </c>
      <c r="C56" s="188" t="s">
        <v>37</v>
      </c>
      <c r="D56" s="188" t="s">
        <v>40</v>
      </c>
      <c r="E56" s="188" t="s">
        <v>29</v>
      </c>
      <c r="F56" s="37" t="s">
        <v>35</v>
      </c>
      <c r="G56" s="188" t="s">
        <v>33</v>
      </c>
      <c r="H56" s="188">
        <v>2</v>
      </c>
      <c r="I56" s="188">
        <f>LN(B56)</f>
        <v>-2.8134107167600364</v>
      </c>
      <c r="J56" s="188">
        <v>2.8722813232690055E-2</v>
      </c>
      <c r="K56" s="188" t="s">
        <v>31</v>
      </c>
      <c r="L56" s="188" t="s">
        <v>31</v>
      </c>
      <c r="M56" s="188" t="s">
        <v>31</v>
      </c>
      <c r="N56" s="188"/>
      <c r="O56" s="361" t="s">
        <v>275</v>
      </c>
      <c r="P56" s="372">
        <v>0.06</v>
      </c>
      <c r="Q56" s="188" t="s">
        <v>275</v>
      </c>
      <c r="R56" s="370">
        <f>P56</f>
        <v>0.06</v>
      </c>
      <c r="S56" s="188"/>
      <c r="T56" s="188"/>
      <c r="U56" s="188"/>
    </row>
    <row r="57" spans="1:21">
      <c r="A57" s="323" t="s">
        <v>265</v>
      </c>
      <c r="B57" s="327">
        <f>R57</f>
        <v>1.7999999999999999E-2</v>
      </c>
      <c r="C57" s="188" t="s">
        <v>39</v>
      </c>
      <c r="D57" s="188" t="s">
        <v>40</v>
      </c>
      <c r="E57" s="188" t="s">
        <v>29</v>
      </c>
      <c r="F57" s="37" t="s">
        <v>35</v>
      </c>
      <c r="G57" s="188" t="s">
        <v>33</v>
      </c>
      <c r="H57" s="188">
        <v>2</v>
      </c>
      <c r="I57" s="188">
        <f t="shared" ref="I57" si="3">LN(B57)</f>
        <v>-4.0173835210859723</v>
      </c>
      <c r="J57" s="188">
        <v>7.2284161474004766E-2</v>
      </c>
      <c r="K57" s="188" t="s">
        <v>31</v>
      </c>
      <c r="L57" s="188" t="s">
        <v>31</v>
      </c>
      <c r="M57" s="188" t="s">
        <v>31</v>
      </c>
      <c r="N57" s="188"/>
      <c r="O57" s="361" t="s">
        <v>271</v>
      </c>
      <c r="P57" s="418">
        <v>1.7999999999999999E-2</v>
      </c>
      <c r="Q57" s="188" t="s">
        <v>271</v>
      </c>
      <c r="R57" s="327">
        <f>P57</f>
        <v>1.7999999999999999E-2</v>
      </c>
      <c r="S57" s="188"/>
      <c r="T57" s="188"/>
      <c r="U57" s="188"/>
    </row>
    <row r="58" spans="1:21">
      <c r="A58" s="347" t="s">
        <v>5</v>
      </c>
      <c r="B58" s="383" t="s">
        <v>972</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974</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37" t="s">
        <v>972</v>
      </c>
      <c r="B68" s="188">
        <v>1</v>
      </c>
      <c r="C68" s="188" t="s">
        <v>18</v>
      </c>
      <c r="D68" s="386" t="s">
        <v>2</v>
      </c>
      <c r="E68" s="188" t="s">
        <v>29</v>
      </c>
      <c r="F68" s="37" t="s">
        <v>14</v>
      </c>
      <c r="G68" s="188" t="s">
        <v>30</v>
      </c>
      <c r="H68" s="188">
        <v>1</v>
      </c>
      <c r="I68" s="188">
        <f t="shared" ref="I68:I70" si="4">B68</f>
        <v>1</v>
      </c>
      <c r="J68" s="188" t="s">
        <v>31</v>
      </c>
      <c r="K68" s="188" t="s">
        <v>31</v>
      </c>
      <c r="L68" s="188" t="s">
        <v>31</v>
      </c>
      <c r="M68" s="188" t="s">
        <v>31</v>
      </c>
      <c r="N68" s="188"/>
      <c r="O68" s="188"/>
      <c r="P68" s="188"/>
      <c r="Q68" s="188"/>
      <c r="R68" s="188"/>
      <c r="S68" s="188"/>
      <c r="T68" s="188"/>
      <c r="U68" s="188"/>
    </row>
    <row r="69" spans="1:21">
      <c r="A69" s="37" t="s">
        <v>975</v>
      </c>
      <c r="B69" s="370">
        <v>0.03</v>
      </c>
      <c r="C69" s="188" t="s">
        <v>37</v>
      </c>
      <c r="D69" s="386" t="s">
        <v>2</v>
      </c>
      <c r="E69" s="188" t="s">
        <v>29</v>
      </c>
      <c r="F69" s="37" t="s">
        <v>14</v>
      </c>
      <c r="G69" s="188" t="s">
        <v>33</v>
      </c>
      <c r="H69" s="188">
        <v>1</v>
      </c>
      <c r="I69" s="188">
        <f t="shared" si="4"/>
        <v>0.03</v>
      </c>
      <c r="J69" s="188" t="s">
        <v>31</v>
      </c>
      <c r="K69" s="188" t="s">
        <v>31</v>
      </c>
      <c r="L69" s="188" t="s">
        <v>31</v>
      </c>
      <c r="M69" s="188" t="s">
        <v>31</v>
      </c>
      <c r="N69" s="188"/>
      <c r="O69" s="361"/>
      <c r="P69" s="372"/>
      <c r="Q69" s="188" t="s">
        <v>275</v>
      </c>
      <c r="R69" s="370">
        <v>0.01</v>
      </c>
      <c r="S69" s="188"/>
      <c r="T69" s="188"/>
      <c r="U69" s="188"/>
    </row>
    <row r="70" spans="1:21">
      <c r="A70" s="37" t="s">
        <v>976</v>
      </c>
      <c r="B70" s="327">
        <v>1</v>
      </c>
      <c r="C70" s="188" t="s">
        <v>18</v>
      </c>
      <c r="D70" s="386" t="s">
        <v>2</v>
      </c>
      <c r="E70" s="188" t="s">
        <v>29</v>
      </c>
      <c r="F70" s="37" t="s">
        <v>14</v>
      </c>
      <c r="G70" s="188" t="s">
        <v>33</v>
      </c>
      <c r="H70" s="188">
        <v>1</v>
      </c>
      <c r="I70" s="188">
        <f t="shared" si="4"/>
        <v>1</v>
      </c>
      <c r="J70" s="188" t="s">
        <v>31</v>
      </c>
      <c r="K70" s="188" t="s">
        <v>31</v>
      </c>
      <c r="L70" s="188" t="s">
        <v>31</v>
      </c>
      <c r="M70" s="188" t="s">
        <v>31</v>
      </c>
      <c r="N70" s="188"/>
      <c r="O70" s="361"/>
      <c r="P70" s="418"/>
      <c r="Q70" s="188"/>
      <c r="R70" s="327"/>
      <c r="S70" s="188"/>
      <c r="T70" s="188"/>
      <c r="U70" s="188"/>
    </row>
    <row r="71" spans="1:21">
      <c r="A71" s="323" t="s">
        <v>265</v>
      </c>
      <c r="B71" s="327">
        <f>R71</f>
        <v>0.21</v>
      </c>
      <c r="C71" s="188" t="s">
        <v>39</v>
      </c>
      <c r="D71" s="188" t="s">
        <v>40</v>
      </c>
      <c r="E71" s="188" t="s">
        <v>29</v>
      </c>
      <c r="F71" s="37" t="s">
        <v>35</v>
      </c>
      <c r="G71" s="188" t="s">
        <v>33</v>
      </c>
      <c r="H71" s="188">
        <v>2</v>
      </c>
      <c r="I71" s="188">
        <f t="shared" ref="I71" si="5">LN(B71)</f>
        <v>-1.5606477482646683</v>
      </c>
      <c r="J71" s="188">
        <v>7.2284161474004766E-2</v>
      </c>
      <c r="K71" s="188" t="s">
        <v>31</v>
      </c>
      <c r="L71" s="188" t="s">
        <v>31</v>
      </c>
      <c r="M71" s="188" t="s">
        <v>31</v>
      </c>
      <c r="N71" s="188"/>
      <c r="O71" s="361" t="s">
        <v>271</v>
      </c>
      <c r="P71" s="418">
        <v>0.21</v>
      </c>
      <c r="Q71" s="188" t="s">
        <v>271</v>
      </c>
      <c r="R71" s="327">
        <f>P71</f>
        <v>0.21</v>
      </c>
      <c r="S71" s="188"/>
      <c r="T71" s="188"/>
      <c r="U71" s="188"/>
    </row>
    <row r="72" spans="1:21">
      <c r="A72" s="347" t="s">
        <v>5</v>
      </c>
      <c r="B72" s="383" t="s">
        <v>975</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977</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188">
        <v>0.03</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37" t="s">
        <v>975</v>
      </c>
      <c r="B82" s="335">
        <v>0.03</v>
      </c>
      <c r="C82" s="188" t="s">
        <v>37</v>
      </c>
      <c r="D82" s="386" t="s">
        <v>2</v>
      </c>
      <c r="E82" s="188" t="s">
        <v>29</v>
      </c>
      <c r="F82" s="37" t="s">
        <v>14</v>
      </c>
      <c r="G82" s="188" t="s">
        <v>30</v>
      </c>
      <c r="H82" s="188">
        <v>1</v>
      </c>
      <c r="I82" s="188">
        <f t="shared" ref="I82:I84" si="6">B82</f>
        <v>0.03</v>
      </c>
      <c r="J82" s="188" t="s">
        <v>31</v>
      </c>
      <c r="K82" s="188" t="s">
        <v>31</v>
      </c>
      <c r="L82" s="188" t="s">
        <v>31</v>
      </c>
      <c r="M82" s="188" t="s">
        <v>31</v>
      </c>
      <c r="N82" s="188"/>
      <c r="O82" s="361"/>
      <c r="P82" s="372"/>
      <c r="Q82" s="188" t="s">
        <v>275</v>
      </c>
      <c r="R82" s="370">
        <v>0.01</v>
      </c>
      <c r="S82" s="188"/>
      <c r="T82" s="188"/>
      <c r="U82" s="188"/>
    </row>
    <row r="83" spans="1:21">
      <c r="A83" s="37" t="s">
        <v>755</v>
      </c>
      <c r="B83" s="192">
        <v>0.03</v>
      </c>
      <c r="C83" s="188" t="s">
        <v>37</v>
      </c>
      <c r="D83" s="188" t="s">
        <v>40</v>
      </c>
      <c r="E83" s="188" t="s">
        <v>29</v>
      </c>
      <c r="F83" s="37" t="s">
        <v>59</v>
      </c>
      <c r="G83" s="188" t="s">
        <v>33</v>
      </c>
      <c r="H83" s="188">
        <v>1</v>
      </c>
      <c r="I83" s="188">
        <f t="shared" si="6"/>
        <v>0.03</v>
      </c>
      <c r="J83" s="188" t="s">
        <v>31</v>
      </c>
      <c r="K83" s="188" t="s">
        <v>31</v>
      </c>
      <c r="L83" s="188" t="s">
        <v>31</v>
      </c>
      <c r="M83" s="188" t="s">
        <v>31</v>
      </c>
      <c r="N83" s="188"/>
      <c r="O83" s="361"/>
      <c r="P83" s="418"/>
      <c r="Q83" s="188"/>
      <c r="R83" s="327"/>
      <c r="S83" s="188"/>
      <c r="T83" s="188"/>
      <c r="U83" s="188"/>
    </row>
    <row r="84" spans="1:21">
      <c r="A84" s="37" t="s">
        <v>757</v>
      </c>
      <c r="B84" s="188">
        <v>0.03</v>
      </c>
      <c r="C84" s="188" t="s">
        <v>37</v>
      </c>
      <c r="D84" s="188" t="s">
        <v>40</v>
      </c>
      <c r="E84" s="188" t="s">
        <v>29</v>
      </c>
      <c r="F84" s="188" t="s">
        <v>59</v>
      </c>
      <c r="G84" s="188" t="s">
        <v>33</v>
      </c>
      <c r="H84" s="188">
        <v>1</v>
      </c>
      <c r="I84" s="188">
        <f t="shared" si="6"/>
        <v>0.03</v>
      </c>
      <c r="J84" s="188" t="s">
        <v>31</v>
      </c>
      <c r="K84" s="188" t="s">
        <v>31</v>
      </c>
      <c r="L84" s="188" t="s">
        <v>31</v>
      </c>
      <c r="M84" s="188" t="s">
        <v>31</v>
      </c>
      <c r="N84" s="188"/>
      <c r="O84" s="188"/>
      <c r="P84" s="188"/>
      <c r="Q84" s="188"/>
      <c r="R84" s="188"/>
      <c r="S84" s="188"/>
      <c r="T84" s="188"/>
      <c r="U84" s="188"/>
    </row>
    <row r="85" spans="1:21" s="73" customFormat="1">
      <c r="A85" s="347" t="s">
        <v>5</v>
      </c>
      <c r="B85" s="383" t="s">
        <v>976</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978</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37" t="s">
        <v>976</v>
      </c>
      <c r="B95" s="327">
        <v>1</v>
      </c>
      <c r="C95" s="188" t="s">
        <v>18</v>
      </c>
      <c r="D95" s="386" t="s">
        <v>2</v>
      </c>
      <c r="E95" s="188" t="s">
        <v>29</v>
      </c>
      <c r="F95" s="37" t="s">
        <v>14</v>
      </c>
      <c r="G95" s="188" t="s">
        <v>30</v>
      </c>
      <c r="H95" s="188">
        <v>1</v>
      </c>
      <c r="I95" s="188">
        <f t="shared" ref="I95:I96" si="7">B95</f>
        <v>1</v>
      </c>
      <c r="J95" s="188" t="s">
        <v>31</v>
      </c>
      <c r="K95" s="188" t="s">
        <v>31</v>
      </c>
      <c r="L95" s="188" t="s">
        <v>31</v>
      </c>
      <c r="M95" s="188" t="s">
        <v>31</v>
      </c>
      <c r="N95" s="188"/>
      <c r="O95" s="361"/>
      <c r="P95" s="418"/>
      <c r="Q95" s="188"/>
      <c r="R95" s="327"/>
      <c r="S95" s="188"/>
      <c r="T95" s="188"/>
      <c r="U95" s="188"/>
    </row>
    <row r="96" spans="1:21">
      <c r="A96" s="37" t="s">
        <v>979</v>
      </c>
      <c r="B96" s="188">
        <v>1</v>
      </c>
      <c r="C96" s="188" t="s">
        <v>18</v>
      </c>
      <c r="D96" s="386" t="s">
        <v>2</v>
      </c>
      <c r="E96" s="188" t="s">
        <v>29</v>
      </c>
      <c r="F96" s="37" t="s">
        <v>14</v>
      </c>
      <c r="G96" s="188" t="s">
        <v>33</v>
      </c>
      <c r="H96" s="188">
        <v>1</v>
      </c>
      <c r="I96" s="188">
        <f t="shared" si="7"/>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8">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383" t="s">
        <v>979</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980</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37" t="s">
        <v>979</v>
      </c>
      <c r="B108" s="188">
        <v>1</v>
      </c>
      <c r="C108" s="188" t="s">
        <v>18</v>
      </c>
      <c r="D108" s="386" t="s">
        <v>2</v>
      </c>
      <c r="E108" s="188" t="s">
        <v>29</v>
      </c>
      <c r="F108" s="37" t="s">
        <v>14</v>
      </c>
      <c r="G108" s="188" t="s">
        <v>30</v>
      </c>
      <c r="H108" s="188">
        <v>1</v>
      </c>
      <c r="I108" s="188">
        <f t="shared" ref="I108:I111" si="9">B108</f>
        <v>1</v>
      </c>
      <c r="J108" s="188" t="s">
        <v>31</v>
      </c>
      <c r="K108" s="188" t="s">
        <v>31</v>
      </c>
      <c r="L108" s="188" t="s">
        <v>31</v>
      </c>
      <c r="M108" s="188" t="s">
        <v>31</v>
      </c>
      <c r="N108" s="188"/>
      <c r="O108" s="188"/>
      <c r="P108" s="188"/>
      <c r="Q108" s="188"/>
      <c r="R108" s="188"/>
      <c r="S108" s="188"/>
      <c r="T108" s="188"/>
      <c r="U108" s="188"/>
    </row>
    <row r="109" spans="1:21">
      <c r="A109" s="323" t="s">
        <v>981</v>
      </c>
      <c r="B109" s="419">
        <f>B133</f>
        <v>0.02</v>
      </c>
      <c r="C109" s="188" t="s">
        <v>853</v>
      </c>
      <c r="D109" s="386" t="s">
        <v>2</v>
      </c>
      <c r="E109" s="188" t="s">
        <v>29</v>
      </c>
      <c r="F109" s="37" t="s">
        <v>14</v>
      </c>
      <c r="G109" s="188" t="s">
        <v>33</v>
      </c>
      <c r="H109" s="188">
        <v>1</v>
      </c>
      <c r="I109" s="188">
        <f t="shared" si="9"/>
        <v>0.02</v>
      </c>
      <c r="J109" s="188" t="s">
        <v>31</v>
      </c>
      <c r="K109" s="188" t="s">
        <v>31</v>
      </c>
      <c r="L109" s="188" t="s">
        <v>31</v>
      </c>
      <c r="M109" s="188" t="s">
        <v>31</v>
      </c>
      <c r="N109" s="188"/>
      <c r="O109" s="387"/>
      <c r="P109" s="388"/>
      <c r="Q109" s="327"/>
      <c r="R109" s="188"/>
      <c r="S109" s="188"/>
      <c r="T109" s="188"/>
      <c r="U109" s="188"/>
    </row>
    <row r="110" spans="1:21">
      <c r="A110" s="188" t="s">
        <v>887</v>
      </c>
      <c r="B110" s="370">
        <f>U110</f>
        <v>1.2000000000000001E-3</v>
      </c>
      <c r="C110" s="359" t="s">
        <v>853</v>
      </c>
      <c r="D110" s="386" t="s">
        <v>2</v>
      </c>
      <c r="E110" s="188" t="s">
        <v>29</v>
      </c>
      <c r="F110" s="37" t="s">
        <v>14</v>
      </c>
      <c r="G110" s="188" t="s">
        <v>33</v>
      </c>
      <c r="H110" s="188">
        <v>1</v>
      </c>
      <c r="I110" s="188">
        <f t="shared" si="9"/>
        <v>1.2000000000000001E-3</v>
      </c>
      <c r="J110" s="188" t="s">
        <v>31</v>
      </c>
      <c r="K110" s="188" t="s">
        <v>31</v>
      </c>
      <c r="L110" s="188" t="s">
        <v>31</v>
      </c>
      <c r="M110" s="188" t="s">
        <v>31</v>
      </c>
      <c r="N110" s="188"/>
      <c r="O110" s="420" t="s">
        <v>857</v>
      </c>
      <c r="P110" s="421">
        <v>6</v>
      </c>
      <c r="Q110" s="422" t="s">
        <v>982</v>
      </c>
      <c r="R110" s="422">
        <f>'2A. Reusable'!O37</f>
        <v>0.2</v>
      </c>
      <c r="S110" s="422" t="s">
        <v>888</v>
      </c>
      <c r="T110" s="420" t="s">
        <v>855</v>
      </c>
      <c r="U110" s="421">
        <f>(P110*0.001)*R110</f>
        <v>1.2000000000000001E-3</v>
      </c>
    </row>
    <row r="111" spans="1:21">
      <c r="A111" s="188" t="s">
        <v>983</v>
      </c>
      <c r="B111" s="188">
        <v>1</v>
      </c>
      <c r="C111" s="188" t="s">
        <v>18</v>
      </c>
      <c r="D111" s="386" t="s">
        <v>2</v>
      </c>
      <c r="E111" s="188" t="s">
        <v>29</v>
      </c>
      <c r="F111" s="37" t="s">
        <v>14</v>
      </c>
      <c r="G111" s="188" t="s">
        <v>33</v>
      </c>
      <c r="H111" s="188">
        <v>1</v>
      </c>
      <c r="I111" s="188">
        <f t="shared" si="9"/>
        <v>1</v>
      </c>
      <c r="J111" s="188" t="s">
        <v>31</v>
      </c>
      <c r="K111" s="188" t="s">
        <v>31</v>
      </c>
      <c r="L111" s="188" t="s">
        <v>31</v>
      </c>
      <c r="M111" s="188" t="s">
        <v>31</v>
      </c>
      <c r="N111" s="188"/>
      <c r="O111" s="387"/>
      <c r="P111" s="388"/>
      <c r="Q111" s="188"/>
      <c r="R111" s="188"/>
      <c r="S111" s="188"/>
      <c r="T111" s="188"/>
      <c r="U111" s="188"/>
    </row>
    <row r="112" spans="1:21">
      <c r="A112" s="37" t="s">
        <v>179</v>
      </c>
      <c r="B112" s="370">
        <f>R112</f>
        <v>8.7000000000000001E-5</v>
      </c>
      <c r="C112" s="188" t="s">
        <v>37</v>
      </c>
      <c r="D112" s="188" t="s">
        <v>40</v>
      </c>
      <c r="E112" s="188" t="s">
        <v>29</v>
      </c>
      <c r="F112" s="37" t="s">
        <v>35</v>
      </c>
      <c r="G112" s="188" t="s">
        <v>33</v>
      </c>
      <c r="H112" s="188">
        <v>2</v>
      </c>
      <c r="I112" s="188">
        <f>LN(B112)</f>
        <v>-9.3496024393096899</v>
      </c>
      <c r="J112" s="188">
        <v>2.8722813232690055E-2</v>
      </c>
      <c r="K112" s="188" t="s">
        <v>31</v>
      </c>
      <c r="L112" s="188" t="s">
        <v>31</v>
      </c>
      <c r="M112" s="188" t="s">
        <v>31</v>
      </c>
      <c r="N112" s="188"/>
      <c r="O112" s="420" t="s">
        <v>857</v>
      </c>
      <c r="P112" s="153">
        <v>8.6999999999999994E-2</v>
      </c>
      <c r="Q112" s="188" t="s">
        <v>275</v>
      </c>
      <c r="R112" s="370">
        <f>P112*10^-3</f>
        <v>8.7000000000000001E-5</v>
      </c>
      <c r="S112" s="188"/>
      <c r="T112" s="188"/>
      <c r="U112" s="188"/>
    </row>
    <row r="113" spans="1:21" s="73" customFormat="1">
      <c r="A113" s="347" t="s">
        <v>5</v>
      </c>
      <c r="B113" s="348" t="s">
        <v>983</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984</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983</v>
      </c>
      <c r="B123" s="188">
        <v>1</v>
      </c>
      <c r="C123" s="188" t="s">
        <v>18</v>
      </c>
      <c r="D123" s="386" t="s">
        <v>2</v>
      </c>
      <c r="E123" s="188" t="s">
        <v>29</v>
      </c>
      <c r="F123" s="37" t="s">
        <v>14</v>
      </c>
      <c r="G123" s="188" t="s">
        <v>30</v>
      </c>
      <c r="H123" s="188">
        <v>1</v>
      </c>
      <c r="I123" s="188">
        <f t="shared" ref="I123:I124" si="10">B123</f>
        <v>1</v>
      </c>
      <c r="J123" s="188" t="s">
        <v>31</v>
      </c>
      <c r="K123" s="188" t="s">
        <v>31</v>
      </c>
      <c r="L123" s="188" t="s">
        <v>31</v>
      </c>
      <c r="M123" s="188" t="s">
        <v>31</v>
      </c>
      <c r="N123" s="188"/>
      <c r="O123" s="188"/>
      <c r="P123" s="188"/>
      <c r="Q123" s="188"/>
      <c r="R123" s="188"/>
      <c r="S123" s="188"/>
      <c r="T123" s="188"/>
      <c r="U123" s="188"/>
    </row>
    <row r="124" spans="1:21">
      <c r="A124" s="37" t="s">
        <v>966</v>
      </c>
      <c r="B124" s="188">
        <v>0.17</v>
      </c>
      <c r="C124" s="188" t="s">
        <v>37</v>
      </c>
      <c r="D124" s="188" t="s">
        <v>40</v>
      </c>
      <c r="E124" s="188" t="s">
        <v>29</v>
      </c>
      <c r="F124" s="188" t="s">
        <v>59</v>
      </c>
      <c r="G124" s="188" t="s">
        <v>33</v>
      </c>
      <c r="H124" s="188">
        <v>1</v>
      </c>
      <c r="I124" s="188">
        <f t="shared" si="10"/>
        <v>0.17</v>
      </c>
      <c r="J124" s="188" t="s">
        <v>31</v>
      </c>
      <c r="K124" s="188" t="s">
        <v>31</v>
      </c>
      <c r="L124" s="188" t="s">
        <v>31</v>
      </c>
      <c r="M124" s="188" t="s">
        <v>31</v>
      </c>
      <c r="N124" s="188"/>
      <c r="O124" s="188"/>
      <c r="P124" s="188"/>
      <c r="Q124" s="188"/>
      <c r="R124" s="188"/>
      <c r="S124" s="188"/>
      <c r="T124" s="188"/>
      <c r="U124" s="188"/>
    </row>
    <row r="125" spans="1:21">
      <c r="A125" s="37" t="s">
        <v>967</v>
      </c>
      <c r="B125" s="188">
        <f>R125</f>
        <v>0.112</v>
      </c>
      <c r="C125" s="188" t="s">
        <v>37</v>
      </c>
      <c r="D125" s="188" t="s">
        <v>40</v>
      </c>
      <c r="E125" s="188" t="s">
        <v>29</v>
      </c>
      <c r="F125" s="188" t="s">
        <v>59</v>
      </c>
      <c r="G125" s="188" t="s">
        <v>33</v>
      </c>
      <c r="H125" s="188">
        <v>2</v>
      </c>
      <c r="I125" s="188">
        <f>LN(B125)</f>
        <v>-2.1892564076870427</v>
      </c>
      <c r="J125" s="188">
        <v>3.7749172176353707E-2</v>
      </c>
      <c r="K125" s="188" t="s">
        <v>31</v>
      </c>
      <c r="L125" s="188" t="s">
        <v>31</v>
      </c>
      <c r="M125" s="188" t="s">
        <v>31</v>
      </c>
      <c r="N125" s="188"/>
      <c r="O125" s="379" t="s">
        <v>857</v>
      </c>
      <c r="P125" s="107">
        <v>112</v>
      </c>
      <c r="Q125" s="188" t="s">
        <v>275</v>
      </c>
      <c r="R125" s="188">
        <f>P125*0.001</f>
        <v>0.112</v>
      </c>
      <c r="S125" s="188"/>
      <c r="T125" s="188"/>
      <c r="U125" s="188"/>
    </row>
    <row r="126" spans="1:21">
      <c r="A126" s="37" t="s">
        <v>968</v>
      </c>
      <c r="B126" s="188">
        <f>R126</f>
        <v>6.7000000000000002E-3</v>
      </c>
      <c r="C126" s="188" t="s">
        <v>37</v>
      </c>
      <c r="D126" s="188" t="s">
        <v>40</v>
      </c>
      <c r="E126" s="188" t="s">
        <v>29</v>
      </c>
      <c r="F126" s="188" t="s">
        <v>59</v>
      </c>
      <c r="G126" s="188" t="s">
        <v>33</v>
      </c>
      <c r="H126" s="188">
        <v>2</v>
      </c>
      <c r="I126" s="188">
        <f>LN(B126)</f>
        <v>-5.005647752585217</v>
      </c>
      <c r="J126" s="188">
        <v>3.7749172176353707E-2</v>
      </c>
      <c r="K126" s="188" t="s">
        <v>31</v>
      </c>
      <c r="L126" s="188" t="s">
        <v>31</v>
      </c>
      <c r="M126" s="188" t="s">
        <v>31</v>
      </c>
      <c r="N126" s="188"/>
      <c r="O126" s="379" t="s">
        <v>857</v>
      </c>
      <c r="P126" s="107">
        <v>6.7</v>
      </c>
      <c r="Q126" s="188" t="s">
        <v>275</v>
      </c>
      <c r="R126" s="188">
        <f t="shared" ref="R126:R127" si="11">P126*0.001</f>
        <v>6.7000000000000002E-3</v>
      </c>
      <c r="S126" s="188"/>
      <c r="T126" s="188"/>
      <c r="U126" s="188"/>
    </row>
    <row r="127" spans="1:21">
      <c r="A127" s="37" t="s">
        <v>969</v>
      </c>
      <c r="B127" s="188">
        <f>R127</f>
        <v>5.1000000000000004E-2</v>
      </c>
      <c r="C127" s="188" t="s">
        <v>37</v>
      </c>
      <c r="D127" s="188" t="s">
        <v>40</v>
      </c>
      <c r="E127" s="188" t="s">
        <v>29</v>
      </c>
      <c r="F127" s="188" t="s">
        <v>59</v>
      </c>
      <c r="G127" s="188" t="s">
        <v>33</v>
      </c>
      <c r="H127" s="188">
        <v>2</v>
      </c>
      <c r="I127" s="188">
        <f>LN(B127)</f>
        <v>-2.9759296462578111</v>
      </c>
      <c r="J127" s="188">
        <v>3.7749172176353707E-2</v>
      </c>
      <c r="K127" s="188" t="s">
        <v>31</v>
      </c>
      <c r="L127" s="188" t="s">
        <v>31</v>
      </c>
      <c r="M127" s="188" t="s">
        <v>31</v>
      </c>
      <c r="N127" s="188"/>
      <c r="O127" s="379" t="s">
        <v>857</v>
      </c>
      <c r="P127" s="107">
        <v>51</v>
      </c>
      <c r="Q127" s="188" t="s">
        <v>275</v>
      </c>
      <c r="R127" s="188">
        <f t="shared" si="11"/>
        <v>5.1000000000000004E-2</v>
      </c>
      <c r="S127" s="188"/>
      <c r="T127" s="188"/>
      <c r="U127" s="188"/>
    </row>
    <row r="128" spans="1:21" s="73" customFormat="1">
      <c r="A128" s="347" t="s">
        <v>5</v>
      </c>
      <c r="B128" s="383" t="s">
        <v>981</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985</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0.02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981</v>
      </c>
      <c r="B138" s="423">
        <v>0.02</v>
      </c>
      <c r="C138" s="188" t="s">
        <v>853</v>
      </c>
      <c r="D138" s="386" t="s">
        <v>2</v>
      </c>
      <c r="E138" s="188" t="s">
        <v>29</v>
      </c>
      <c r="F138" s="37" t="s">
        <v>14</v>
      </c>
      <c r="G138" s="188" t="s">
        <v>30</v>
      </c>
      <c r="H138" s="188">
        <v>1</v>
      </c>
      <c r="I138" s="188">
        <f t="shared" ref="I138:I139" si="12">B138</f>
        <v>0.02</v>
      </c>
      <c r="J138" s="188" t="s">
        <v>31</v>
      </c>
      <c r="K138" s="188" t="s">
        <v>31</v>
      </c>
      <c r="L138" s="188" t="s">
        <v>31</v>
      </c>
      <c r="M138" s="188" t="s">
        <v>31</v>
      </c>
      <c r="N138" s="188"/>
      <c r="O138" s="387"/>
      <c r="P138" s="388"/>
      <c r="Q138" s="327"/>
      <c r="R138" s="188"/>
      <c r="S138" s="188"/>
      <c r="T138" s="188"/>
      <c r="U138" s="188"/>
    </row>
    <row r="139" spans="1:21">
      <c r="A139" s="192" t="s">
        <v>986</v>
      </c>
      <c r="B139" s="423">
        <v>0.02</v>
      </c>
      <c r="C139" s="188" t="s">
        <v>853</v>
      </c>
      <c r="D139" s="386" t="s">
        <v>2</v>
      </c>
      <c r="E139" s="188" t="s">
        <v>29</v>
      </c>
      <c r="F139" s="37" t="s">
        <v>14</v>
      </c>
      <c r="G139" s="188" t="s">
        <v>33</v>
      </c>
      <c r="H139" s="188">
        <v>1</v>
      </c>
      <c r="I139" s="188">
        <f t="shared" si="12"/>
        <v>0.02</v>
      </c>
      <c r="J139" s="188" t="s">
        <v>31</v>
      </c>
      <c r="K139" s="188" t="s">
        <v>31</v>
      </c>
      <c r="L139" s="188" t="s">
        <v>31</v>
      </c>
      <c r="M139" s="188" t="s">
        <v>31</v>
      </c>
      <c r="N139" s="188"/>
      <c r="O139" s="188"/>
      <c r="P139" s="188"/>
      <c r="Q139" s="188"/>
      <c r="R139" s="188"/>
      <c r="S139" s="188"/>
      <c r="T139" s="188"/>
      <c r="U139" s="188"/>
    </row>
    <row r="140" spans="1:21">
      <c r="A140" s="37" t="s">
        <v>731</v>
      </c>
      <c r="B140" s="188">
        <f>R140</f>
        <v>1.8000000000000002E-3</v>
      </c>
      <c r="C140" s="188" t="s">
        <v>37</v>
      </c>
      <c r="D140" s="188" t="s">
        <v>40</v>
      </c>
      <c r="E140" s="188" t="s">
        <v>29</v>
      </c>
      <c r="F140" s="188" t="s">
        <v>35</v>
      </c>
      <c r="G140" s="188" t="s">
        <v>33</v>
      </c>
      <c r="H140" s="188">
        <v>2</v>
      </c>
      <c r="I140" s="188">
        <f>LN(B140)</f>
        <v>-6.3199686140800182</v>
      </c>
      <c r="J140" s="188">
        <v>0.20928449536456342</v>
      </c>
      <c r="K140" s="188" t="s">
        <v>31</v>
      </c>
      <c r="L140" s="188" t="s">
        <v>31</v>
      </c>
      <c r="M140" s="188" t="s">
        <v>31</v>
      </c>
      <c r="N140" s="188"/>
      <c r="O140" s="379" t="s">
        <v>857</v>
      </c>
      <c r="P140" s="392">
        <v>1.8</v>
      </c>
      <c r="Q140" s="188" t="s">
        <v>275</v>
      </c>
      <c r="R140" s="188">
        <f>0.001*P140</f>
        <v>1.8000000000000002E-3</v>
      </c>
      <c r="S140" s="188"/>
      <c r="T140" s="188"/>
      <c r="U140" s="188"/>
    </row>
    <row r="141" spans="1:21">
      <c r="A141" s="37" t="s">
        <v>987</v>
      </c>
      <c r="B141" s="188">
        <f>R141</f>
        <v>1.8000000000000002E-3</v>
      </c>
      <c r="C141" s="188" t="s">
        <v>37</v>
      </c>
      <c r="D141" s="188" t="s">
        <v>40</v>
      </c>
      <c r="E141" s="188" t="s">
        <v>29</v>
      </c>
      <c r="F141" s="188" t="s">
        <v>35</v>
      </c>
      <c r="G141" s="188" t="s">
        <v>33</v>
      </c>
      <c r="H141" s="188">
        <v>2</v>
      </c>
      <c r="I141" s="188">
        <f>LN(B141)</f>
        <v>-6.3199686140800182</v>
      </c>
      <c r="J141" s="188">
        <v>0.20928449536456342</v>
      </c>
      <c r="K141" s="188" t="s">
        <v>31</v>
      </c>
      <c r="L141" s="188" t="s">
        <v>31</v>
      </c>
      <c r="M141" s="188" t="s">
        <v>31</v>
      </c>
      <c r="N141" s="188"/>
      <c r="O141" s="379" t="s">
        <v>857</v>
      </c>
      <c r="P141" s="392">
        <v>1.8</v>
      </c>
      <c r="Q141" s="188" t="s">
        <v>275</v>
      </c>
      <c r="R141" s="188">
        <f>0.001*P141</f>
        <v>1.8000000000000002E-3</v>
      </c>
      <c r="S141" s="188"/>
      <c r="T141" s="188"/>
      <c r="U141" s="188"/>
    </row>
    <row r="142" spans="1:21" s="73" customFormat="1">
      <c r="A142" s="347" t="s">
        <v>5</v>
      </c>
      <c r="B142" s="424" t="s">
        <v>986</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988</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23">
        <f>B154</f>
        <v>0.02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986</v>
      </c>
      <c r="B152" s="423">
        <f>B154</f>
        <v>0.02</v>
      </c>
      <c r="C152" s="188" t="s">
        <v>853</v>
      </c>
      <c r="D152" s="386" t="s">
        <v>2</v>
      </c>
      <c r="E152" s="188" t="s">
        <v>29</v>
      </c>
      <c r="F152" s="37" t="s">
        <v>14</v>
      </c>
      <c r="G152" s="188" t="s">
        <v>30</v>
      </c>
      <c r="H152" s="188">
        <v>1</v>
      </c>
      <c r="I152" s="188">
        <f t="shared" ref="I152:I154" si="13">B152</f>
        <v>0.02</v>
      </c>
      <c r="J152" s="188" t="s">
        <v>31</v>
      </c>
      <c r="K152" s="188" t="s">
        <v>31</v>
      </c>
      <c r="L152" s="188" t="s">
        <v>31</v>
      </c>
      <c r="M152" s="188" t="s">
        <v>31</v>
      </c>
      <c r="N152" s="188"/>
      <c r="O152" s="188"/>
      <c r="P152" s="188"/>
      <c r="Q152" s="188"/>
      <c r="R152" s="188"/>
      <c r="S152" s="188"/>
      <c r="T152" s="188"/>
      <c r="U152" s="188"/>
    </row>
    <row r="153" spans="1:21">
      <c r="A153" s="188" t="s">
        <v>989</v>
      </c>
      <c r="B153" s="393">
        <f>B233</f>
        <v>6.0000000000000001E-3</v>
      </c>
      <c r="C153" s="188" t="s">
        <v>853</v>
      </c>
      <c r="D153" s="386" t="s">
        <v>2</v>
      </c>
      <c r="E153" s="188" t="s">
        <v>29</v>
      </c>
      <c r="F153" s="37" t="s">
        <v>14</v>
      </c>
      <c r="G153" s="188" t="s">
        <v>33</v>
      </c>
      <c r="H153" s="188">
        <v>1</v>
      </c>
      <c r="I153" s="188">
        <f t="shared" si="13"/>
        <v>6.0000000000000001E-3</v>
      </c>
      <c r="J153" s="188" t="s">
        <v>31</v>
      </c>
      <c r="K153" s="188" t="s">
        <v>31</v>
      </c>
      <c r="L153" s="188" t="s">
        <v>31</v>
      </c>
      <c r="M153" s="188" t="s">
        <v>31</v>
      </c>
      <c r="N153" s="188"/>
      <c r="O153" s="188"/>
      <c r="P153" s="188"/>
      <c r="Q153" s="188"/>
      <c r="R153" s="188"/>
      <c r="S153" s="188"/>
      <c r="T153" s="188"/>
      <c r="U153" s="188"/>
    </row>
    <row r="154" spans="1:21">
      <c r="A154" s="188" t="s">
        <v>990</v>
      </c>
      <c r="B154" s="393">
        <f>B162</f>
        <v>0.02</v>
      </c>
      <c r="C154" s="188" t="s">
        <v>853</v>
      </c>
      <c r="D154" s="386" t="s">
        <v>2</v>
      </c>
      <c r="E154" s="188" t="s">
        <v>29</v>
      </c>
      <c r="F154" s="37" t="s">
        <v>14</v>
      </c>
      <c r="G154" s="188" t="s">
        <v>33</v>
      </c>
      <c r="H154" s="188">
        <v>1</v>
      </c>
      <c r="I154" s="188">
        <f t="shared" si="13"/>
        <v>0.02</v>
      </c>
      <c r="J154" s="188" t="s">
        <v>31</v>
      </c>
      <c r="K154" s="188" t="s">
        <v>31</v>
      </c>
      <c r="L154" s="188" t="s">
        <v>31</v>
      </c>
      <c r="M154" s="188" t="s">
        <v>31</v>
      </c>
      <c r="N154" s="188"/>
      <c r="O154" s="188"/>
      <c r="P154" s="188"/>
      <c r="Q154" s="188"/>
      <c r="R154" s="188"/>
      <c r="S154" s="188"/>
      <c r="T154" s="188"/>
      <c r="U154" s="188"/>
    </row>
    <row r="155" spans="1:21">
      <c r="A155" s="323" t="s">
        <v>265</v>
      </c>
      <c r="B155" s="327">
        <f>R155</f>
        <v>0.47</v>
      </c>
      <c r="C155" s="188" t="s">
        <v>39</v>
      </c>
      <c r="D155" s="188" t="s">
        <v>40</v>
      </c>
      <c r="E155" s="188" t="s">
        <v>29</v>
      </c>
      <c r="F155" s="37" t="s">
        <v>35</v>
      </c>
      <c r="G155" s="188" t="s">
        <v>33</v>
      </c>
      <c r="H155" s="188">
        <v>2</v>
      </c>
      <c r="I155" s="188">
        <f t="shared" ref="I155:I156" si="14">LN(B155)</f>
        <v>-0.75502258427803282</v>
      </c>
      <c r="J155" s="188">
        <v>9.7082439194738052E-2</v>
      </c>
      <c r="K155" s="188" t="s">
        <v>31</v>
      </c>
      <c r="L155" s="188" t="s">
        <v>31</v>
      </c>
      <c r="M155" s="188" t="s">
        <v>31</v>
      </c>
      <c r="N155" s="188"/>
      <c r="O155" s="361" t="s">
        <v>271</v>
      </c>
      <c r="P155" s="418">
        <v>0.47</v>
      </c>
      <c r="Q155" s="188" t="s">
        <v>271</v>
      </c>
      <c r="R155" s="327">
        <f>P155</f>
        <v>0.47</v>
      </c>
      <c r="S155" s="188"/>
      <c r="T155" s="188"/>
      <c r="U155" s="188"/>
    </row>
    <row r="156" spans="1:21">
      <c r="A156" s="323" t="s">
        <v>845</v>
      </c>
      <c r="B156" s="188">
        <v>1.2</v>
      </c>
      <c r="C156" s="188" t="s">
        <v>37</v>
      </c>
      <c r="D156" s="188" t="s">
        <v>40</v>
      </c>
      <c r="E156" s="188" t="s">
        <v>29</v>
      </c>
      <c r="F156" s="37" t="s">
        <v>35</v>
      </c>
      <c r="G156" s="188" t="s">
        <v>33</v>
      </c>
      <c r="H156" s="188">
        <v>2</v>
      </c>
      <c r="I156" s="188">
        <f t="shared" si="14"/>
        <v>0.18232155679395459</v>
      </c>
      <c r="J156" s="188">
        <v>9.7082439194738052E-2</v>
      </c>
      <c r="K156" s="188" t="s">
        <v>31</v>
      </c>
      <c r="L156" s="188" t="s">
        <v>31</v>
      </c>
      <c r="M156" s="188" t="s">
        <v>31</v>
      </c>
      <c r="N156" s="188"/>
      <c r="O156" s="188"/>
      <c r="P156" s="188"/>
      <c r="Q156" s="188"/>
      <c r="R156" s="188"/>
      <c r="S156" s="188"/>
      <c r="T156" s="188"/>
      <c r="U156" s="188"/>
    </row>
    <row r="157" spans="1:21" s="73" customFormat="1">
      <c r="A157" s="347" t="s">
        <v>5</v>
      </c>
      <c r="B157" s="348" t="s">
        <v>990</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991</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03">
        <f>B168</f>
        <v>0.02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990</v>
      </c>
      <c r="B167" s="393">
        <f>B168</f>
        <v>0.02</v>
      </c>
      <c r="C167" s="188" t="s">
        <v>853</v>
      </c>
      <c r="D167" s="386" t="s">
        <v>2</v>
      </c>
      <c r="E167" s="188" t="s">
        <v>29</v>
      </c>
      <c r="F167" s="37" t="s">
        <v>14</v>
      </c>
      <c r="G167" s="188" t="s">
        <v>30</v>
      </c>
      <c r="H167" s="188">
        <v>1</v>
      </c>
      <c r="I167" s="188">
        <f t="shared" ref="I167:I168" si="15">B167</f>
        <v>0.02</v>
      </c>
      <c r="J167" s="188" t="s">
        <v>31</v>
      </c>
      <c r="K167" s="188" t="s">
        <v>31</v>
      </c>
      <c r="L167" s="188" t="s">
        <v>31</v>
      </c>
      <c r="M167" s="188" t="s">
        <v>31</v>
      </c>
      <c r="N167" s="188"/>
      <c r="O167" s="188"/>
      <c r="P167" s="188"/>
      <c r="Q167" s="188"/>
      <c r="R167" s="188"/>
      <c r="S167" s="188"/>
      <c r="T167" s="188"/>
      <c r="U167" s="188"/>
    </row>
    <row r="168" spans="1:21">
      <c r="A168" s="192" t="s">
        <v>992</v>
      </c>
      <c r="B168" s="393">
        <f>B185</f>
        <v>0.02</v>
      </c>
      <c r="C168" s="188" t="s">
        <v>853</v>
      </c>
      <c r="D168" s="386" t="s">
        <v>2</v>
      </c>
      <c r="E168" s="188" t="s">
        <v>29</v>
      </c>
      <c r="F168" s="37" t="s">
        <v>14</v>
      </c>
      <c r="G168" s="188" t="s">
        <v>33</v>
      </c>
      <c r="H168" s="188">
        <v>1</v>
      </c>
      <c r="I168" s="188">
        <f t="shared" si="15"/>
        <v>0.02</v>
      </c>
      <c r="J168" s="188" t="s">
        <v>31</v>
      </c>
      <c r="K168" s="188" t="s">
        <v>31</v>
      </c>
      <c r="L168" s="188" t="s">
        <v>31</v>
      </c>
      <c r="M168" s="188" t="s">
        <v>31</v>
      </c>
      <c r="N168" s="188"/>
      <c r="O168" s="188"/>
      <c r="P168" s="188"/>
      <c r="Q168" s="188"/>
      <c r="R168" s="188"/>
      <c r="S168" s="188"/>
      <c r="T168" s="188"/>
      <c r="U168" s="188"/>
    </row>
    <row r="169" spans="1:21">
      <c r="A169" s="323" t="s">
        <v>265</v>
      </c>
      <c r="B169" s="327">
        <f>R169</f>
        <v>0.05</v>
      </c>
      <c r="C169" s="188" t="s">
        <v>39</v>
      </c>
      <c r="D169" s="188" t="s">
        <v>40</v>
      </c>
      <c r="E169" s="188" t="s">
        <v>29</v>
      </c>
      <c r="F169" s="37" t="s">
        <v>35</v>
      </c>
      <c r="G169" s="188" t="s">
        <v>33</v>
      </c>
      <c r="H169" s="188">
        <v>2</v>
      </c>
      <c r="I169" s="188">
        <f t="shared" ref="I169:I173" si="16">LN(B169)</f>
        <v>-2.9957322735539909</v>
      </c>
      <c r="J169" s="188">
        <v>0.20928449536456342</v>
      </c>
      <c r="K169" s="188" t="s">
        <v>31</v>
      </c>
      <c r="L169" s="188" t="s">
        <v>31</v>
      </c>
      <c r="M169" s="188" t="s">
        <v>31</v>
      </c>
      <c r="N169" s="188"/>
      <c r="O169" s="361" t="s">
        <v>271</v>
      </c>
      <c r="P169" s="107">
        <v>0.05</v>
      </c>
      <c r="Q169" s="188" t="s">
        <v>271</v>
      </c>
      <c r="R169" s="327">
        <f>P169</f>
        <v>0.05</v>
      </c>
      <c r="S169" s="188"/>
      <c r="T169" s="188"/>
      <c r="U169" s="188"/>
    </row>
    <row r="170" spans="1:21">
      <c r="A170" s="37" t="s">
        <v>843</v>
      </c>
      <c r="B170" s="188">
        <f>R170</f>
        <v>1.6999999999999999E-3</v>
      </c>
      <c r="C170" s="188" t="s">
        <v>37</v>
      </c>
      <c r="D170" s="188" t="s">
        <v>40</v>
      </c>
      <c r="E170" s="188" t="s">
        <v>29</v>
      </c>
      <c r="F170" s="37" t="s">
        <v>35</v>
      </c>
      <c r="G170" s="188" t="s">
        <v>33</v>
      </c>
      <c r="H170" s="188">
        <v>2</v>
      </c>
      <c r="I170" s="188">
        <f t="shared" si="16"/>
        <v>-6.3771270279199666</v>
      </c>
      <c r="J170" s="188">
        <v>0.20928449536456342</v>
      </c>
      <c r="K170" s="188" t="s">
        <v>31</v>
      </c>
      <c r="L170" s="188" t="s">
        <v>31</v>
      </c>
      <c r="M170" s="188" t="s">
        <v>31</v>
      </c>
      <c r="N170" s="188"/>
      <c r="O170" s="379" t="s">
        <v>857</v>
      </c>
      <c r="P170" s="107">
        <v>1.7</v>
      </c>
      <c r="Q170" s="188" t="s">
        <v>275</v>
      </c>
      <c r="R170" s="188">
        <f>0.001*P170</f>
        <v>1.6999999999999999E-3</v>
      </c>
      <c r="S170" s="188"/>
      <c r="T170" s="188"/>
      <c r="U170" s="188"/>
    </row>
    <row r="171" spans="1:21">
      <c r="A171" s="37" t="s">
        <v>489</v>
      </c>
      <c r="B171" s="188">
        <f>R171</f>
        <v>2.9999999999999997E-4</v>
      </c>
      <c r="C171" s="188" t="s">
        <v>37</v>
      </c>
      <c r="D171" s="188" t="s">
        <v>40</v>
      </c>
      <c r="E171" s="188" t="s">
        <v>29</v>
      </c>
      <c r="F171" s="37" t="s">
        <v>59</v>
      </c>
      <c r="G171" s="188" t="s">
        <v>33</v>
      </c>
      <c r="H171" s="188">
        <v>2</v>
      </c>
      <c r="I171" s="188">
        <f t="shared" si="16"/>
        <v>-8.1117280833080727</v>
      </c>
      <c r="J171" s="188">
        <v>0.20928449536456342</v>
      </c>
      <c r="K171" s="188" t="s">
        <v>31</v>
      </c>
      <c r="L171" s="188" t="s">
        <v>31</v>
      </c>
      <c r="M171" s="188" t="s">
        <v>31</v>
      </c>
      <c r="N171" s="188"/>
      <c r="O171" s="379" t="s">
        <v>857</v>
      </c>
      <c r="P171" s="107">
        <v>0.3</v>
      </c>
      <c r="Q171" s="188" t="s">
        <v>275</v>
      </c>
      <c r="R171" s="188">
        <f t="shared" ref="R171:R173" si="17">0.001*P171</f>
        <v>2.9999999999999997E-4</v>
      </c>
      <c r="S171" s="188"/>
      <c r="T171" s="188"/>
      <c r="U171" s="188"/>
    </row>
    <row r="172" spans="1:21">
      <c r="A172" s="323" t="s">
        <v>844</v>
      </c>
      <c r="B172" s="188">
        <f>R172</f>
        <v>8.0999999999999996E-3</v>
      </c>
      <c r="C172" s="188" t="s">
        <v>37</v>
      </c>
      <c r="D172" s="188" t="s">
        <v>40</v>
      </c>
      <c r="E172" s="188" t="s">
        <v>29</v>
      </c>
      <c r="F172" s="37" t="s">
        <v>74</v>
      </c>
      <c r="G172" s="188" t="s">
        <v>33</v>
      </c>
      <c r="H172" s="188">
        <v>2</v>
      </c>
      <c r="I172" s="188">
        <f t="shared" si="16"/>
        <v>-4.8158912173037436</v>
      </c>
      <c r="J172" s="188">
        <v>0.20928449536456342</v>
      </c>
      <c r="K172" s="188" t="s">
        <v>31</v>
      </c>
      <c r="L172" s="188" t="s">
        <v>31</v>
      </c>
      <c r="M172" s="188" t="s">
        <v>31</v>
      </c>
      <c r="N172" s="188"/>
      <c r="O172" s="379" t="s">
        <v>857</v>
      </c>
      <c r="P172" s="107">
        <v>8.1</v>
      </c>
      <c r="Q172" s="188" t="s">
        <v>275</v>
      </c>
      <c r="R172" s="188">
        <f t="shared" si="17"/>
        <v>8.0999999999999996E-3</v>
      </c>
      <c r="S172" s="188"/>
      <c r="T172" s="188"/>
      <c r="U172" s="188"/>
    </row>
    <row r="173" spans="1:21">
      <c r="A173" s="188" t="s">
        <v>829</v>
      </c>
      <c r="B173" s="188">
        <f>R173</f>
        <v>1.9E-3</v>
      </c>
      <c r="C173" s="188" t="s">
        <v>37</v>
      </c>
      <c r="D173" s="386" t="s">
        <v>2</v>
      </c>
      <c r="E173" s="188" t="s">
        <v>29</v>
      </c>
      <c r="F173" s="37" t="s">
        <v>74</v>
      </c>
      <c r="G173" s="188" t="s">
        <v>33</v>
      </c>
      <c r="H173" s="188">
        <v>2</v>
      </c>
      <c r="I173" s="188">
        <f t="shared" si="16"/>
        <v>-6.2659013928097425</v>
      </c>
      <c r="J173" s="188">
        <v>0.20928449536456342</v>
      </c>
      <c r="K173" s="188" t="s">
        <v>31</v>
      </c>
      <c r="L173" s="188" t="s">
        <v>31</v>
      </c>
      <c r="M173" s="188" t="s">
        <v>31</v>
      </c>
      <c r="N173" s="188"/>
      <c r="O173" s="425" t="s">
        <v>857</v>
      </c>
      <c r="P173" s="123">
        <v>1.9</v>
      </c>
      <c r="Q173" s="188" t="s">
        <v>275</v>
      </c>
      <c r="R173" s="188">
        <f t="shared" si="17"/>
        <v>1.9E-3</v>
      </c>
      <c r="S173" s="188"/>
      <c r="T173" s="188"/>
      <c r="U173" s="188"/>
    </row>
    <row r="174" spans="1:21" s="73" customFormat="1">
      <c r="A174" s="347" t="s">
        <v>5</v>
      </c>
      <c r="B174" s="348" t="s">
        <v>992</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993</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0.02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992</v>
      </c>
      <c r="B184" s="393">
        <v>0.02</v>
      </c>
      <c r="C184" s="188" t="s">
        <v>853</v>
      </c>
      <c r="D184" s="386" t="s">
        <v>2</v>
      </c>
      <c r="E184" s="188" t="s">
        <v>29</v>
      </c>
      <c r="F184" s="37" t="s">
        <v>14</v>
      </c>
      <c r="G184" s="188" t="s">
        <v>30</v>
      </c>
      <c r="H184" s="188">
        <v>1</v>
      </c>
      <c r="I184" s="393">
        <f>B184</f>
        <v>0.02</v>
      </c>
      <c r="J184" s="188" t="s">
        <v>31</v>
      </c>
      <c r="K184" s="188" t="s">
        <v>31</v>
      </c>
      <c r="L184" s="188" t="s">
        <v>31</v>
      </c>
      <c r="M184" s="188" t="s">
        <v>31</v>
      </c>
      <c r="N184" s="188"/>
      <c r="O184" s="188"/>
      <c r="P184" s="188"/>
      <c r="Q184" s="188"/>
      <c r="R184" s="188"/>
      <c r="S184" s="188"/>
      <c r="T184" s="188"/>
      <c r="U184" s="188"/>
    </row>
    <row r="185" spans="1:21">
      <c r="A185" s="188" t="s">
        <v>994</v>
      </c>
      <c r="B185" s="393">
        <v>0.02</v>
      </c>
      <c r="C185" s="188" t="s">
        <v>853</v>
      </c>
      <c r="D185" s="386" t="s">
        <v>2</v>
      </c>
      <c r="E185" s="188" t="s">
        <v>29</v>
      </c>
      <c r="F185" s="37" t="s">
        <v>14</v>
      </c>
      <c r="G185" s="188" t="s">
        <v>33</v>
      </c>
      <c r="H185" s="188">
        <v>1</v>
      </c>
      <c r="I185" s="393">
        <f>B185</f>
        <v>0.02</v>
      </c>
      <c r="J185" s="188" t="s">
        <v>31</v>
      </c>
      <c r="K185" s="188" t="s">
        <v>31</v>
      </c>
      <c r="L185" s="188" t="s">
        <v>31</v>
      </c>
      <c r="M185" s="188" t="s">
        <v>31</v>
      </c>
      <c r="N185" s="188"/>
      <c r="O185" s="188"/>
      <c r="P185" s="188"/>
      <c r="Q185" s="188"/>
      <c r="R185" s="188"/>
      <c r="S185" s="188"/>
      <c r="T185" s="188"/>
      <c r="U185" s="188"/>
    </row>
    <row r="186" spans="1:21">
      <c r="A186" s="323" t="s">
        <v>265</v>
      </c>
      <c r="B186" s="327">
        <f>P186</f>
        <v>1.1499999999999999</v>
      </c>
      <c r="C186" s="188" t="s">
        <v>39</v>
      </c>
      <c r="D186" s="188" t="s">
        <v>40</v>
      </c>
      <c r="E186" s="188" t="s">
        <v>29</v>
      </c>
      <c r="F186" s="37" t="s">
        <v>35</v>
      </c>
      <c r="G186" s="188" t="s">
        <v>33</v>
      </c>
      <c r="H186" s="188">
        <v>2</v>
      </c>
      <c r="I186" s="188">
        <f t="shared" ref="I186:I187" si="18">LN(B186)</f>
        <v>0.13976194237515863</v>
      </c>
      <c r="J186" s="188">
        <v>0.20928449536456342</v>
      </c>
      <c r="K186" s="188" t="s">
        <v>31</v>
      </c>
      <c r="L186" s="188" t="s">
        <v>31</v>
      </c>
      <c r="M186" s="188" t="s">
        <v>31</v>
      </c>
      <c r="N186" s="188"/>
      <c r="O186" s="379" t="s">
        <v>271</v>
      </c>
      <c r="P186" s="392">
        <f>0.36+0.79</f>
        <v>1.1499999999999999</v>
      </c>
      <c r="Q186" s="188"/>
      <c r="R186" s="188"/>
      <c r="S186" s="188"/>
      <c r="T186" s="188"/>
      <c r="U186" s="188"/>
    </row>
    <row r="187" spans="1:21">
      <c r="A187" s="323" t="s">
        <v>844</v>
      </c>
      <c r="B187" s="188">
        <f>R187</f>
        <v>2.3E-3</v>
      </c>
      <c r="C187" s="188" t="s">
        <v>37</v>
      </c>
      <c r="D187" s="188" t="s">
        <v>40</v>
      </c>
      <c r="E187" s="188" t="s">
        <v>29</v>
      </c>
      <c r="F187" s="37" t="s">
        <v>74</v>
      </c>
      <c r="G187" s="188" t="s">
        <v>33</v>
      </c>
      <c r="H187" s="188">
        <v>2</v>
      </c>
      <c r="I187" s="188">
        <f t="shared" si="18"/>
        <v>-6.074846156047033</v>
      </c>
      <c r="J187" s="188">
        <v>0.20928449536456342</v>
      </c>
      <c r="K187" s="188" t="s">
        <v>31</v>
      </c>
      <c r="L187" s="188" t="s">
        <v>31</v>
      </c>
      <c r="M187" s="188" t="s">
        <v>31</v>
      </c>
      <c r="N187" s="188"/>
      <c r="O187" s="379" t="s">
        <v>857</v>
      </c>
      <c r="P187" s="392">
        <v>2.2999999999999998</v>
      </c>
      <c r="Q187" s="188" t="s">
        <v>275</v>
      </c>
      <c r="R187" s="188">
        <f>P187*0.001</f>
        <v>2.3E-3</v>
      </c>
      <c r="S187" s="188"/>
      <c r="T187" s="188"/>
      <c r="U187" s="188"/>
    </row>
    <row r="188" spans="1:21">
      <c r="A188" s="37" t="s">
        <v>987</v>
      </c>
      <c r="B188" s="188">
        <f>R188</f>
        <v>2.8E-3</v>
      </c>
      <c r="C188" s="188" t="s">
        <v>37</v>
      </c>
      <c r="D188" s="188" t="s">
        <v>40</v>
      </c>
      <c r="E188" s="188" t="s">
        <v>29</v>
      </c>
      <c r="F188" s="188" t="s">
        <v>35</v>
      </c>
      <c r="G188" s="188" t="s">
        <v>33</v>
      </c>
      <c r="H188" s="188">
        <v>2</v>
      </c>
      <c r="I188" s="188">
        <f>LN(B188)</f>
        <v>-5.8781358618009785</v>
      </c>
      <c r="J188" s="188">
        <v>0.20928449536456342</v>
      </c>
      <c r="K188" s="188" t="s">
        <v>31</v>
      </c>
      <c r="L188" s="188" t="s">
        <v>31</v>
      </c>
      <c r="M188" s="188" t="s">
        <v>31</v>
      </c>
      <c r="N188" s="188"/>
      <c r="O188" s="379" t="s">
        <v>857</v>
      </c>
      <c r="P188" s="392">
        <v>2.8</v>
      </c>
      <c r="Q188" s="188" t="s">
        <v>275</v>
      </c>
      <c r="R188" s="188">
        <f>P188*0.001</f>
        <v>2.8E-3</v>
      </c>
      <c r="S188" s="188"/>
      <c r="T188" s="188"/>
      <c r="U188" s="188"/>
    </row>
    <row r="189" spans="1:21">
      <c r="A189" s="188" t="s">
        <v>829</v>
      </c>
      <c r="B189" s="188">
        <f>R189</f>
        <v>2.8E-3</v>
      </c>
      <c r="C189" s="188" t="s">
        <v>37</v>
      </c>
      <c r="D189" s="386" t="s">
        <v>2</v>
      </c>
      <c r="E189" s="188" t="s">
        <v>29</v>
      </c>
      <c r="F189" s="37" t="s">
        <v>74</v>
      </c>
      <c r="G189" s="188" t="s">
        <v>33</v>
      </c>
      <c r="H189" s="188">
        <v>2</v>
      </c>
      <c r="I189" s="188">
        <f t="shared" ref="I189" si="19">LN(B189)</f>
        <v>-5.8781358618009785</v>
      </c>
      <c r="J189" s="188">
        <v>0.20928449536456342</v>
      </c>
      <c r="K189" s="188" t="s">
        <v>31</v>
      </c>
      <c r="L189" s="188" t="s">
        <v>31</v>
      </c>
      <c r="M189" s="188" t="s">
        <v>31</v>
      </c>
      <c r="N189" s="188"/>
      <c r="O189" s="425" t="s">
        <v>857</v>
      </c>
      <c r="P189" s="426">
        <v>2.8</v>
      </c>
      <c r="Q189" s="188" t="s">
        <v>275</v>
      </c>
      <c r="R189" s="188">
        <f t="shared" ref="R189" si="20">0.001*P189</f>
        <v>2.8E-3</v>
      </c>
      <c r="S189" s="188"/>
      <c r="T189" s="188"/>
      <c r="U189" s="188"/>
    </row>
    <row r="190" spans="1:21" s="73" customFormat="1">
      <c r="A190" s="347" t="s">
        <v>5</v>
      </c>
      <c r="B190" s="348" t="s">
        <v>994</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995</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23" t="s">
        <v>15</v>
      </c>
      <c r="B195" s="403">
        <f>B200</f>
        <v>0.13</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c r="R196" s="321" t="s">
        <v>937</v>
      </c>
      <c r="S196" s="188"/>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t="s">
        <v>938</v>
      </c>
      <c r="S197" s="188">
        <v>8900</v>
      </c>
      <c r="T197" s="188" t="s">
        <v>939</v>
      </c>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t="s">
        <v>940</v>
      </c>
      <c r="S198" s="188">
        <f>5*10^-6</f>
        <v>4.9999999999999996E-6</v>
      </c>
      <c r="T198" s="188" t="s">
        <v>941</v>
      </c>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c r="R199" s="405" t="s">
        <v>942</v>
      </c>
      <c r="S199" s="406">
        <f>S198*S197</f>
        <v>4.4499999999999998E-2</v>
      </c>
      <c r="T199" s="407" t="s">
        <v>943</v>
      </c>
      <c r="U199" s="188"/>
    </row>
    <row r="200" spans="1:21">
      <c r="A200" s="188" t="s">
        <v>994</v>
      </c>
      <c r="B200" s="393">
        <v>0.13</v>
      </c>
      <c r="C200" s="188" t="s">
        <v>853</v>
      </c>
      <c r="D200" s="386" t="s">
        <v>2</v>
      </c>
      <c r="E200" s="188" t="s">
        <v>29</v>
      </c>
      <c r="F200" s="188" t="s">
        <v>14</v>
      </c>
      <c r="G200" s="188" t="s">
        <v>30</v>
      </c>
      <c r="H200" s="188">
        <v>1</v>
      </c>
      <c r="I200" s="188">
        <f t="shared" ref="I200:I202" si="21">B200</f>
        <v>0.13</v>
      </c>
      <c r="J200" s="188" t="s">
        <v>31</v>
      </c>
      <c r="K200" s="188" t="s">
        <v>31</v>
      </c>
      <c r="L200" s="188" t="s">
        <v>31</v>
      </c>
      <c r="M200" s="188" t="s">
        <v>31</v>
      </c>
      <c r="N200" s="188"/>
      <c r="O200" s="427" t="s">
        <v>944</v>
      </c>
      <c r="P200" s="428">
        <f>B200*100</f>
        <v>13</v>
      </c>
      <c r="Q200" s="188"/>
      <c r="R200" s="188"/>
      <c r="S200" s="188"/>
      <c r="T200" s="188"/>
      <c r="U200" s="188"/>
    </row>
    <row r="201" spans="1:21">
      <c r="A201" s="188" t="s">
        <v>996</v>
      </c>
      <c r="B201" s="393">
        <v>0.13</v>
      </c>
      <c r="C201" s="188" t="s">
        <v>853</v>
      </c>
      <c r="D201" s="386" t="s">
        <v>2</v>
      </c>
      <c r="E201" s="188" t="s">
        <v>29</v>
      </c>
      <c r="F201" s="188" t="s">
        <v>14</v>
      </c>
      <c r="G201" s="188" t="s">
        <v>33</v>
      </c>
      <c r="H201" s="188">
        <v>1</v>
      </c>
      <c r="I201" s="188">
        <f t="shared" si="21"/>
        <v>0.13</v>
      </c>
      <c r="J201" s="188">
        <v>7.2284161474004766E-2</v>
      </c>
      <c r="K201" s="188" t="s">
        <v>31</v>
      </c>
      <c r="L201" s="188" t="s">
        <v>31</v>
      </c>
      <c r="M201" s="188" t="s">
        <v>31</v>
      </c>
      <c r="N201" s="188"/>
      <c r="O201" s="379" t="s">
        <v>944</v>
      </c>
      <c r="P201" s="392">
        <f>B201*100</f>
        <v>13</v>
      </c>
      <c r="Q201" s="188"/>
      <c r="R201" s="188" t="s">
        <v>945</v>
      </c>
      <c r="S201" s="188"/>
      <c r="T201" s="188"/>
      <c r="U201" s="388"/>
    </row>
    <row r="202" spans="1:21">
      <c r="A202" s="192" t="s">
        <v>922</v>
      </c>
      <c r="B202" s="398">
        <f>T202</f>
        <v>7.5650000000000005E-3</v>
      </c>
      <c r="C202" s="188" t="s">
        <v>37</v>
      </c>
      <c r="D202" s="386" t="s">
        <v>2</v>
      </c>
      <c r="E202" s="188" t="s">
        <v>29</v>
      </c>
      <c r="F202" s="37" t="s">
        <v>14</v>
      </c>
      <c r="G202" s="188" t="s">
        <v>33</v>
      </c>
      <c r="H202" s="188">
        <v>1</v>
      </c>
      <c r="I202" s="188">
        <f t="shared" si="21"/>
        <v>7.5650000000000005E-3</v>
      </c>
      <c r="J202" s="188">
        <v>7.2284161474004766E-2</v>
      </c>
      <c r="K202" s="188" t="s">
        <v>31</v>
      </c>
      <c r="L202" s="188" t="s">
        <v>31</v>
      </c>
      <c r="M202" s="188" t="s">
        <v>31</v>
      </c>
      <c r="N202" s="188"/>
      <c r="O202" s="192"/>
      <c r="P202" s="399"/>
      <c r="Q202" s="188"/>
      <c r="R202" s="408">
        <v>0.17</v>
      </c>
      <c r="S202" s="409" t="s">
        <v>855</v>
      </c>
      <c r="T202" s="408">
        <f>R202*S199</f>
        <v>7.5650000000000005E-3</v>
      </c>
      <c r="U202" s="409" t="s">
        <v>275</v>
      </c>
    </row>
    <row r="203" spans="1:21">
      <c r="A203" s="323" t="s">
        <v>844</v>
      </c>
      <c r="B203" s="188">
        <v>1.3</v>
      </c>
      <c r="C203" s="188" t="s">
        <v>37</v>
      </c>
      <c r="D203" s="188" t="s">
        <v>40</v>
      </c>
      <c r="E203" s="188" t="s">
        <v>29</v>
      </c>
      <c r="F203" s="37" t="s">
        <v>74</v>
      </c>
      <c r="G203" s="188" t="s">
        <v>33</v>
      </c>
      <c r="H203" s="188">
        <v>2</v>
      </c>
      <c r="I203" s="188">
        <f t="shared" ref="I203" si="22">LN(B203)</f>
        <v>0.26236426446749106</v>
      </c>
      <c r="J203" s="188">
        <v>7.2284161474004766E-2</v>
      </c>
      <c r="K203" s="188" t="s">
        <v>31</v>
      </c>
      <c r="L203" s="188" t="s">
        <v>31</v>
      </c>
      <c r="M203" s="188" t="s">
        <v>31</v>
      </c>
      <c r="N203" s="188"/>
      <c r="O203" s="192"/>
      <c r="P203" s="399"/>
      <c r="Q203" s="188"/>
      <c r="R203" s="188"/>
      <c r="S203" s="188"/>
      <c r="T203" s="188"/>
      <c r="U203" s="188"/>
    </row>
    <row r="204" spans="1:21">
      <c r="A204" s="37" t="s">
        <v>924</v>
      </c>
      <c r="B204" s="429">
        <f>0.1*10^(-6)</f>
        <v>9.9999999999999995E-8</v>
      </c>
      <c r="C204" s="188" t="s">
        <v>37</v>
      </c>
      <c r="D204" s="188" t="s">
        <v>40</v>
      </c>
      <c r="E204" s="188" t="s">
        <v>29</v>
      </c>
      <c r="F204" s="37" t="s">
        <v>59</v>
      </c>
      <c r="G204" s="188" t="s">
        <v>33</v>
      </c>
      <c r="H204" s="188">
        <v>2</v>
      </c>
      <c r="I204" s="188">
        <f>LN(B204)</f>
        <v>-16.11809565095832</v>
      </c>
      <c r="J204" s="188">
        <v>7.2284161474004766E-2</v>
      </c>
      <c r="K204" s="188" t="s">
        <v>31</v>
      </c>
      <c r="L204" s="188" t="s">
        <v>31</v>
      </c>
      <c r="M204" s="188" t="s">
        <v>31</v>
      </c>
      <c r="N204" s="188"/>
      <c r="O204" s="192"/>
      <c r="P204" s="399"/>
      <c r="Q204" s="188"/>
      <c r="R204" s="188"/>
      <c r="S204" s="188"/>
      <c r="T204" s="188"/>
      <c r="U204" s="188"/>
    </row>
    <row r="205" spans="1:21">
      <c r="A205" s="37" t="s">
        <v>76</v>
      </c>
      <c r="B205" s="188">
        <f>0.001*1.3</f>
        <v>1.3000000000000002E-3</v>
      </c>
      <c r="C205" s="188" t="s">
        <v>42</v>
      </c>
      <c r="D205" s="188" t="s">
        <v>40</v>
      </c>
      <c r="E205" s="188" t="s">
        <v>29</v>
      </c>
      <c r="F205" s="37" t="s">
        <v>74</v>
      </c>
      <c r="G205" s="188" t="s">
        <v>33</v>
      </c>
      <c r="H205" s="188">
        <v>2</v>
      </c>
      <c r="I205" s="188">
        <f t="shared" ref="I205" si="23">LN(B205)</f>
        <v>-6.6453910145146455</v>
      </c>
      <c r="J205" s="188">
        <v>7.2284161474004766E-2</v>
      </c>
      <c r="K205" s="188" t="s">
        <v>31</v>
      </c>
      <c r="L205" s="188" t="s">
        <v>31</v>
      </c>
      <c r="M205" s="188" t="s">
        <v>31</v>
      </c>
      <c r="N205" s="188"/>
      <c r="O205" s="192"/>
      <c r="P205" s="399"/>
      <c r="Q205" s="413"/>
      <c r="R205" s="188"/>
      <c r="S205" s="188"/>
      <c r="T205" s="188"/>
      <c r="U205" s="188"/>
    </row>
    <row r="206" spans="1:21" s="73" customFormat="1">
      <c r="A206" s="347" t="s">
        <v>5</v>
      </c>
      <c r="B206" s="348" t="s">
        <v>996</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997</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v>0.1</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996</v>
      </c>
      <c r="B216" s="393">
        <f>0.01</f>
        <v>0.01</v>
      </c>
      <c r="C216" s="188" t="s">
        <v>853</v>
      </c>
      <c r="D216" s="386" t="s">
        <v>2</v>
      </c>
      <c r="E216" s="188" t="s">
        <v>29</v>
      </c>
      <c r="F216" s="188" t="s">
        <v>14</v>
      </c>
      <c r="G216" s="188" t="s">
        <v>30</v>
      </c>
      <c r="H216" s="188">
        <v>1</v>
      </c>
      <c r="I216" s="188">
        <f t="shared" ref="I216:I217" si="24">B216</f>
        <v>0.01</v>
      </c>
      <c r="J216" s="188" t="s">
        <v>31</v>
      </c>
      <c r="K216" s="188" t="s">
        <v>31</v>
      </c>
      <c r="L216" s="188" t="s">
        <v>31</v>
      </c>
      <c r="M216" s="188" t="s">
        <v>31</v>
      </c>
      <c r="N216" s="188"/>
      <c r="O216" s="379" t="s">
        <v>944</v>
      </c>
      <c r="P216" s="392">
        <f>B216*100</f>
        <v>1</v>
      </c>
      <c r="Q216" s="188"/>
      <c r="R216" s="188"/>
      <c r="S216" s="188"/>
      <c r="T216" s="188"/>
      <c r="U216" s="188"/>
    </row>
    <row r="217" spans="1:21">
      <c r="A217" s="188" t="s">
        <v>927</v>
      </c>
      <c r="B217" s="393">
        <f>0.01</f>
        <v>0.01</v>
      </c>
      <c r="C217" s="188" t="s">
        <v>37</v>
      </c>
      <c r="D217" s="386" t="s">
        <v>2</v>
      </c>
      <c r="E217" s="188" t="s">
        <v>29</v>
      </c>
      <c r="F217" s="188" t="s">
        <v>14</v>
      </c>
      <c r="G217" s="188" t="s">
        <v>33</v>
      </c>
      <c r="H217" s="188">
        <v>1</v>
      </c>
      <c r="I217" s="188">
        <f t="shared" si="24"/>
        <v>0.01</v>
      </c>
      <c r="J217" s="188" t="s">
        <v>31</v>
      </c>
      <c r="K217" s="188" t="s">
        <v>31</v>
      </c>
      <c r="L217" s="188" t="s">
        <v>31</v>
      </c>
      <c r="M217" s="188" t="s">
        <v>31</v>
      </c>
      <c r="N217" s="188"/>
      <c r="O217" s="410"/>
      <c r="P217" s="411"/>
      <c r="Q217" s="188"/>
      <c r="R217" s="188"/>
      <c r="S217" s="188"/>
      <c r="T217" s="188"/>
      <c r="U217" s="188"/>
    </row>
    <row r="218" spans="1:21">
      <c r="A218" s="323" t="s">
        <v>265</v>
      </c>
      <c r="B218" s="327">
        <f>P218</f>
        <v>0.09</v>
      </c>
      <c r="C218" s="188" t="s">
        <v>39</v>
      </c>
      <c r="D218" s="188" t="s">
        <v>40</v>
      </c>
      <c r="E218" s="188" t="s">
        <v>29</v>
      </c>
      <c r="F218" s="37" t="s">
        <v>35</v>
      </c>
      <c r="G218" s="188" t="s">
        <v>33</v>
      </c>
      <c r="H218" s="188">
        <v>2</v>
      </c>
      <c r="I218" s="188">
        <f t="shared" ref="I218:I219" si="25">LN(B218)</f>
        <v>-2.4079456086518722</v>
      </c>
      <c r="J218" s="188">
        <v>7.2284161474004766E-2</v>
      </c>
      <c r="K218" s="188" t="s">
        <v>31</v>
      </c>
      <c r="L218" s="188" t="s">
        <v>31</v>
      </c>
      <c r="M218" s="188" t="s">
        <v>31</v>
      </c>
      <c r="N218" s="188"/>
      <c r="O218" s="379" t="s">
        <v>271</v>
      </c>
      <c r="P218" s="107">
        <v>0.09</v>
      </c>
      <c r="Q218" s="188"/>
      <c r="R218" s="188"/>
      <c r="S218" s="188"/>
      <c r="T218" s="188"/>
      <c r="U218" s="188"/>
    </row>
    <row r="219" spans="1:21">
      <c r="A219" s="37" t="s">
        <v>491</v>
      </c>
      <c r="B219" s="188">
        <f>R219</f>
        <v>2E-3</v>
      </c>
      <c r="C219" s="393" t="s">
        <v>37</v>
      </c>
      <c r="D219" s="188" t="s">
        <v>40</v>
      </c>
      <c r="E219" s="188" t="s">
        <v>29</v>
      </c>
      <c r="F219" s="188" t="s">
        <v>59</v>
      </c>
      <c r="G219" s="188" t="s">
        <v>33</v>
      </c>
      <c r="H219" s="188">
        <v>2</v>
      </c>
      <c r="I219" s="188">
        <f t="shared" si="25"/>
        <v>-6.2146080984221914</v>
      </c>
      <c r="J219" s="188">
        <v>7.2284161474004766E-2</v>
      </c>
      <c r="K219" s="188" t="s">
        <v>31</v>
      </c>
      <c r="L219" s="188" t="s">
        <v>31</v>
      </c>
      <c r="M219" s="188" t="s">
        <v>31</v>
      </c>
      <c r="N219" s="188"/>
      <c r="O219" s="379" t="s">
        <v>857</v>
      </c>
      <c r="P219" s="107">
        <v>2</v>
      </c>
      <c r="Q219" s="188" t="s">
        <v>275</v>
      </c>
      <c r="R219" s="188">
        <f>P219*0.001</f>
        <v>2E-3</v>
      </c>
      <c r="S219" s="188"/>
      <c r="T219" s="188"/>
      <c r="U219" s="188"/>
    </row>
    <row r="220" spans="1:21">
      <c r="A220" s="390" t="s">
        <v>921</v>
      </c>
      <c r="B220" s="188">
        <f t="shared" ref="B220:B221" si="26">R220</f>
        <v>4.0000000000000001E-3</v>
      </c>
      <c r="C220" s="188" t="s">
        <v>37</v>
      </c>
      <c r="D220" s="188" t="s">
        <v>40</v>
      </c>
      <c r="E220" s="188" t="s">
        <v>29</v>
      </c>
      <c r="F220" s="37" t="s">
        <v>35</v>
      </c>
      <c r="G220" s="188" t="s">
        <v>33</v>
      </c>
      <c r="H220" s="188">
        <v>2</v>
      </c>
      <c r="I220" s="188">
        <f>LN(B220)</f>
        <v>-5.521460917862246</v>
      </c>
      <c r="J220" s="188">
        <v>7.2284161474004766E-2</v>
      </c>
      <c r="K220" s="188" t="s">
        <v>31</v>
      </c>
      <c r="L220" s="188" t="s">
        <v>31</v>
      </c>
      <c r="M220" s="188" t="s">
        <v>31</v>
      </c>
      <c r="N220" s="188"/>
      <c r="O220" s="379" t="s">
        <v>857</v>
      </c>
      <c r="P220" s="107">
        <v>4</v>
      </c>
      <c r="Q220" s="188" t="s">
        <v>275</v>
      </c>
      <c r="R220" s="188">
        <f>P220*0.001</f>
        <v>4.0000000000000001E-3</v>
      </c>
      <c r="S220" s="188"/>
      <c r="T220" s="188"/>
      <c r="U220" s="188"/>
    </row>
    <row r="221" spans="1:21">
      <c r="A221" s="323" t="s">
        <v>844</v>
      </c>
      <c r="B221" s="188">
        <f t="shared" si="26"/>
        <v>3.3999999999999998E-3</v>
      </c>
      <c r="C221" s="188" t="s">
        <v>37</v>
      </c>
      <c r="D221" s="188" t="s">
        <v>40</v>
      </c>
      <c r="E221" s="188" t="s">
        <v>29</v>
      </c>
      <c r="F221" s="37" t="s">
        <v>74</v>
      </c>
      <c r="G221" s="188" t="s">
        <v>33</v>
      </c>
      <c r="H221" s="188">
        <v>2</v>
      </c>
      <c r="I221" s="188">
        <f t="shared" ref="I221:I222" si="27">LN(B221)</f>
        <v>-5.6839798473600212</v>
      </c>
      <c r="J221" s="188">
        <v>7.2284161474004766E-2</v>
      </c>
      <c r="K221" s="188" t="s">
        <v>31</v>
      </c>
      <c r="L221" s="188" t="s">
        <v>31</v>
      </c>
      <c r="M221" s="188" t="s">
        <v>31</v>
      </c>
      <c r="N221" s="188"/>
      <c r="O221" s="379" t="s">
        <v>275</v>
      </c>
      <c r="P221" s="107">
        <v>3.4</v>
      </c>
      <c r="Q221" s="188" t="s">
        <v>275</v>
      </c>
      <c r="R221" s="188">
        <f t="shared" ref="R221" si="28">0.001*P221</f>
        <v>3.3999999999999998E-3</v>
      </c>
      <c r="S221" s="188"/>
      <c r="T221" s="188"/>
      <c r="U221" s="188"/>
    </row>
    <row r="222" spans="1:21">
      <c r="A222" s="37" t="s">
        <v>76</v>
      </c>
      <c r="B222" s="188">
        <f>R222</f>
        <v>3.3999999999999998E-3</v>
      </c>
      <c r="C222" s="188" t="s">
        <v>42</v>
      </c>
      <c r="D222" s="188" t="s">
        <v>40</v>
      </c>
      <c r="E222" s="188" t="s">
        <v>29</v>
      </c>
      <c r="F222" s="37" t="s">
        <v>74</v>
      </c>
      <c r="G222" s="188" t="s">
        <v>33</v>
      </c>
      <c r="H222" s="188">
        <v>2</v>
      </c>
      <c r="I222" s="188">
        <f t="shared" si="27"/>
        <v>-5.6839798473600212</v>
      </c>
      <c r="J222" s="188">
        <v>7.2284161474004766E-2</v>
      </c>
      <c r="K222" s="188" t="s">
        <v>31</v>
      </c>
      <c r="L222" s="188" t="s">
        <v>31</v>
      </c>
      <c r="M222" s="188" t="s">
        <v>31</v>
      </c>
      <c r="N222" s="188"/>
      <c r="O222" s="396" t="s">
        <v>913</v>
      </c>
      <c r="P222" s="123">
        <v>3.4</v>
      </c>
      <c r="Q222" s="188" t="s">
        <v>274</v>
      </c>
      <c r="R222" s="188">
        <f>0.001*P222</f>
        <v>3.3999999999999998E-3</v>
      </c>
      <c r="S222" s="188"/>
      <c r="T222" s="188"/>
      <c r="U222" s="188"/>
    </row>
    <row r="223" spans="1:21" s="73" customFormat="1">
      <c r="A223" s="347" t="s">
        <v>5</v>
      </c>
      <c r="B223" s="424" t="s">
        <v>989</v>
      </c>
      <c r="C223" s="349"/>
      <c r="D223" s="330"/>
      <c r="E223" s="330"/>
      <c r="F223" s="330"/>
      <c r="G223" s="330"/>
      <c r="H223" s="330"/>
      <c r="I223" s="330"/>
      <c r="J223" s="330"/>
      <c r="K223" s="330"/>
      <c r="L223" s="330"/>
      <c r="M223" s="330"/>
      <c r="N223" s="330"/>
      <c r="O223" s="330"/>
      <c r="P223" s="330"/>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998</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6.0000000000000001E-3</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989</v>
      </c>
      <c r="B233" s="393">
        <f>B234</f>
        <v>6.0000000000000001E-3</v>
      </c>
      <c r="C233" s="188" t="s">
        <v>853</v>
      </c>
      <c r="D233" s="386" t="s">
        <v>2</v>
      </c>
      <c r="E233" s="188" t="s">
        <v>29</v>
      </c>
      <c r="F233" s="37" t="s">
        <v>14</v>
      </c>
      <c r="G233" s="188" t="s">
        <v>30</v>
      </c>
      <c r="H233" s="188">
        <v>1</v>
      </c>
      <c r="I233" s="188">
        <f t="shared" ref="I233:I235" si="29">B233</f>
        <v>6.0000000000000001E-3</v>
      </c>
      <c r="J233" s="188" t="s">
        <v>31</v>
      </c>
      <c r="K233" s="188" t="s">
        <v>31</v>
      </c>
      <c r="L233" s="188" t="s">
        <v>31</v>
      </c>
      <c r="M233" s="188" t="s">
        <v>31</v>
      </c>
      <c r="N233" s="188"/>
      <c r="O233" s="188"/>
      <c r="P233" s="188"/>
      <c r="Q233" s="188"/>
      <c r="R233" s="188"/>
      <c r="S233" s="188"/>
      <c r="T233" s="188"/>
      <c r="U233" s="188"/>
    </row>
    <row r="234" spans="1:21">
      <c r="A234" s="188" t="s">
        <v>999</v>
      </c>
      <c r="B234" s="393">
        <f>B254</f>
        <v>6.0000000000000001E-3</v>
      </c>
      <c r="C234" s="188" t="s">
        <v>853</v>
      </c>
      <c r="D234" s="386" t="s">
        <v>2</v>
      </c>
      <c r="E234" s="188" t="s">
        <v>29</v>
      </c>
      <c r="F234" s="37" t="s">
        <v>14</v>
      </c>
      <c r="G234" s="188" t="s">
        <v>33</v>
      </c>
      <c r="H234" s="188">
        <v>1</v>
      </c>
      <c r="I234" s="188">
        <f t="shared" si="29"/>
        <v>6.0000000000000001E-3</v>
      </c>
      <c r="J234" s="188" t="s">
        <v>31</v>
      </c>
      <c r="K234" s="188" t="s">
        <v>31</v>
      </c>
      <c r="L234" s="188" t="s">
        <v>31</v>
      </c>
      <c r="M234" s="188" t="s">
        <v>31</v>
      </c>
      <c r="N234" s="188"/>
      <c r="O234" s="188"/>
      <c r="P234" s="188"/>
      <c r="Q234" s="188"/>
      <c r="R234" s="188"/>
      <c r="S234" s="188"/>
      <c r="T234" s="188"/>
      <c r="U234" s="188"/>
    </row>
    <row r="235" spans="1:21">
      <c r="A235" s="188" t="s">
        <v>1000</v>
      </c>
      <c r="B235" s="393">
        <f>B242</f>
        <v>1.0300000000000001E-3</v>
      </c>
      <c r="C235" s="188" t="s">
        <v>853</v>
      </c>
      <c r="D235" s="386" t="s">
        <v>2</v>
      </c>
      <c r="E235" s="188" t="s">
        <v>29</v>
      </c>
      <c r="F235" s="37" t="s">
        <v>14</v>
      </c>
      <c r="G235" s="188" t="s">
        <v>33</v>
      </c>
      <c r="H235" s="188">
        <v>1</v>
      </c>
      <c r="I235" s="188">
        <f t="shared" si="29"/>
        <v>1.0300000000000001E-3</v>
      </c>
      <c r="J235" s="188" t="s">
        <v>31</v>
      </c>
      <c r="K235" s="188" t="s">
        <v>31</v>
      </c>
      <c r="L235" s="188" t="s">
        <v>31</v>
      </c>
      <c r="M235" s="188" t="s">
        <v>31</v>
      </c>
      <c r="N235" s="188"/>
      <c r="O235" s="188"/>
      <c r="P235" s="188"/>
      <c r="Q235" s="188"/>
      <c r="R235" s="188"/>
      <c r="S235" s="188"/>
      <c r="T235" s="188"/>
      <c r="U235" s="188"/>
    </row>
    <row r="236" spans="1:21">
      <c r="A236" s="323" t="s">
        <v>265</v>
      </c>
      <c r="B236" s="327">
        <v>0.14000000000000001</v>
      </c>
      <c r="C236" s="188" t="s">
        <v>39</v>
      </c>
      <c r="D236" s="188" t="s">
        <v>40</v>
      </c>
      <c r="E236" s="188" t="s">
        <v>29</v>
      </c>
      <c r="F236" s="37" t="s">
        <v>35</v>
      </c>
      <c r="G236" s="188" t="s">
        <v>33</v>
      </c>
      <c r="H236" s="188">
        <v>2</v>
      </c>
      <c r="I236" s="188">
        <f t="shared" ref="I236" si="30">LN(B236)</f>
        <v>-1.9661128563728327</v>
      </c>
      <c r="J236" s="188">
        <v>0.20928449536456342</v>
      </c>
      <c r="K236" s="188" t="s">
        <v>31</v>
      </c>
      <c r="L236" s="188" t="s">
        <v>31</v>
      </c>
      <c r="M236" s="188" t="s">
        <v>31</v>
      </c>
      <c r="N236" s="188"/>
      <c r="O236" s="188"/>
      <c r="P236" s="188"/>
      <c r="Q236" s="188"/>
      <c r="R236" s="188"/>
      <c r="S236" s="188"/>
      <c r="T236" s="188"/>
      <c r="U236" s="188"/>
    </row>
    <row r="237" spans="1:21" s="73" customFormat="1">
      <c r="A237" s="347" t="s">
        <v>5</v>
      </c>
      <c r="B237" s="424" t="s">
        <v>1000</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1001</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1.0300000000000001E-3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1000</v>
      </c>
      <c r="B247" s="393">
        <f>B248</f>
        <v>1.0300000000000001E-3</v>
      </c>
      <c r="C247" s="188" t="s">
        <v>853</v>
      </c>
      <c r="D247" s="386" t="s">
        <v>2</v>
      </c>
      <c r="E247" s="188" t="s">
        <v>29</v>
      </c>
      <c r="F247" s="37" t="s">
        <v>14</v>
      </c>
      <c r="G247" s="188" t="s">
        <v>30</v>
      </c>
      <c r="H247" s="188">
        <v>1</v>
      </c>
      <c r="I247" s="188">
        <f>B247</f>
        <v>1.0300000000000001E-3</v>
      </c>
      <c r="J247" s="188" t="s">
        <v>31</v>
      </c>
      <c r="K247" s="188" t="s">
        <v>31</v>
      </c>
      <c r="L247" s="188" t="s">
        <v>31</v>
      </c>
      <c r="M247" s="188" t="s">
        <v>31</v>
      </c>
      <c r="N247" s="188"/>
      <c r="O247" s="188"/>
      <c r="P247" s="188"/>
      <c r="Q247" s="188"/>
      <c r="R247" s="188"/>
      <c r="S247" s="188"/>
      <c r="T247" s="188"/>
      <c r="U247" s="188"/>
    </row>
    <row r="248" spans="1:21">
      <c r="A248" s="37" t="s">
        <v>1002</v>
      </c>
      <c r="B248" s="393">
        <f>R248</f>
        <v>1.0300000000000001E-3</v>
      </c>
      <c r="C248" s="188" t="s">
        <v>853</v>
      </c>
      <c r="D248" s="188" t="s">
        <v>40</v>
      </c>
      <c r="E248" s="188" t="s">
        <v>29</v>
      </c>
      <c r="F248" s="188" t="s">
        <v>59</v>
      </c>
      <c r="G248" s="188" t="s">
        <v>33</v>
      </c>
      <c r="H248" s="188">
        <v>2</v>
      </c>
      <c r="I248" s="188">
        <f>LN(B248)</f>
        <v>-6.8781964767405928</v>
      </c>
      <c r="J248" s="188">
        <v>3.7749172176353707E-2</v>
      </c>
      <c r="K248" s="188" t="s">
        <v>31</v>
      </c>
      <c r="L248" s="188" t="s">
        <v>31</v>
      </c>
      <c r="M248" s="188" t="s">
        <v>31</v>
      </c>
      <c r="O248" s="188" t="s">
        <v>1003</v>
      </c>
      <c r="P248" s="107">
        <v>10.3</v>
      </c>
      <c r="Q248" s="188" t="s">
        <v>855</v>
      </c>
      <c r="R248" s="188">
        <f>P248*0.0001</f>
        <v>1.0300000000000001E-3</v>
      </c>
      <c r="S248" s="188"/>
      <c r="T248" s="188"/>
      <c r="U248" s="188"/>
    </row>
    <row r="249" spans="1:21" s="73" customFormat="1">
      <c r="A249" s="347" t="s">
        <v>5</v>
      </c>
      <c r="B249" s="348" t="s">
        <v>999</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1004</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6.0000000000000001E-3</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999</v>
      </c>
      <c r="B259" s="393">
        <f>B271</f>
        <v>6.0000000000000001E-3</v>
      </c>
      <c r="C259" s="188" t="s">
        <v>853</v>
      </c>
      <c r="D259" s="386" t="s">
        <v>2</v>
      </c>
      <c r="E259" s="188" t="s">
        <v>29</v>
      </c>
      <c r="F259" s="37" t="s">
        <v>14</v>
      </c>
      <c r="G259" s="188" t="s">
        <v>30</v>
      </c>
      <c r="H259" s="188">
        <v>1</v>
      </c>
      <c r="I259" s="188">
        <f t="shared" ref="I259:I260" si="31">B259</f>
        <v>6.0000000000000001E-3</v>
      </c>
      <c r="J259" s="188" t="s">
        <v>31</v>
      </c>
      <c r="K259" s="188" t="s">
        <v>31</v>
      </c>
      <c r="L259" s="188" t="s">
        <v>31</v>
      </c>
      <c r="M259" s="188" t="s">
        <v>31</v>
      </c>
      <c r="N259" s="188"/>
      <c r="O259" s="188"/>
      <c r="P259" s="188"/>
      <c r="Q259" s="188"/>
      <c r="R259" s="188"/>
      <c r="S259" s="188"/>
      <c r="T259" s="188"/>
      <c r="U259" s="188"/>
    </row>
    <row r="260" spans="1:21">
      <c r="A260" s="188" t="s">
        <v>1005</v>
      </c>
      <c r="B260" s="393">
        <f>B271</f>
        <v>6.0000000000000001E-3</v>
      </c>
      <c r="C260" s="188" t="s">
        <v>853</v>
      </c>
      <c r="D260" s="386" t="s">
        <v>2</v>
      </c>
      <c r="E260" s="188" t="s">
        <v>29</v>
      </c>
      <c r="F260" s="188" t="s">
        <v>14</v>
      </c>
      <c r="G260" s="188" t="s">
        <v>33</v>
      </c>
      <c r="H260" s="188">
        <v>1</v>
      </c>
      <c r="I260" s="188">
        <f t="shared" si="31"/>
        <v>6.0000000000000001E-3</v>
      </c>
      <c r="J260" s="188" t="s">
        <v>31</v>
      </c>
      <c r="K260" s="188" t="s">
        <v>31</v>
      </c>
      <c r="L260" s="188" t="s">
        <v>31</v>
      </c>
      <c r="M260" s="188" t="s">
        <v>31</v>
      </c>
      <c r="N260" s="188"/>
      <c r="O260" s="188"/>
      <c r="P260" s="188"/>
      <c r="Q260" s="188"/>
      <c r="R260" s="188"/>
      <c r="S260" s="188"/>
      <c r="T260" s="188"/>
      <c r="U260" s="188"/>
    </row>
    <row r="261" spans="1:21">
      <c r="A261" s="323" t="s">
        <v>265</v>
      </c>
      <c r="B261" s="327">
        <f>R261</f>
        <v>0.05</v>
      </c>
      <c r="C261" s="188" t="s">
        <v>39</v>
      </c>
      <c r="D261" s="188" t="s">
        <v>40</v>
      </c>
      <c r="E261" s="188" t="s">
        <v>29</v>
      </c>
      <c r="F261" s="37" t="s">
        <v>35</v>
      </c>
      <c r="G261" s="188" t="s">
        <v>33</v>
      </c>
      <c r="H261" s="188">
        <v>2</v>
      </c>
      <c r="I261" s="188">
        <f t="shared" ref="I261:I265" si="32">LN(B261)</f>
        <v>-2.9957322735539909</v>
      </c>
      <c r="J261" s="188">
        <v>0.20928449536456342</v>
      </c>
      <c r="K261" s="188" t="s">
        <v>31</v>
      </c>
      <c r="L261" s="188" t="s">
        <v>31</v>
      </c>
      <c r="M261" s="188" t="s">
        <v>31</v>
      </c>
      <c r="N261" s="188"/>
      <c r="O261" s="361" t="s">
        <v>271</v>
      </c>
      <c r="P261" s="107">
        <v>0.05</v>
      </c>
      <c r="Q261" s="188" t="s">
        <v>271</v>
      </c>
      <c r="R261" s="327">
        <f>P261</f>
        <v>0.05</v>
      </c>
      <c r="S261" s="188"/>
      <c r="T261" s="188"/>
      <c r="U261" s="188"/>
    </row>
    <row r="262" spans="1:21">
      <c r="A262" s="37" t="s">
        <v>843</v>
      </c>
      <c r="B262" s="188">
        <f>R262</f>
        <v>1.6999999999999999E-3</v>
      </c>
      <c r="C262" s="188" t="s">
        <v>37</v>
      </c>
      <c r="D262" s="188" t="s">
        <v>40</v>
      </c>
      <c r="E262" s="188" t="s">
        <v>29</v>
      </c>
      <c r="F262" s="37" t="s">
        <v>35</v>
      </c>
      <c r="G262" s="188" t="s">
        <v>33</v>
      </c>
      <c r="H262" s="188">
        <v>2</v>
      </c>
      <c r="I262" s="188">
        <f t="shared" si="32"/>
        <v>-6.3771270279199666</v>
      </c>
      <c r="J262" s="188">
        <v>0.20928449536456342</v>
      </c>
      <c r="K262" s="188" t="s">
        <v>31</v>
      </c>
      <c r="L262" s="188" t="s">
        <v>31</v>
      </c>
      <c r="M262" s="188" t="s">
        <v>31</v>
      </c>
      <c r="N262" s="188"/>
      <c r="O262" s="379" t="s">
        <v>857</v>
      </c>
      <c r="P262" s="107">
        <v>1.7</v>
      </c>
      <c r="Q262" s="188" t="s">
        <v>275</v>
      </c>
      <c r="R262" s="188">
        <f>0.001*P262</f>
        <v>1.6999999999999999E-3</v>
      </c>
      <c r="S262" s="188"/>
      <c r="T262" s="188"/>
      <c r="U262" s="188"/>
    </row>
    <row r="263" spans="1:21">
      <c r="A263" s="37" t="s">
        <v>489</v>
      </c>
      <c r="B263" s="188">
        <f>R263</f>
        <v>2.9999999999999997E-4</v>
      </c>
      <c r="C263" s="188" t="s">
        <v>37</v>
      </c>
      <c r="D263" s="188" t="s">
        <v>40</v>
      </c>
      <c r="E263" s="188" t="s">
        <v>29</v>
      </c>
      <c r="F263" s="37" t="s">
        <v>59</v>
      </c>
      <c r="G263" s="188" t="s">
        <v>33</v>
      </c>
      <c r="H263" s="188">
        <v>2</v>
      </c>
      <c r="I263" s="188">
        <f t="shared" si="32"/>
        <v>-8.1117280833080727</v>
      </c>
      <c r="J263" s="188">
        <v>0.20928449536456342</v>
      </c>
      <c r="K263" s="188" t="s">
        <v>31</v>
      </c>
      <c r="L263" s="188" t="s">
        <v>31</v>
      </c>
      <c r="M263" s="188" t="s">
        <v>31</v>
      </c>
      <c r="N263" s="188"/>
      <c r="O263" s="379" t="s">
        <v>857</v>
      </c>
      <c r="P263" s="107">
        <v>0.3</v>
      </c>
      <c r="Q263" s="188" t="s">
        <v>275</v>
      </c>
      <c r="R263" s="188">
        <f t="shared" ref="R263:R265" si="33">0.001*P263</f>
        <v>2.9999999999999997E-4</v>
      </c>
      <c r="S263" s="188"/>
      <c r="T263" s="188"/>
      <c r="U263" s="188"/>
    </row>
    <row r="264" spans="1:21">
      <c r="A264" s="323" t="s">
        <v>844</v>
      </c>
      <c r="B264" s="188">
        <f>R264</f>
        <v>8.0999999999999996E-3</v>
      </c>
      <c r="C264" s="188" t="s">
        <v>37</v>
      </c>
      <c r="D264" s="188" t="s">
        <v>40</v>
      </c>
      <c r="E264" s="188" t="s">
        <v>29</v>
      </c>
      <c r="F264" s="37" t="s">
        <v>74</v>
      </c>
      <c r="G264" s="188" t="s">
        <v>33</v>
      </c>
      <c r="H264" s="188">
        <v>2</v>
      </c>
      <c r="I264" s="188">
        <f t="shared" si="32"/>
        <v>-4.8158912173037436</v>
      </c>
      <c r="J264" s="188">
        <v>0.20928449536456342</v>
      </c>
      <c r="K264" s="188" t="s">
        <v>31</v>
      </c>
      <c r="L264" s="188" t="s">
        <v>31</v>
      </c>
      <c r="M264" s="188" t="s">
        <v>31</v>
      </c>
      <c r="N264" s="188"/>
      <c r="O264" s="379" t="s">
        <v>857</v>
      </c>
      <c r="P264" s="107">
        <v>8.1</v>
      </c>
      <c r="Q264" s="188" t="s">
        <v>275</v>
      </c>
      <c r="R264" s="188">
        <f t="shared" si="33"/>
        <v>8.0999999999999996E-3</v>
      </c>
      <c r="S264" s="188"/>
      <c r="T264" s="188"/>
      <c r="U264" s="188"/>
    </row>
    <row r="265" spans="1:21">
      <c r="A265" s="188" t="s">
        <v>829</v>
      </c>
      <c r="B265" s="188">
        <f>R265</f>
        <v>1.9E-3</v>
      </c>
      <c r="C265" s="188" t="s">
        <v>37</v>
      </c>
      <c r="D265" s="386" t="s">
        <v>2</v>
      </c>
      <c r="E265" s="188" t="s">
        <v>29</v>
      </c>
      <c r="F265" s="37" t="s">
        <v>74</v>
      </c>
      <c r="G265" s="188" t="s">
        <v>33</v>
      </c>
      <c r="H265" s="188">
        <v>2</v>
      </c>
      <c r="I265" s="188">
        <f t="shared" si="32"/>
        <v>-6.2659013928097425</v>
      </c>
      <c r="J265" s="188">
        <v>0.20928449536456342</v>
      </c>
      <c r="K265" s="188" t="s">
        <v>31</v>
      </c>
      <c r="L265" s="188" t="s">
        <v>31</v>
      </c>
      <c r="M265" s="188" t="s">
        <v>31</v>
      </c>
      <c r="N265" s="188"/>
      <c r="O265" s="425" t="s">
        <v>857</v>
      </c>
      <c r="P265" s="123">
        <v>1.9</v>
      </c>
      <c r="Q265" s="188" t="s">
        <v>275</v>
      </c>
      <c r="R265" s="188">
        <f t="shared" si="33"/>
        <v>1.9E-3</v>
      </c>
      <c r="S265" s="188"/>
      <c r="T265" s="188"/>
      <c r="U265" s="188"/>
    </row>
    <row r="266" spans="1:21" s="73" customFormat="1">
      <c r="A266" s="347" t="s">
        <v>5</v>
      </c>
      <c r="B266" s="348" t="s">
        <v>1005</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1006</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6.0000000000000001E-3</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1005</v>
      </c>
      <c r="B276" s="393">
        <f>B303</f>
        <v>6.0000000000000001E-3</v>
      </c>
      <c r="C276" s="188" t="s">
        <v>853</v>
      </c>
      <c r="D276" s="386" t="s">
        <v>2</v>
      </c>
      <c r="E276" s="188" t="s">
        <v>29</v>
      </c>
      <c r="F276" s="188" t="s">
        <v>14</v>
      </c>
      <c r="G276" s="188" t="s">
        <v>30</v>
      </c>
      <c r="H276" s="188">
        <v>1</v>
      </c>
      <c r="I276" s="188">
        <f t="shared" ref="I276:I277" si="34">B276</f>
        <v>6.0000000000000001E-3</v>
      </c>
      <c r="J276" s="188" t="s">
        <v>31</v>
      </c>
      <c r="K276" s="188" t="s">
        <v>31</v>
      </c>
      <c r="L276" s="188" t="s">
        <v>31</v>
      </c>
      <c r="M276" s="188" t="s">
        <v>31</v>
      </c>
      <c r="N276" s="188"/>
      <c r="O276" s="188"/>
      <c r="P276" s="188"/>
      <c r="Q276" s="188"/>
      <c r="R276" s="188"/>
      <c r="S276" s="188"/>
      <c r="T276" s="188"/>
      <c r="U276" s="188"/>
    </row>
    <row r="277" spans="1:21">
      <c r="A277" s="188" t="s">
        <v>1007</v>
      </c>
      <c r="B277" s="393">
        <f>B303</f>
        <v>6.0000000000000001E-3</v>
      </c>
      <c r="C277" s="188" t="s">
        <v>853</v>
      </c>
      <c r="D277" s="386" t="s">
        <v>2</v>
      </c>
      <c r="E277" s="188" t="s">
        <v>29</v>
      </c>
      <c r="F277" s="188" t="s">
        <v>14</v>
      </c>
      <c r="G277" s="188" t="s">
        <v>33</v>
      </c>
      <c r="H277" s="188">
        <v>1</v>
      </c>
      <c r="I277" s="188">
        <f t="shared" si="34"/>
        <v>6.0000000000000001E-3</v>
      </c>
      <c r="J277" s="188" t="s">
        <v>31</v>
      </c>
      <c r="K277" s="188" t="s">
        <v>31</v>
      </c>
      <c r="L277" s="188" t="s">
        <v>31</v>
      </c>
      <c r="M277" s="188" t="s">
        <v>31</v>
      </c>
      <c r="N277" s="188"/>
      <c r="O277" s="188"/>
      <c r="P277" s="188"/>
      <c r="Q277" s="188"/>
      <c r="R277" s="188"/>
      <c r="S277" s="188"/>
      <c r="T277" s="188"/>
      <c r="U277" s="188"/>
    </row>
    <row r="278" spans="1:21">
      <c r="A278" s="323" t="s">
        <v>265</v>
      </c>
      <c r="B278" s="327">
        <f>P278</f>
        <v>1.1499999999999999</v>
      </c>
      <c r="C278" s="188" t="s">
        <v>39</v>
      </c>
      <c r="D278" s="188" t="s">
        <v>40</v>
      </c>
      <c r="E278" s="188" t="s">
        <v>29</v>
      </c>
      <c r="F278" s="37" t="s">
        <v>35</v>
      </c>
      <c r="G278" s="188" t="s">
        <v>33</v>
      </c>
      <c r="H278" s="188">
        <v>2</v>
      </c>
      <c r="I278" s="188">
        <f t="shared" ref="I278:I279" si="35">LN(B278)</f>
        <v>0.13976194237515863</v>
      </c>
      <c r="J278" s="188">
        <v>0.20928449536456342</v>
      </c>
      <c r="K278" s="188" t="s">
        <v>31</v>
      </c>
      <c r="L278" s="188" t="s">
        <v>31</v>
      </c>
      <c r="M278" s="188" t="s">
        <v>31</v>
      </c>
      <c r="N278" s="188"/>
      <c r="O278" s="379" t="s">
        <v>271</v>
      </c>
      <c r="P278" s="392">
        <f>0.79+0.36</f>
        <v>1.1499999999999999</v>
      </c>
      <c r="Q278" s="188"/>
      <c r="R278" s="188"/>
      <c r="S278" s="188"/>
      <c r="T278" s="188"/>
      <c r="U278" s="188"/>
    </row>
    <row r="279" spans="1:21">
      <c r="A279" s="323" t="s">
        <v>844</v>
      </c>
      <c r="B279" s="188">
        <f>R279</f>
        <v>2.3E-3</v>
      </c>
      <c r="C279" s="188" t="s">
        <v>37</v>
      </c>
      <c r="D279" s="188" t="s">
        <v>40</v>
      </c>
      <c r="E279" s="188" t="s">
        <v>29</v>
      </c>
      <c r="F279" s="37" t="s">
        <v>74</v>
      </c>
      <c r="G279" s="188" t="s">
        <v>33</v>
      </c>
      <c r="H279" s="188">
        <v>2</v>
      </c>
      <c r="I279" s="188">
        <f t="shared" si="35"/>
        <v>-6.074846156047033</v>
      </c>
      <c r="J279" s="188">
        <v>0.20928449536456342</v>
      </c>
      <c r="K279" s="188" t="s">
        <v>31</v>
      </c>
      <c r="L279" s="188" t="s">
        <v>31</v>
      </c>
      <c r="M279" s="188" t="s">
        <v>31</v>
      </c>
      <c r="N279" s="188"/>
      <c r="O279" s="379" t="s">
        <v>857</v>
      </c>
      <c r="P279" s="107">
        <v>2.2999999999999998</v>
      </c>
      <c r="Q279" s="188" t="s">
        <v>275</v>
      </c>
      <c r="R279" s="188">
        <f>P279*0.001</f>
        <v>2.3E-3</v>
      </c>
      <c r="S279" s="188"/>
      <c r="T279" s="188"/>
      <c r="U279" s="188"/>
    </row>
    <row r="280" spans="1:21">
      <c r="A280" s="37" t="s">
        <v>987</v>
      </c>
      <c r="B280" s="188">
        <f>R280</f>
        <v>2.8E-3</v>
      </c>
      <c r="C280" s="188" t="s">
        <v>37</v>
      </c>
      <c r="D280" s="188" t="s">
        <v>40</v>
      </c>
      <c r="E280" s="188" t="s">
        <v>29</v>
      </c>
      <c r="F280" s="188" t="s">
        <v>35</v>
      </c>
      <c r="G280" s="188" t="s">
        <v>33</v>
      </c>
      <c r="H280" s="188">
        <v>2</v>
      </c>
      <c r="I280" s="188">
        <f>LN(B280)</f>
        <v>-5.8781358618009785</v>
      </c>
      <c r="J280" s="188">
        <v>0.20928449536456342</v>
      </c>
      <c r="K280" s="188" t="s">
        <v>31</v>
      </c>
      <c r="L280" s="188" t="s">
        <v>31</v>
      </c>
      <c r="M280" s="188" t="s">
        <v>31</v>
      </c>
      <c r="N280" s="188"/>
      <c r="O280" s="379" t="s">
        <v>857</v>
      </c>
      <c r="P280" s="107">
        <v>2.8</v>
      </c>
      <c r="Q280" s="188" t="s">
        <v>275</v>
      </c>
      <c r="R280" s="188">
        <f>P280*0.001</f>
        <v>2.8E-3</v>
      </c>
      <c r="S280" s="188"/>
      <c r="T280" s="188"/>
      <c r="U280" s="188"/>
    </row>
    <row r="281" spans="1:21">
      <c r="A281" s="188" t="s">
        <v>829</v>
      </c>
      <c r="B281" s="188">
        <f>R281</f>
        <v>2.8E-3</v>
      </c>
      <c r="C281" s="188" t="s">
        <v>37</v>
      </c>
      <c r="D281" s="386" t="s">
        <v>2</v>
      </c>
      <c r="E281" s="188" t="s">
        <v>29</v>
      </c>
      <c r="F281" s="37" t="s">
        <v>74</v>
      </c>
      <c r="G281" s="188" t="s">
        <v>33</v>
      </c>
      <c r="H281" s="188">
        <v>2</v>
      </c>
      <c r="I281" s="188">
        <f t="shared" ref="I281" si="36">LN(B281)</f>
        <v>-5.8781358618009785</v>
      </c>
      <c r="J281" s="188">
        <v>0.20928449536456342</v>
      </c>
      <c r="K281" s="188" t="s">
        <v>31</v>
      </c>
      <c r="L281" s="188" t="s">
        <v>31</v>
      </c>
      <c r="M281" s="188" t="s">
        <v>31</v>
      </c>
      <c r="N281" s="188"/>
      <c r="O281" s="425" t="s">
        <v>857</v>
      </c>
      <c r="P281" s="123">
        <v>2.8</v>
      </c>
      <c r="Q281" s="188" t="s">
        <v>275</v>
      </c>
      <c r="R281" s="188">
        <f t="shared" ref="R281" si="37">0.001*P281</f>
        <v>2.8E-3</v>
      </c>
      <c r="S281" s="188"/>
      <c r="T281" s="188"/>
      <c r="U281" s="188"/>
    </row>
    <row r="282" spans="1:21" s="73" customFormat="1">
      <c r="A282" s="347" t="s">
        <v>5</v>
      </c>
      <c r="B282" s="348" t="s">
        <v>1007</v>
      </c>
      <c r="C282" s="330"/>
      <c r="D282" s="330"/>
      <c r="E282" s="330"/>
      <c r="F282" s="330"/>
      <c r="G282" s="330"/>
      <c r="H282" s="330"/>
      <c r="I282" s="330"/>
      <c r="J282" s="330"/>
      <c r="K282" s="330"/>
      <c r="L282" s="330"/>
      <c r="M282" s="330"/>
      <c r="N282" s="330"/>
      <c r="O282" s="330"/>
      <c r="P282" s="330"/>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1008</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0.01</v>
      </c>
      <c r="C287" s="188"/>
      <c r="D287" s="188"/>
      <c r="E287" s="188"/>
      <c r="F287" s="188"/>
      <c r="G287" s="188"/>
      <c r="H287" s="188"/>
      <c r="I287" s="188"/>
      <c r="J287" s="188"/>
      <c r="K287" s="188"/>
      <c r="L287" s="188"/>
      <c r="M287" s="188"/>
      <c r="N287" s="188"/>
      <c r="O287" s="188"/>
      <c r="P287" s="188"/>
      <c r="Q287" s="188"/>
      <c r="R287" s="321" t="s">
        <v>937</v>
      </c>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188" t="s">
        <v>938</v>
      </c>
      <c r="S288" s="188">
        <v>8900</v>
      </c>
      <c r="T288" s="188" t="s">
        <v>939</v>
      </c>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940</v>
      </c>
      <c r="S289" s="188">
        <f>5*10^-6</f>
        <v>4.9999999999999996E-6</v>
      </c>
      <c r="T289" s="188" t="s">
        <v>941</v>
      </c>
      <c r="U289" s="188"/>
    </row>
    <row r="290" spans="1:21">
      <c r="A290" s="320" t="s">
        <v>19</v>
      </c>
      <c r="B290" s="188"/>
      <c r="C290" s="188"/>
      <c r="D290" s="188"/>
      <c r="E290" s="188"/>
      <c r="F290" s="188"/>
      <c r="G290" s="188"/>
      <c r="H290" s="188"/>
      <c r="I290" s="188"/>
      <c r="J290" s="188"/>
      <c r="K290" s="188"/>
      <c r="L290" s="188"/>
      <c r="M290" s="188"/>
      <c r="N290" s="188"/>
      <c r="O290" s="188"/>
      <c r="P290" s="188"/>
      <c r="Q290" s="188"/>
      <c r="R290" s="405" t="s">
        <v>942</v>
      </c>
      <c r="S290" s="406">
        <f>S289*S288</f>
        <v>4.4499999999999998E-2</v>
      </c>
      <c r="T290" s="407" t="s">
        <v>943</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188"/>
      <c r="S291" s="188"/>
      <c r="T291" s="188"/>
      <c r="U291" s="188"/>
    </row>
    <row r="292" spans="1:21">
      <c r="A292" s="188" t="s">
        <v>1007</v>
      </c>
      <c r="B292" s="393">
        <v>0.01</v>
      </c>
      <c r="C292" s="188" t="s">
        <v>853</v>
      </c>
      <c r="D292" s="386" t="s">
        <v>2</v>
      </c>
      <c r="E292" s="188" t="s">
        <v>29</v>
      </c>
      <c r="F292" s="188" t="s">
        <v>14</v>
      </c>
      <c r="G292" s="188" t="s">
        <v>30</v>
      </c>
      <c r="H292" s="188">
        <v>1</v>
      </c>
      <c r="I292" s="188">
        <f t="shared" ref="I292:I294" si="38">B292</f>
        <v>0.01</v>
      </c>
      <c r="J292" s="188" t="s">
        <v>31</v>
      </c>
      <c r="K292" s="188" t="s">
        <v>31</v>
      </c>
      <c r="L292" s="188" t="s">
        <v>31</v>
      </c>
      <c r="M292" s="188" t="s">
        <v>31</v>
      </c>
      <c r="N292" s="188"/>
      <c r="O292" s="379" t="s">
        <v>944</v>
      </c>
      <c r="P292" s="392">
        <f>B292*100</f>
        <v>1</v>
      </c>
      <c r="Q292" s="188"/>
      <c r="R292" s="188" t="s">
        <v>945</v>
      </c>
      <c r="S292" s="188"/>
      <c r="T292" s="188"/>
      <c r="U292" s="388"/>
    </row>
    <row r="293" spans="1:21">
      <c r="A293" s="188" t="s">
        <v>1009</v>
      </c>
      <c r="B293" s="393">
        <v>0.01</v>
      </c>
      <c r="C293" s="188" t="s">
        <v>853</v>
      </c>
      <c r="D293" s="386" t="s">
        <v>2</v>
      </c>
      <c r="E293" s="188" t="s">
        <v>29</v>
      </c>
      <c r="F293" s="188" t="s">
        <v>14</v>
      </c>
      <c r="G293" s="188" t="s">
        <v>33</v>
      </c>
      <c r="H293" s="188">
        <v>1</v>
      </c>
      <c r="I293" s="188">
        <f t="shared" si="38"/>
        <v>0.01</v>
      </c>
      <c r="J293" s="188">
        <v>7.2284161474004766E-2</v>
      </c>
      <c r="K293" s="188" t="s">
        <v>31</v>
      </c>
      <c r="L293" s="188" t="s">
        <v>31</v>
      </c>
      <c r="M293" s="188" t="s">
        <v>31</v>
      </c>
      <c r="N293" s="188"/>
      <c r="O293" s="379" t="s">
        <v>944</v>
      </c>
      <c r="P293" s="392">
        <f>B293*100</f>
        <v>1</v>
      </c>
      <c r="Q293" s="188"/>
      <c r="R293" s="408">
        <v>0.17</v>
      </c>
      <c r="S293" s="409" t="s">
        <v>855</v>
      </c>
      <c r="T293" s="408">
        <f>R293*S290</f>
        <v>7.5650000000000005E-3</v>
      </c>
      <c r="U293" s="409" t="s">
        <v>275</v>
      </c>
    </row>
    <row r="294" spans="1:21">
      <c r="A294" s="192" t="s">
        <v>922</v>
      </c>
      <c r="B294" s="398">
        <f>T293</f>
        <v>7.5650000000000005E-3</v>
      </c>
      <c r="C294" s="188" t="s">
        <v>37</v>
      </c>
      <c r="D294" s="386" t="s">
        <v>2</v>
      </c>
      <c r="E294" s="188" t="s">
        <v>29</v>
      </c>
      <c r="F294" s="37" t="s">
        <v>14</v>
      </c>
      <c r="G294" s="188" t="s">
        <v>33</v>
      </c>
      <c r="H294" s="188">
        <v>1</v>
      </c>
      <c r="I294" s="188">
        <f t="shared" si="38"/>
        <v>7.5650000000000005E-3</v>
      </c>
      <c r="J294" s="188">
        <v>7.2284161474004766E-2</v>
      </c>
      <c r="K294" s="188" t="s">
        <v>31</v>
      </c>
      <c r="L294" s="188" t="s">
        <v>31</v>
      </c>
      <c r="M294" s="188" t="s">
        <v>31</v>
      </c>
      <c r="N294" s="188"/>
      <c r="O294" s="410"/>
      <c r="P294" s="411"/>
      <c r="Q294" s="188"/>
      <c r="R294" s="188"/>
      <c r="S294" s="188"/>
      <c r="T294" s="188"/>
      <c r="U294" s="188"/>
    </row>
    <row r="295" spans="1:21">
      <c r="A295" s="323" t="s">
        <v>844</v>
      </c>
      <c r="B295" s="188">
        <v>1.3</v>
      </c>
      <c r="C295" s="188" t="s">
        <v>37</v>
      </c>
      <c r="D295" s="188" t="s">
        <v>40</v>
      </c>
      <c r="E295" s="188" t="s">
        <v>29</v>
      </c>
      <c r="F295" s="37" t="s">
        <v>74</v>
      </c>
      <c r="G295" s="188" t="s">
        <v>33</v>
      </c>
      <c r="H295" s="188">
        <v>2</v>
      </c>
      <c r="I295" s="188">
        <f t="shared" ref="I295" si="39">LN(B295)</f>
        <v>0.26236426446749106</v>
      </c>
      <c r="J295" s="188">
        <v>7.2284161474004766E-2</v>
      </c>
      <c r="K295" s="188" t="s">
        <v>31</v>
      </c>
      <c r="L295" s="188" t="s">
        <v>31</v>
      </c>
      <c r="M295" s="188" t="s">
        <v>31</v>
      </c>
      <c r="N295" s="188"/>
      <c r="O295" s="410"/>
      <c r="P295" s="411"/>
      <c r="Q295" s="188"/>
      <c r="R295" s="188"/>
      <c r="S295" s="188"/>
      <c r="T295" s="188"/>
      <c r="U295" s="188"/>
    </row>
    <row r="296" spans="1:21">
      <c r="A296" s="37" t="s">
        <v>924</v>
      </c>
      <c r="B296" s="327">
        <v>0.1</v>
      </c>
      <c r="C296" s="188" t="s">
        <v>37</v>
      </c>
      <c r="D296" s="188" t="s">
        <v>40</v>
      </c>
      <c r="E296" s="188" t="s">
        <v>29</v>
      </c>
      <c r="F296" s="37" t="s">
        <v>59</v>
      </c>
      <c r="G296" s="188" t="s">
        <v>33</v>
      </c>
      <c r="H296" s="188">
        <v>2</v>
      </c>
      <c r="I296" s="188">
        <f>LN(B296)</f>
        <v>-2.3025850929940455</v>
      </c>
      <c r="J296" s="188">
        <v>7.2284161474004766E-2</v>
      </c>
      <c r="K296" s="188" t="s">
        <v>31</v>
      </c>
      <c r="L296" s="188" t="s">
        <v>31</v>
      </c>
      <c r="M296" s="188" t="s">
        <v>31</v>
      </c>
      <c r="N296" s="188"/>
      <c r="O296" s="410"/>
      <c r="P296" s="411"/>
      <c r="Q296" s="188"/>
      <c r="R296" s="188"/>
      <c r="S296" s="188"/>
      <c r="T296" s="188"/>
      <c r="U296" s="188"/>
    </row>
    <row r="297" spans="1:21">
      <c r="A297" s="37" t="s">
        <v>76</v>
      </c>
      <c r="B297" s="188">
        <v>1.3</v>
      </c>
      <c r="C297" s="188" t="s">
        <v>42</v>
      </c>
      <c r="D297" s="188" t="s">
        <v>40</v>
      </c>
      <c r="E297" s="188" t="s">
        <v>29</v>
      </c>
      <c r="F297" s="37" t="s">
        <v>74</v>
      </c>
      <c r="G297" s="188" t="s">
        <v>33</v>
      </c>
      <c r="H297" s="188">
        <v>2</v>
      </c>
      <c r="I297" s="188">
        <f t="shared" ref="I297" si="40">LN(B297)</f>
        <v>0.26236426446749106</v>
      </c>
      <c r="J297" s="188">
        <v>7.2284161474004766E-2</v>
      </c>
      <c r="K297" s="188" t="s">
        <v>31</v>
      </c>
      <c r="L297" s="188" t="s">
        <v>31</v>
      </c>
      <c r="M297" s="188" t="s">
        <v>31</v>
      </c>
      <c r="N297" s="188"/>
      <c r="O297" s="192"/>
      <c r="P297" s="399"/>
      <c r="Q297" s="413"/>
      <c r="R297" s="188"/>
      <c r="S297" s="188"/>
      <c r="T297" s="188"/>
      <c r="U297" s="188"/>
    </row>
    <row r="298" spans="1:21" s="73" customFormat="1">
      <c r="A298" s="347" t="s">
        <v>5</v>
      </c>
      <c r="B298" s="348" t="s">
        <v>1009</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1010</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6.0000000000000001E-3</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1009</v>
      </c>
      <c r="B308" s="393">
        <f>B309</f>
        <v>6.0000000000000001E-3</v>
      </c>
      <c r="C308" s="188" t="s">
        <v>853</v>
      </c>
      <c r="D308" s="386" t="s">
        <v>2</v>
      </c>
      <c r="E308" s="188" t="s">
        <v>29</v>
      </c>
      <c r="F308" s="188" t="s">
        <v>14</v>
      </c>
      <c r="G308" s="188" t="s">
        <v>30</v>
      </c>
      <c r="H308" s="188">
        <v>1</v>
      </c>
      <c r="I308" s="188">
        <f t="shared" ref="I308:I309" si="41">B308</f>
        <v>6.0000000000000001E-3</v>
      </c>
      <c r="J308" s="188" t="s">
        <v>31</v>
      </c>
      <c r="K308" s="188" t="s">
        <v>31</v>
      </c>
      <c r="L308" s="188" t="s">
        <v>31</v>
      </c>
      <c r="M308" s="188" t="s">
        <v>31</v>
      </c>
      <c r="N308" s="188"/>
      <c r="O308" s="188"/>
      <c r="P308" s="188"/>
      <c r="Q308" s="188"/>
      <c r="R308" s="188"/>
      <c r="S308" s="188"/>
      <c r="T308" s="188"/>
      <c r="U308" s="188"/>
    </row>
    <row r="309" spans="1:21">
      <c r="A309" s="188" t="s">
        <v>1011</v>
      </c>
      <c r="B309" s="393">
        <v>6.0000000000000001E-3</v>
      </c>
      <c r="C309" s="188" t="s">
        <v>853</v>
      </c>
      <c r="D309" s="386" t="s">
        <v>2</v>
      </c>
      <c r="E309" s="188" t="s">
        <v>29</v>
      </c>
      <c r="F309" s="188" t="s">
        <v>14</v>
      </c>
      <c r="G309" s="188" t="s">
        <v>33</v>
      </c>
      <c r="H309" s="188">
        <v>1</v>
      </c>
      <c r="I309" s="188">
        <f t="shared" si="41"/>
        <v>6.0000000000000001E-3</v>
      </c>
      <c r="J309" s="188" t="s">
        <v>31</v>
      </c>
      <c r="K309" s="188" t="s">
        <v>31</v>
      </c>
      <c r="L309" s="188" t="s">
        <v>31</v>
      </c>
      <c r="M309" s="188" t="s">
        <v>31</v>
      </c>
      <c r="N309" s="188"/>
      <c r="O309" s="188"/>
      <c r="P309" s="188"/>
      <c r="Q309" s="188"/>
      <c r="R309" s="188"/>
      <c r="S309" s="188"/>
      <c r="T309" s="188"/>
      <c r="U309" s="188"/>
    </row>
    <row r="310" spans="1:21">
      <c r="A310" s="323" t="s">
        <v>265</v>
      </c>
      <c r="B310" s="327">
        <f>P310</f>
        <v>7.8E-2</v>
      </c>
      <c r="C310" s="188" t="s">
        <v>39</v>
      </c>
      <c r="D310" s="188" t="s">
        <v>40</v>
      </c>
      <c r="E310" s="188" t="s">
        <v>29</v>
      </c>
      <c r="F310" s="37" t="s">
        <v>35</v>
      </c>
      <c r="G310" s="188" t="s">
        <v>33</v>
      </c>
      <c r="H310" s="188">
        <v>2</v>
      </c>
      <c r="I310" s="188">
        <f t="shared" ref="I310" si="42">LN(B310)</f>
        <v>-2.5510464522925451</v>
      </c>
      <c r="J310" s="188">
        <v>0.22500000000000006</v>
      </c>
      <c r="K310" s="188" t="s">
        <v>31</v>
      </c>
      <c r="L310" s="188" t="s">
        <v>31</v>
      </c>
      <c r="M310" s="188" t="s">
        <v>31</v>
      </c>
      <c r="N310" s="188"/>
      <c r="O310" s="379" t="s">
        <v>271</v>
      </c>
      <c r="P310" s="392">
        <v>7.8E-2</v>
      </c>
      <c r="Q310" s="188"/>
      <c r="R310" s="188"/>
      <c r="S310" s="188"/>
      <c r="T310" s="188"/>
      <c r="U310" s="188"/>
    </row>
    <row r="311" spans="1:21">
      <c r="A311" s="37" t="s">
        <v>731</v>
      </c>
      <c r="B311" s="393">
        <f>P311</f>
        <v>3.5999999999999999E-3</v>
      </c>
      <c r="C311" s="188" t="s">
        <v>37</v>
      </c>
      <c r="D311" s="188" t="s">
        <v>40</v>
      </c>
      <c r="E311" s="188" t="s">
        <v>29</v>
      </c>
      <c r="F311" s="188" t="s">
        <v>35</v>
      </c>
      <c r="G311" s="188" t="s">
        <v>33</v>
      </c>
      <c r="H311" s="188">
        <v>2</v>
      </c>
      <c r="I311" s="188">
        <f>LN(B311)</f>
        <v>-5.6268214335200728</v>
      </c>
      <c r="J311" s="188">
        <v>0.22500000000000006</v>
      </c>
      <c r="K311" s="188" t="s">
        <v>31</v>
      </c>
      <c r="L311" s="188" t="s">
        <v>31</v>
      </c>
      <c r="M311" s="188" t="s">
        <v>31</v>
      </c>
      <c r="N311" s="188"/>
      <c r="O311" s="379" t="s">
        <v>275</v>
      </c>
      <c r="P311" s="430">
        <v>3.5999999999999999E-3</v>
      </c>
      <c r="Q311" s="188"/>
      <c r="R311" s="188"/>
      <c r="S311" s="188"/>
      <c r="T311" s="188"/>
      <c r="U311" s="188"/>
    </row>
    <row r="312" spans="1:21">
      <c r="A312" s="188" t="s">
        <v>1012</v>
      </c>
      <c r="B312" s="393">
        <f>P312</f>
        <v>7.7999999999999996E-3</v>
      </c>
      <c r="C312" s="188" t="s">
        <v>37</v>
      </c>
      <c r="D312" s="188" t="s">
        <v>40</v>
      </c>
      <c r="E312" s="188" t="s">
        <v>29</v>
      </c>
      <c r="F312" s="188" t="s">
        <v>59</v>
      </c>
      <c r="G312" s="188" t="s">
        <v>33</v>
      </c>
      <c r="H312" s="188">
        <v>2</v>
      </c>
      <c r="I312" s="188">
        <f t="shared" ref="I312:I318" si="43">LN(B312)</f>
        <v>-4.853631545286591</v>
      </c>
      <c r="J312" s="188">
        <v>0.22500000000000006</v>
      </c>
      <c r="K312" s="188" t="s">
        <v>31</v>
      </c>
      <c r="L312" s="188" t="s">
        <v>31</v>
      </c>
      <c r="M312" s="188" t="s">
        <v>31</v>
      </c>
      <c r="N312" s="188"/>
      <c r="O312" s="379" t="s">
        <v>275</v>
      </c>
      <c r="P312" s="430">
        <v>7.7999999999999996E-3</v>
      </c>
      <c r="Q312" s="188"/>
      <c r="R312" s="188"/>
      <c r="S312" s="188"/>
      <c r="T312" s="188"/>
      <c r="U312" s="188"/>
    </row>
    <row r="313" spans="1:21">
      <c r="A313" s="37" t="s">
        <v>987</v>
      </c>
      <c r="B313" s="393">
        <f t="shared" ref="B313:B318" si="44">P313</f>
        <v>3.5999999999999999E-3</v>
      </c>
      <c r="C313" s="188" t="s">
        <v>37</v>
      </c>
      <c r="D313" s="188" t="s">
        <v>40</v>
      </c>
      <c r="E313" s="188" t="s">
        <v>29</v>
      </c>
      <c r="F313" s="188" t="s">
        <v>35</v>
      </c>
      <c r="G313" s="188" t="s">
        <v>33</v>
      </c>
      <c r="H313" s="188">
        <v>2</v>
      </c>
      <c r="I313" s="188">
        <f t="shared" si="43"/>
        <v>-5.6268214335200728</v>
      </c>
      <c r="J313" s="188">
        <v>0.22500000000000006</v>
      </c>
      <c r="K313" s="188" t="s">
        <v>31</v>
      </c>
      <c r="L313" s="188" t="s">
        <v>31</v>
      </c>
      <c r="M313" s="188" t="s">
        <v>31</v>
      </c>
      <c r="N313" s="188"/>
      <c r="O313" s="379" t="s">
        <v>275</v>
      </c>
      <c r="P313" s="430">
        <v>3.5999999999999999E-3</v>
      </c>
      <c r="Q313" s="188"/>
      <c r="R313" s="188"/>
      <c r="S313" s="188"/>
      <c r="T313" s="188"/>
      <c r="U313" s="188"/>
    </row>
    <row r="314" spans="1:21">
      <c r="A314" s="37" t="s">
        <v>1013</v>
      </c>
      <c r="B314" s="393">
        <f t="shared" si="44"/>
        <v>2.7000000000000001E-3</v>
      </c>
      <c r="C314" s="188" t="s">
        <v>37</v>
      </c>
      <c r="D314" s="188" t="s">
        <v>40</v>
      </c>
      <c r="E314" s="188" t="s">
        <v>29</v>
      </c>
      <c r="F314" s="188" t="s">
        <v>59</v>
      </c>
      <c r="G314" s="188" t="s">
        <v>33</v>
      </c>
      <c r="H314" s="188">
        <v>2</v>
      </c>
      <c r="I314" s="188">
        <f t="shared" si="43"/>
        <v>-5.9145035059718536</v>
      </c>
      <c r="J314" s="188">
        <v>0.22500000000000006</v>
      </c>
      <c r="K314" s="188" t="s">
        <v>31</v>
      </c>
      <c r="L314" s="188" t="s">
        <v>31</v>
      </c>
      <c r="M314" s="188" t="s">
        <v>31</v>
      </c>
      <c r="N314" s="188"/>
      <c r="O314" s="379" t="s">
        <v>275</v>
      </c>
      <c r="P314" s="430">
        <v>2.7000000000000001E-3</v>
      </c>
      <c r="Q314" s="188"/>
      <c r="R314" s="188"/>
      <c r="S314" s="188"/>
      <c r="T314" s="188"/>
      <c r="U314" s="188"/>
    </row>
    <row r="315" spans="1:21">
      <c r="A315" s="37" t="s">
        <v>1014</v>
      </c>
      <c r="B315" s="393">
        <f t="shared" si="44"/>
        <v>7.7999999999999996E-3</v>
      </c>
      <c r="C315" s="188" t="s">
        <v>37</v>
      </c>
      <c r="D315" s="188" t="s">
        <v>40</v>
      </c>
      <c r="E315" s="188" t="s">
        <v>29</v>
      </c>
      <c r="F315" s="188" t="s">
        <v>59</v>
      </c>
      <c r="G315" s="188" t="s">
        <v>33</v>
      </c>
      <c r="H315" s="188">
        <v>2</v>
      </c>
      <c r="I315" s="188">
        <f t="shared" si="43"/>
        <v>-4.853631545286591</v>
      </c>
      <c r="J315" s="188">
        <v>0.22500000000000006</v>
      </c>
      <c r="K315" s="188" t="s">
        <v>31</v>
      </c>
      <c r="L315" s="188" t="s">
        <v>31</v>
      </c>
      <c r="M315" s="188" t="s">
        <v>31</v>
      </c>
      <c r="N315" s="188"/>
      <c r="O315" s="379" t="s">
        <v>275</v>
      </c>
      <c r="P315" s="430">
        <v>7.7999999999999996E-3</v>
      </c>
      <c r="Q315" s="188"/>
      <c r="R315" s="188"/>
      <c r="S315" s="188"/>
      <c r="T315" s="188"/>
      <c r="U315" s="188"/>
    </row>
    <row r="316" spans="1:21">
      <c r="A316" s="323" t="s">
        <v>844</v>
      </c>
      <c r="B316" s="393">
        <f t="shared" si="44"/>
        <v>0.14299999999999999</v>
      </c>
      <c r="C316" s="188" t="s">
        <v>37</v>
      </c>
      <c r="D316" s="188" t="s">
        <v>40</v>
      </c>
      <c r="E316" s="188" t="s">
        <v>29</v>
      </c>
      <c r="F316" s="37" t="s">
        <v>74</v>
      </c>
      <c r="G316" s="188" t="s">
        <v>33</v>
      </c>
      <c r="H316" s="188">
        <v>2</v>
      </c>
      <c r="I316" s="188">
        <f t="shared" si="43"/>
        <v>-1.9449106487222299</v>
      </c>
      <c r="J316" s="188">
        <v>0.22500000000000006</v>
      </c>
      <c r="K316" s="188" t="s">
        <v>31</v>
      </c>
      <c r="L316" s="188" t="s">
        <v>31</v>
      </c>
      <c r="M316" s="188" t="s">
        <v>31</v>
      </c>
      <c r="N316" s="188"/>
      <c r="O316" s="379" t="s">
        <v>275</v>
      </c>
      <c r="P316" s="430">
        <v>0.14299999999999999</v>
      </c>
      <c r="Q316" s="188"/>
      <c r="R316" s="188"/>
      <c r="S316" s="188"/>
      <c r="T316" s="188"/>
      <c r="U316" s="188"/>
    </row>
    <row r="317" spans="1:21">
      <c r="A317" s="37" t="s">
        <v>807</v>
      </c>
      <c r="B317" s="393">
        <f t="shared" si="44"/>
        <v>1.4E-3</v>
      </c>
      <c r="C317" s="188" t="s">
        <v>37</v>
      </c>
      <c r="D317" s="188" t="s">
        <v>43</v>
      </c>
      <c r="E317" s="188" t="s">
        <v>44</v>
      </c>
      <c r="F317" s="188" t="s">
        <v>29</v>
      </c>
      <c r="G317" s="188" t="s">
        <v>45</v>
      </c>
      <c r="H317" s="188">
        <v>2</v>
      </c>
      <c r="I317" s="188">
        <f t="shared" si="43"/>
        <v>-6.5712830423609239</v>
      </c>
      <c r="J317" s="188">
        <v>0.22500000000000006</v>
      </c>
      <c r="K317" s="188" t="s">
        <v>31</v>
      </c>
      <c r="L317" s="188" t="s">
        <v>31</v>
      </c>
      <c r="M317" s="188" t="s">
        <v>31</v>
      </c>
      <c r="N317" s="188"/>
      <c r="O317" s="394" t="s">
        <v>275</v>
      </c>
      <c r="P317" s="395">
        <v>1.4E-3</v>
      </c>
      <c r="Q317" s="188"/>
      <c r="R317" s="188"/>
      <c r="S317" s="188"/>
      <c r="T317" s="188"/>
      <c r="U317" s="188"/>
    </row>
    <row r="318" spans="1:21">
      <c r="A318" s="188" t="s">
        <v>829</v>
      </c>
      <c r="B318" s="393">
        <f t="shared" si="44"/>
        <v>2.5999999999999999E-2</v>
      </c>
      <c r="C318" s="188" t="s">
        <v>37</v>
      </c>
      <c r="D318" s="386" t="s">
        <v>2</v>
      </c>
      <c r="E318" s="188" t="s">
        <v>29</v>
      </c>
      <c r="F318" s="37" t="s">
        <v>74</v>
      </c>
      <c r="G318" s="188" t="s">
        <v>33</v>
      </c>
      <c r="H318" s="188">
        <v>2</v>
      </c>
      <c r="I318" s="188">
        <f t="shared" si="43"/>
        <v>-3.6496587409606551</v>
      </c>
      <c r="J318" s="188">
        <v>0.22500000000000006</v>
      </c>
      <c r="K318" s="188" t="s">
        <v>31</v>
      </c>
      <c r="L318" s="188" t="s">
        <v>31</v>
      </c>
      <c r="M318" s="188" t="s">
        <v>31</v>
      </c>
      <c r="N318" s="188"/>
      <c r="O318" s="396" t="s">
        <v>275</v>
      </c>
      <c r="P318" s="431">
        <v>2.5999999999999999E-2</v>
      </c>
      <c r="Q318" s="188"/>
      <c r="R318" s="188"/>
      <c r="S318" s="188"/>
      <c r="T318" s="188"/>
      <c r="U318" s="188"/>
    </row>
    <row r="319" spans="1:21" s="73" customFormat="1">
      <c r="A319" s="347" t="s">
        <v>5</v>
      </c>
      <c r="B319" s="348" t="s">
        <v>1011</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1015</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6.0000000000000001E-3</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1011</v>
      </c>
      <c r="B329" s="393">
        <f>B330</f>
        <v>6.0000000000000001E-3</v>
      </c>
      <c r="C329" s="188" t="s">
        <v>853</v>
      </c>
      <c r="D329" s="386" t="s">
        <v>2</v>
      </c>
      <c r="E329" s="188" t="s">
        <v>29</v>
      </c>
      <c r="F329" s="188" t="s">
        <v>14</v>
      </c>
      <c r="G329" s="188" t="s">
        <v>30</v>
      </c>
      <c r="H329" s="188">
        <v>1</v>
      </c>
      <c r="I329" s="188">
        <f t="shared" ref="I329:I331" si="45">B329</f>
        <v>6.0000000000000001E-3</v>
      </c>
      <c r="J329" s="188" t="s">
        <v>31</v>
      </c>
      <c r="K329" s="188" t="s">
        <v>31</v>
      </c>
      <c r="L329" s="188" t="s">
        <v>31</v>
      </c>
      <c r="M329" s="188" t="s">
        <v>31</v>
      </c>
      <c r="N329" s="188"/>
      <c r="O329" s="188"/>
      <c r="P329" s="188"/>
      <c r="Q329" s="188"/>
      <c r="R329" s="188"/>
      <c r="S329" s="188"/>
      <c r="T329" s="188"/>
      <c r="U329" s="188"/>
    </row>
    <row r="330" spans="1:21">
      <c r="A330" s="192" t="s">
        <v>1016</v>
      </c>
      <c r="B330" s="393">
        <f>P330</f>
        <v>6.0000000000000001E-3</v>
      </c>
      <c r="C330" s="188" t="s">
        <v>853</v>
      </c>
      <c r="D330" s="386" t="s">
        <v>2</v>
      </c>
      <c r="E330" s="188" t="s">
        <v>29</v>
      </c>
      <c r="F330" s="188" t="s">
        <v>14</v>
      </c>
      <c r="G330" s="188" t="s">
        <v>33</v>
      </c>
      <c r="H330" s="188">
        <v>1</v>
      </c>
      <c r="I330" s="188">
        <f t="shared" si="45"/>
        <v>6.0000000000000001E-3</v>
      </c>
      <c r="J330" s="188">
        <v>2.8722813232690055E-2</v>
      </c>
      <c r="K330" s="188" t="s">
        <v>31</v>
      </c>
      <c r="L330" s="188" t="s">
        <v>31</v>
      </c>
      <c r="M330" s="188" t="s">
        <v>31</v>
      </c>
      <c r="N330" s="188"/>
      <c r="O330" s="374" t="s">
        <v>873</v>
      </c>
      <c r="P330" s="432">
        <v>6.0000000000000001E-3</v>
      </c>
      <c r="Q330" s="188"/>
      <c r="R330" s="188"/>
      <c r="S330" s="188"/>
      <c r="T330" s="188"/>
      <c r="U330" s="188"/>
    </row>
    <row r="331" spans="1:21">
      <c r="A331" s="192" t="s">
        <v>927</v>
      </c>
      <c r="B331" s="188">
        <f>R331</f>
        <v>6.2E-2</v>
      </c>
      <c r="C331" s="188" t="s">
        <v>275</v>
      </c>
      <c r="D331" s="386" t="s">
        <v>2</v>
      </c>
      <c r="E331" s="188" t="s">
        <v>29</v>
      </c>
      <c r="F331" s="188" t="s">
        <v>14</v>
      </c>
      <c r="G331" s="188" t="s">
        <v>33</v>
      </c>
      <c r="H331" s="188">
        <v>1</v>
      </c>
      <c r="I331" s="188">
        <f t="shared" si="45"/>
        <v>6.2E-2</v>
      </c>
      <c r="J331" s="188">
        <v>2.8722813232690055E-2</v>
      </c>
      <c r="K331" s="188" t="s">
        <v>31</v>
      </c>
      <c r="L331" s="188" t="s">
        <v>31</v>
      </c>
      <c r="M331" s="188" t="s">
        <v>31</v>
      </c>
      <c r="N331" s="188"/>
      <c r="O331" s="374" t="s">
        <v>857</v>
      </c>
      <c r="P331" s="433">
        <v>62</v>
      </c>
      <c r="Q331" s="188" t="s">
        <v>275</v>
      </c>
      <c r="R331" s="188">
        <f>P331*0.001</f>
        <v>6.2E-2</v>
      </c>
      <c r="S331" s="188"/>
      <c r="T331" s="188"/>
      <c r="U331" s="188"/>
    </row>
    <row r="332" spans="1:21">
      <c r="A332" s="323" t="s">
        <v>265</v>
      </c>
      <c r="B332" s="327">
        <f t="shared" ref="B332:B334" si="46">P332</f>
        <v>6.0000000000000001E-3</v>
      </c>
      <c r="C332" s="188" t="s">
        <v>39</v>
      </c>
      <c r="D332" s="188" t="s">
        <v>40</v>
      </c>
      <c r="E332" s="188" t="s">
        <v>29</v>
      </c>
      <c r="F332" s="37" t="s">
        <v>35</v>
      </c>
      <c r="G332" s="188" t="s">
        <v>33</v>
      </c>
      <c r="H332" s="188">
        <v>2</v>
      </c>
      <c r="I332" s="188">
        <f t="shared" ref="I332:I334" si="47">LN(B332)</f>
        <v>-5.1159958097540823</v>
      </c>
      <c r="J332" s="188">
        <v>0.20928449536456342</v>
      </c>
      <c r="K332" s="188" t="s">
        <v>31</v>
      </c>
      <c r="L332" s="188" t="s">
        <v>31</v>
      </c>
      <c r="M332" s="188" t="s">
        <v>31</v>
      </c>
      <c r="N332" s="188"/>
      <c r="O332" s="379" t="s">
        <v>271</v>
      </c>
      <c r="P332" s="153">
        <v>6.0000000000000001E-3</v>
      </c>
      <c r="Q332" s="188"/>
      <c r="R332" s="188"/>
      <c r="S332" s="188"/>
      <c r="T332" s="188"/>
      <c r="U332" s="188"/>
    </row>
    <row r="333" spans="1:21">
      <c r="A333" s="323" t="s">
        <v>265</v>
      </c>
      <c r="B333" s="327">
        <f t="shared" si="46"/>
        <v>0.35</v>
      </c>
      <c r="C333" s="188" t="s">
        <v>39</v>
      </c>
      <c r="D333" s="188" t="s">
        <v>40</v>
      </c>
      <c r="E333" s="188" t="s">
        <v>29</v>
      </c>
      <c r="F333" s="37" t="s">
        <v>35</v>
      </c>
      <c r="G333" s="188" t="s">
        <v>33</v>
      </c>
      <c r="H333" s="188">
        <v>2</v>
      </c>
      <c r="I333" s="188">
        <f t="shared" si="47"/>
        <v>-1.0498221244986778</v>
      </c>
      <c r="J333" s="188">
        <v>0.20928449536456342</v>
      </c>
      <c r="K333" s="188" t="s">
        <v>31</v>
      </c>
      <c r="L333" s="188" t="s">
        <v>31</v>
      </c>
      <c r="M333" s="188" t="s">
        <v>31</v>
      </c>
      <c r="N333" s="188"/>
      <c r="O333" s="379" t="s">
        <v>271</v>
      </c>
      <c r="P333" s="107">
        <v>0.35</v>
      </c>
      <c r="Q333" s="188"/>
      <c r="R333" s="188"/>
      <c r="S333" s="188"/>
      <c r="T333" s="188"/>
      <c r="U333" s="188"/>
    </row>
    <row r="334" spans="1:21">
      <c r="A334" s="323" t="s">
        <v>265</v>
      </c>
      <c r="B334" s="327">
        <f t="shared" si="46"/>
        <v>0.09</v>
      </c>
      <c r="C334" s="188" t="s">
        <v>39</v>
      </c>
      <c r="D334" s="188" t="s">
        <v>40</v>
      </c>
      <c r="E334" s="188" t="s">
        <v>29</v>
      </c>
      <c r="F334" s="37" t="s">
        <v>35</v>
      </c>
      <c r="G334" s="188" t="s">
        <v>33</v>
      </c>
      <c r="H334" s="188">
        <v>2</v>
      </c>
      <c r="I334" s="188">
        <f t="shared" si="47"/>
        <v>-2.4079456086518722</v>
      </c>
      <c r="J334" s="188">
        <v>9.6436507609929598E-2</v>
      </c>
      <c r="K334" s="188" t="s">
        <v>31</v>
      </c>
      <c r="L334" s="188" t="s">
        <v>31</v>
      </c>
      <c r="M334" s="188" t="s">
        <v>31</v>
      </c>
      <c r="N334" s="188"/>
      <c r="O334" s="379" t="s">
        <v>271</v>
      </c>
      <c r="P334" s="107">
        <v>0.09</v>
      </c>
      <c r="Q334" s="188"/>
      <c r="R334" s="188"/>
      <c r="S334" s="188"/>
      <c r="T334" s="188"/>
      <c r="U334" s="188"/>
    </row>
    <row r="335" spans="1:21">
      <c r="A335" s="37" t="s">
        <v>731</v>
      </c>
      <c r="B335" s="393">
        <f>R335</f>
        <v>5.0000000000000001E-4</v>
      </c>
      <c r="C335" s="188" t="s">
        <v>37</v>
      </c>
      <c r="D335" s="188" t="s">
        <v>40</v>
      </c>
      <c r="E335" s="188" t="s">
        <v>29</v>
      </c>
      <c r="F335" s="188" t="s">
        <v>35</v>
      </c>
      <c r="G335" s="188" t="s">
        <v>33</v>
      </c>
      <c r="H335" s="188">
        <v>2</v>
      </c>
      <c r="I335" s="188">
        <f>LN(B335)</f>
        <v>-7.6009024595420822</v>
      </c>
      <c r="J335" s="188">
        <v>0.20928449536456342</v>
      </c>
      <c r="K335" s="188" t="s">
        <v>31</v>
      </c>
      <c r="L335" s="188" t="s">
        <v>31</v>
      </c>
      <c r="M335" s="188" t="s">
        <v>31</v>
      </c>
      <c r="N335" s="188"/>
      <c r="O335" s="379" t="s">
        <v>857</v>
      </c>
      <c r="P335" s="107">
        <v>0.5</v>
      </c>
      <c r="Q335" s="188" t="s">
        <v>275</v>
      </c>
      <c r="R335" s="188">
        <f>P335*0.001</f>
        <v>5.0000000000000001E-4</v>
      </c>
      <c r="S335" s="188"/>
      <c r="T335" s="188"/>
      <c r="U335" s="188"/>
    </row>
    <row r="336" spans="1:21">
      <c r="A336" s="323" t="s">
        <v>844</v>
      </c>
      <c r="B336" s="393">
        <f t="shared" ref="B336" si="48">P336</f>
        <v>5.0000000000000001E-3</v>
      </c>
      <c r="C336" s="188" t="s">
        <v>37</v>
      </c>
      <c r="D336" s="188" t="s">
        <v>40</v>
      </c>
      <c r="E336" s="188" t="s">
        <v>29</v>
      </c>
      <c r="F336" s="37" t="s">
        <v>74</v>
      </c>
      <c r="G336" s="188" t="s">
        <v>33</v>
      </c>
      <c r="H336" s="188">
        <v>2</v>
      </c>
      <c r="I336" s="188">
        <f>LN(B336)</f>
        <v>-5.2983173665480363</v>
      </c>
      <c r="J336" s="188">
        <v>0.20928449536456342</v>
      </c>
      <c r="K336" s="188" t="s">
        <v>31</v>
      </c>
      <c r="L336" s="188" t="s">
        <v>31</v>
      </c>
      <c r="M336" s="188" t="s">
        <v>31</v>
      </c>
      <c r="N336" s="188"/>
      <c r="O336" s="379" t="s">
        <v>275</v>
      </c>
      <c r="P336" s="153">
        <v>5.0000000000000001E-3</v>
      </c>
      <c r="Q336" s="188"/>
      <c r="R336" s="188"/>
      <c r="S336" s="188"/>
      <c r="T336" s="188"/>
      <c r="U336" s="188"/>
    </row>
    <row r="337" spans="1:21">
      <c r="A337" s="37" t="s">
        <v>481</v>
      </c>
      <c r="B337" s="419">
        <f>R337</f>
        <v>9.0000000000000008E-4</v>
      </c>
      <c r="C337" s="188" t="s">
        <v>37</v>
      </c>
      <c r="D337" s="188" t="s">
        <v>40</v>
      </c>
      <c r="E337" s="188" t="s">
        <v>29</v>
      </c>
      <c r="F337" s="37" t="s">
        <v>82</v>
      </c>
      <c r="G337" s="188" t="s">
        <v>33</v>
      </c>
      <c r="H337" s="188">
        <v>2</v>
      </c>
      <c r="I337" s="188">
        <f>LN(B337)</f>
        <v>-7.0131157946399636</v>
      </c>
      <c r="J337" s="188">
        <v>0.20928449536456342</v>
      </c>
      <c r="K337" s="188" t="s">
        <v>31</v>
      </c>
      <c r="L337" s="188" t="s">
        <v>31</v>
      </c>
      <c r="M337" s="188" t="s">
        <v>31</v>
      </c>
      <c r="N337" s="188"/>
      <c r="O337" s="379" t="s">
        <v>857</v>
      </c>
      <c r="P337" s="107">
        <v>0.9</v>
      </c>
      <c r="Q337" s="188" t="s">
        <v>275</v>
      </c>
      <c r="R337" s="188">
        <f>P337*0.001</f>
        <v>9.0000000000000008E-4</v>
      </c>
      <c r="S337" s="188"/>
      <c r="T337" s="188"/>
      <c r="U337" s="188"/>
    </row>
    <row r="338" spans="1:21">
      <c r="A338" s="37" t="s">
        <v>987</v>
      </c>
      <c r="B338" s="188">
        <f>R338</f>
        <v>2E-3</v>
      </c>
      <c r="C338" s="188" t="s">
        <v>37</v>
      </c>
      <c r="D338" s="188" t="s">
        <v>40</v>
      </c>
      <c r="E338" s="188" t="s">
        <v>29</v>
      </c>
      <c r="F338" s="188" t="s">
        <v>35</v>
      </c>
      <c r="G338" s="188" t="s">
        <v>33</v>
      </c>
      <c r="H338" s="188">
        <v>2</v>
      </c>
      <c r="I338" s="188">
        <f>LN(B338)</f>
        <v>-6.2146080984221914</v>
      </c>
      <c r="J338" s="188">
        <v>0.20928449536456342</v>
      </c>
      <c r="K338" s="188" t="s">
        <v>31</v>
      </c>
      <c r="L338" s="188" t="s">
        <v>31</v>
      </c>
      <c r="M338" s="188" t="s">
        <v>31</v>
      </c>
      <c r="N338" s="188"/>
      <c r="O338" s="379" t="s">
        <v>857</v>
      </c>
      <c r="P338" s="107">
        <v>2</v>
      </c>
      <c r="Q338" s="188" t="s">
        <v>275</v>
      </c>
      <c r="R338" s="188">
        <f>P338*0.001</f>
        <v>2E-3</v>
      </c>
      <c r="S338" s="188"/>
      <c r="T338" s="188"/>
      <c r="U338" s="188"/>
    </row>
    <row r="339" spans="1:21">
      <c r="A339" s="323" t="s">
        <v>845</v>
      </c>
      <c r="B339" s="188">
        <f>P339</f>
        <v>1</v>
      </c>
      <c r="C339" s="188" t="s">
        <v>37</v>
      </c>
      <c r="D339" s="188" t="s">
        <v>40</v>
      </c>
      <c r="E339" s="188" t="s">
        <v>29</v>
      </c>
      <c r="F339" s="37" t="s">
        <v>35</v>
      </c>
      <c r="G339" s="188" t="s">
        <v>33</v>
      </c>
      <c r="H339" s="188">
        <v>2</v>
      </c>
      <c r="I339" s="188">
        <f t="shared" ref="I339:I340" si="49">LN(B339)</f>
        <v>0</v>
      </c>
      <c r="J339" s="188">
        <v>0.20928449536456342</v>
      </c>
      <c r="K339" s="188" t="s">
        <v>31</v>
      </c>
      <c r="L339" s="188" t="s">
        <v>31</v>
      </c>
      <c r="M339" s="188" t="s">
        <v>31</v>
      </c>
      <c r="N339" s="188"/>
      <c r="O339" s="379" t="s">
        <v>275</v>
      </c>
      <c r="P339" s="107">
        <v>1</v>
      </c>
      <c r="Q339" s="188"/>
      <c r="R339" s="188"/>
      <c r="S339" s="188"/>
      <c r="T339" s="188"/>
      <c r="U339" s="188"/>
    </row>
    <row r="340" spans="1:21">
      <c r="A340" s="188" t="s">
        <v>829</v>
      </c>
      <c r="B340" s="393">
        <f t="shared" ref="B340" si="50">P340</f>
        <v>3.0000000000000001E-3</v>
      </c>
      <c r="C340" s="188" t="s">
        <v>37</v>
      </c>
      <c r="D340" s="386" t="s">
        <v>2</v>
      </c>
      <c r="E340" s="188" t="s">
        <v>29</v>
      </c>
      <c r="F340" s="37" t="s">
        <v>74</v>
      </c>
      <c r="G340" s="188" t="s">
        <v>33</v>
      </c>
      <c r="H340" s="188">
        <v>2</v>
      </c>
      <c r="I340" s="188">
        <f t="shared" si="49"/>
        <v>-5.8091429903140277</v>
      </c>
      <c r="J340" s="188">
        <v>0.20928449536456342</v>
      </c>
      <c r="K340" s="188" t="s">
        <v>31</v>
      </c>
      <c r="L340" s="188" t="s">
        <v>31</v>
      </c>
      <c r="M340" s="188" t="s">
        <v>31</v>
      </c>
      <c r="N340" s="188"/>
      <c r="O340" s="396" t="s">
        <v>275</v>
      </c>
      <c r="P340" s="152">
        <v>3.0000000000000001E-3</v>
      </c>
      <c r="Q340" s="188"/>
      <c r="R340" s="188"/>
      <c r="S340" s="188"/>
      <c r="T340" s="188"/>
      <c r="U340" s="188"/>
    </row>
    <row r="341" spans="1:21" s="73" customFormat="1">
      <c r="A341" s="347" t="s">
        <v>5</v>
      </c>
      <c r="B341" s="348" t="s">
        <v>1016</v>
      </c>
      <c r="C341" s="330"/>
      <c r="D341" s="330"/>
      <c r="E341" s="330"/>
      <c r="F341" s="330"/>
      <c r="G341" s="330"/>
      <c r="H341" s="330"/>
      <c r="I341" s="330"/>
      <c r="J341" s="330"/>
      <c r="K341" s="330"/>
      <c r="L341" s="330"/>
      <c r="M341" s="330"/>
      <c r="N341" s="330"/>
      <c r="O341" s="330"/>
      <c r="P341" s="330"/>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1017</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6.0000000000000001E-3</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1016</v>
      </c>
      <c r="B351" s="393">
        <f>P351</f>
        <v>6.0000000000000001E-3</v>
      </c>
      <c r="C351" s="188" t="s">
        <v>853</v>
      </c>
      <c r="D351" s="386" t="s">
        <v>2</v>
      </c>
      <c r="E351" s="188" t="s">
        <v>29</v>
      </c>
      <c r="F351" s="188" t="s">
        <v>14</v>
      </c>
      <c r="G351" s="188" t="s">
        <v>30</v>
      </c>
      <c r="H351" s="188">
        <v>1</v>
      </c>
      <c r="I351" s="188">
        <f>B351</f>
        <v>6.0000000000000001E-3</v>
      </c>
      <c r="J351" s="188" t="s">
        <v>31</v>
      </c>
      <c r="K351" s="188" t="s">
        <v>31</v>
      </c>
      <c r="L351" s="188" t="s">
        <v>31</v>
      </c>
      <c r="M351" s="188" t="s">
        <v>31</v>
      </c>
      <c r="N351" s="188"/>
      <c r="O351" s="374" t="s">
        <v>873</v>
      </c>
      <c r="P351" s="432">
        <v>6.0000000000000001E-3</v>
      </c>
      <c r="Q351" s="188"/>
      <c r="R351" s="188"/>
      <c r="S351" s="188"/>
      <c r="T351" s="188"/>
      <c r="U351" s="188"/>
    </row>
    <row r="352" spans="1:21">
      <c r="A352" s="37" t="s">
        <v>898</v>
      </c>
      <c r="B352" s="188">
        <f>P352</f>
        <v>0.01</v>
      </c>
      <c r="C352" s="188" t="s">
        <v>37</v>
      </c>
      <c r="D352" s="188" t="s">
        <v>40</v>
      </c>
      <c r="E352" s="188" t="s">
        <v>29</v>
      </c>
      <c r="F352" s="188" t="s">
        <v>82</v>
      </c>
      <c r="G352" s="188" t="s">
        <v>33</v>
      </c>
      <c r="H352" s="188">
        <v>2</v>
      </c>
      <c r="I352" s="188">
        <f t="shared" ref="I352:I362" si="51">LN(B352)</f>
        <v>-4.6051701859880909</v>
      </c>
      <c r="J352" s="391">
        <v>0.22516660498395411</v>
      </c>
      <c r="K352" s="188" t="s">
        <v>31</v>
      </c>
      <c r="L352" s="188" t="s">
        <v>31</v>
      </c>
      <c r="M352" s="188" t="s">
        <v>31</v>
      </c>
      <c r="N352" s="188"/>
      <c r="O352" s="379" t="s">
        <v>275</v>
      </c>
      <c r="P352" s="392">
        <v>0.01</v>
      </c>
      <c r="Q352" s="188"/>
      <c r="R352" s="188"/>
      <c r="S352" s="188"/>
      <c r="T352" s="188"/>
      <c r="U352" s="188"/>
    </row>
    <row r="353" spans="1:21">
      <c r="A353" s="323" t="s">
        <v>265</v>
      </c>
      <c r="B353" s="327">
        <f>P353</f>
        <v>0.13</v>
      </c>
      <c r="C353" s="188" t="s">
        <v>39</v>
      </c>
      <c r="D353" s="188" t="s">
        <v>40</v>
      </c>
      <c r="E353" s="188" t="s">
        <v>29</v>
      </c>
      <c r="F353" s="37" t="s">
        <v>35</v>
      </c>
      <c r="G353" s="188" t="s">
        <v>33</v>
      </c>
      <c r="H353" s="188">
        <v>2</v>
      </c>
      <c r="I353" s="188">
        <f t="shared" si="51"/>
        <v>-2.0402208285265546</v>
      </c>
      <c r="J353" s="391">
        <v>0.22516660498395411</v>
      </c>
      <c r="K353" s="188" t="s">
        <v>31</v>
      </c>
      <c r="L353" s="188" t="s">
        <v>31</v>
      </c>
      <c r="M353" s="188" t="s">
        <v>31</v>
      </c>
      <c r="N353" s="188"/>
      <c r="O353" s="379" t="s">
        <v>271</v>
      </c>
      <c r="P353" s="392">
        <v>0.13</v>
      </c>
      <c r="Q353" s="188"/>
      <c r="R353" s="188"/>
      <c r="S353" s="188"/>
      <c r="T353" s="188"/>
      <c r="U353" s="188"/>
    </row>
    <row r="354" spans="1:21">
      <c r="A354" s="37" t="s">
        <v>1018</v>
      </c>
      <c r="B354" s="393">
        <f>R354</f>
        <v>2.1000000000000001E-4</v>
      </c>
      <c r="C354" s="188" t="s">
        <v>37</v>
      </c>
      <c r="D354" s="188" t="s">
        <v>40</v>
      </c>
      <c r="E354" s="188" t="s">
        <v>29</v>
      </c>
      <c r="F354" s="188" t="s">
        <v>35</v>
      </c>
      <c r="G354" s="188" t="s">
        <v>33</v>
      </c>
      <c r="H354" s="188">
        <v>2</v>
      </c>
      <c r="I354" s="188">
        <f t="shared" si="51"/>
        <v>-8.468403027246806</v>
      </c>
      <c r="J354" s="391">
        <v>0.22516660498395411</v>
      </c>
      <c r="K354" s="188" t="s">
        <v>31</v>
      </c>
      <c r="L354" s="188" t="s">
        <v>31</v>
      </c>
      <c r="M354" s="188" t="s">
        <v>31</v>
      </c>
      <c r="N354" s="188"/>
      <c r="O354" s="379" t="s">
        <v>857</v>
      </c>
      <c r="P354" s="430">
        <v>0.21</v>
      </c>
      <c r="Q354" s="188" t="s">
        <v>275</v>
      </c>
      <c r="R354" s="393">
        <f>0.001*P354</f>
        <v>2.1000000000000001E-4</v>
      </c>
      <c r="S354" s="188"/>
      <c r="T354" s="188"/>
      <c r="U354" s="188"/>
    </row>
    <row r="355" spans="1:21">
      <c r="A355" s="37" t="s">
        <v>1019</v>
      </c>
      <c r="B355" s="393">
        <f>P355</f>
        <v>1E-3</v>
      </c>
      <c r="C355" s="188" t="s">
        <v>37</v>
      </c>
      <c r="D355" s="188" t="s">
        <v>40</v>
      </c>
      <c r="E355" s="188" t="s">
        <v>29</v>
      </c>
      <c r="F355" s="188" t="s">
        <v>35</v>
      </c>
      <c r="G355" s="188" t="s">
        <v>33</v>
      </c>
      <c r="H355" s="188">
        <v>2</v>
      </c>
      <c r="I355" s="188">
        <f t="shared" si="51"/>
        <v>-6.9077552789821368</v>
      </c>
      <c r="J355" s="391">
        <v>0.22516660498395411</v>
      </c>
      <c r="K355" s="188" t="s">
        <v>31</v>
      </c>
      <c r="L355" s="188" t="s">
        <v>31</v>
      </c>
      <c r="M355" s="188" t="s">
        <v>31</v>
      </c>
      <c r="N355" s="188"/>
      <c r="O355" s="379" t="s">
        <v>275</v>
      </c>
      <c r="P355" s="430">
        <v>1E-3</v>
      </c>
      <c r="Q355" s="188"/>
      <c r="R355" s="188"/>
      <c r="S355" s="188"/>
      <c r="T355" s="188"/>
      <c r="U355" s="188"/>
    </row>
    <row r="356" spans="1:21">
      <c r="A356" s="37" t="s">
        <v>1020</v>
      </c>
      <c r="B356" s="393">
        <f>P356</f>
        <v>8.0000000000000004E-4</v>
      </c>
      <c r="C356" s="188" t="s">
        <v>37</v>
      </c>
      <c r="D356" s="188" t="s">
        <v>40</v>
      </c>
      <c r="E356" s="188" t="s">
        <v>29</v>
      </c>
      <c r="F356" s="188" t="s">
        <v>35</v>
      </c>
      <c r="G356" s="188" t="s">
        <v>33</v>
      </c>
      <c r="H356" s="188">
        <v>2</v>
      </c>
      <c r="I356" s="188">
        <f t="shared" si="51"/>
        <v>-7.1308988302963465</v>
      </c>
      <c r="J356" s="391">
        <v>0.22516660498395411</v>
      </c>
      <c r="K356" s="188" t="s">
        <v>31</v>
      </c>
      <c r="L356" s="188" t="s">
        <v>31</v>
      </c>
      <c r="M356" s="188" t="s">
        <v>31</v>
      </c>
      <c r="N356" s="188"/>
      <c r="O356" s="379" t="s">
        <v>275</v>
      </c>
      <c r="P356" s="430">
        <v>8.0000000000000004E-4</v>
      </c>
      <c r="Q356" s="188"/>
      <c r="R356" s="188"/>
      <c r="S356" s="188"/>
      <c r="T356" s="188"/>
      <c r="U356" s="188"/>
    </row>
    <row r="357" spans="1:21">
      <c r="A357" s="37" t="s">
        <v>1021</v>
      </c>
      <c r="B357" s="393">
        <f>P357</f>
        <v>7.3000000000000001E-3</v>
      </c>
      <c r="C357" s="188" t="s">
        <v>37</v>
      </c>
      <c r="D357" s="188" t="s">
        <v>40</v>
      </c>
      <c r="E357" s="188" t="s">
        <v>29</v>
      </c>
      <c r="F357" s="188" t="s">
        <v>35</v>
      </c>
      <c r="G357" s="188" t="s">
        <v>33</v>
      </c>
      <c r="H357" s="188">
        <v>2</v>
      </c>
      <c r="I357" s="188">
        <f t="shared" si="51"/>
        <v>-4.9198809308277918</v>
      </c>
      <c r="J357" s="391">
        <v>0.22516660498395411</v>
      </c>
      <c r="K357" s="188" t="s">
        <v>31</v>
      </c>
      <c r="L357" s="188" t="s">
        <v>31</v>
      </c>
      <c r="M357" s="188" t="s">
        <v>31</v>
      </c>
      <c r="N357" s="188"/>
      <c r="O357" s="379" t="s">
        <v>275</v>
      </c>
      <c r="P357" s="392">
        <v>7.3000000000000001E-3</v>
      </c>
      <c r="Q357" s="188"/>
      <c r="R357" s="188"/>
      <c r="S357" s="188"/>
      <c r="T357" s="188"/>
      <c r="U357" s="188"/>
    </row>
    <row r="358" spans="1:21">
      <c r="A358" s="37" t="s">
        <v>1022</v>
      </c>
      <c r="B358" s="393">
        <f>R358</f>
        <v>4.2000000000000004E-5</v>
      </c>
      <c r="C358" s="188" t="s">
        <v>37</v>
      </c>
      <c r="D358" s="188" t="s">
        <v>43</v>
      </c>
      <c r="E358" s="188" t="s">
        <v>44</v>
      </c>
      <c r="F358" s="188" t="s">
        <v>29</v>
      </c>
      <c r="G358" s="188" t="s">
        <v>45</v>
      </c>
      <c r="H358" s="188">
        <v>2</v>
      </c>
      <c r="I358" s="188">
        <f t="shared" si="51"/>
        <v>-10.077840939680906</v>
      </c>
      <c r="J358" s="391">
        <v>0.10344080432788608</v>
      </c>
      <c r="K358" s="188" t="s">
        <v>31</v>
      </c>
      <c r="L358" s="188" t="s">
        <v>31</v>
      </c>
      <c r="M358" s="188" t="s">
        <v>31</v>
      </c>
      <c r="N358" s="188"/>
      <c r="O358" s="394" t="s">
        <v>857</v>
      </c>
      <c r="P358" s="395">
        <v>4.2000000000000003E-2</v>
      </c>
      <c r="Q358" s="188" t="s">
        <v>275</v>
      </c>
      <c r="R358" s="393">
        <f t="shared" ref="R358:R361" si="52">0.001*P358</f>
        <v>4.2000000000000004E-5</v>
      </c>
      <c r="S358" s="188"/>
      <c r="T358" s="188"/>
      <c r="U358" s="188"/>
    </row>
    <row r="359" spans="1:21">
      <c r="A359" s="37" t="s">
        <v>77</v>
      </c>
      <c r="B359" s="393">
        <f t="shared" ref="B359:B361" si="53">R359</f>
        <v>4.6000000000000001E-4</v>
      </c>
      <c r="C359" s="188" t="s">
        <v>37</v>
      </c>
      <c r="D359" s="188" t="s">
        <v>43</v>
      </c>
      <c r="E359" s="188" t="s">
        <v>44</v>
      </c>
      <c r="F359" s="188" t="s">
        <v>29</v>
      </c>
      <c r="G359" s="188" t="s">
        <v>45</v>
      </c>
      <c r="H359" s="188">
        <v>2</v>
      </c>
      <c r="I359" s="188">
        <f t="shared" si="51"/>
        <v>-7.6842840684811335</v>
      </c>
      <c r="J359" s="391">
        <v>0.10344080432788608</v>
      </c>
      <c r="K359" s="188" t="s">
        <v>31</v>
      </c>
      <c r="L359" s="188" t="s">
        <v>31</v>
      </c>
      <c r="M359" s="188" t="s">
        <v>31</v>
      </c>
      <c r="N359" s="188"/>
      <c r="O359" s="394" t="s">
        <v>857</v>
      </c>
      <c r="P359" s="395">
        <v>0.46</v>
      </c>
      <c r="Q359" s="188" t="s">
        <v>275</v>
      </c>
      <c r="R359" s="393">
        <f t="shared" si="52"/>
        <v>4.6000000000000001E-4</v>
      </c>
      <c r="S359" s="188"/>
      <c r="T359" s="188"/>
      <c r="U359" s="188"/>
    </row>
    <row r="360" spans="1:21">
      <c r="A360" s="37" t="s">
        <v>1023</v>
      </c>
      <c r="B360" s="393">
        <f t="shared" si="53"/>
        <v>2.9E-4</v>
      </c>
      <c r="C360" s="188" t="s">
        <v>37</v>
      </c>
      <c r="D360" s="188" t="s">
        <v>43</v>
      </c>
      <c r="E360" s="188" t="s">
        <v>44</v>
      </c>
      <c r="F360" s="188" t="s">
        <v>29</v>
      </c>
      <c r="G360" s="188" t="s">
        <v>45</v>
      </c>
      <c r="H360" s="188">
        <v>2</v>
      </c>
      <c r="I360" s="188">
        <f t="shared" si="51"/>
        <v>-8.145629634983754</v>
      </c>
      <c r="J360" s="391">
        <v>0.10344080432788608</v>
      </c>
      <c r="K360" s="188" t="s">
        <v>31</v>
      </c>
      <c r="L360" s="188" t="s">
        <v>31</v>
      </c>
      <c r="M360" s="188" t="s">
        <v>31</v>
      </c>
      <c r="N360" s="188"/>
      <c r="O360" s="394" t="s">
        <v>857</v>
      </c>
      <c r="P360" s="395">
        <v>0.28999999999999998</v>
      </c>
      <c r="Q360" s="188" t="s">
        <v>275</v>
      </c>
      <c r="R360" s="393">
        <f t="shared" si="52"/>
        <v>2.9E-4</v>
      </c>
      <c r="S360" s="188"/>
      <c r="T360" s="188"/>
      <c r="U360" s="188"/>
    </row>
    <row r="361" spans="1:21">
      <c r="A361" s="37" t="s">
        <v>807</v>
      </c>
      <c r="B361" s="393">
        <f t="shared" si="53"/>
        <v>1.7000000000000001E-4</v>
      </c>
      <c r="C361" s="188" t="s">
        <v>37</v>
      </c>
      <c r="D361" s="188" t="s">
        <v>43</v>
      </c>
      <c r="E361" s="188" t="s">
        <v>44</v>
      </c>
      <c r="F361" s="188" t="s">
        <v>29</v>
      </c>
      <c r="G361" s="188" t="s">
        <v>45</v>
      </c>
      <c r="H361" s="188">
        <v>2</v>
      </c>
      <c r="I361" s="188">
        <f t="shared" si="51"/>
        <v>-8.6797121209140116</v>
      </c>
      <c r="J361" s="391">
        <v>0.10344080432788608</v>
      </c>
      <c r="K361" s="188" t="s">
        <v>31</v>
      </c>
      <c r="L361" s="188" t="s">
        <v>31</v>
      </c>
      <c r="M361" s="188" t="s">
        <v>31</v>
      </c>
      <c r="N361" s="188"/>
      <c r="O361" s="394" t="s">
        <v>857</v>
      </c>
      <c r="P361" s="395">
        <v>0.17</v>
      </c>
      <c r="Q361" s="188" t="s">
        <v>275</v>
      </c>
      <c r="R361" s="393">
        <f t="shared" si="52"/>
        <v>1.7000000000000001E-4</v>
      </c>
      <c r="S361" s="188"/>
      <c r="T361" s="188"/>
      <c r="U361" s="188"/>
    </row>
    <row r="362" spans="1:21">
      <c r="A362" s="188" t="s">
        <v>835</v>
      </c>
      <c r="B362" s="393">
        <f t="shared" ref="B362" si="54">P362</f>
        <v>2.3E-3</v>
      </c>
      <c r="C362" s="188" t="s">
        <v>37</v>
      </c>
      <c r="D362" s="386" t="s">
        <v>2</v>
      </c>
      <c r="E362" s="188" t="s">
        <v>29</v>
      </c>
      <c r="F362" s="37" t="s">
        <v>74</v>
      </c>
      <c r="G362" s="188" t="s">
        <v>33</v>
      </c>
      <c r="H362" s="188">
        <v>2</v>
      </c>
      <c r="I362" s="188">
        <f t="shared" si="51"/>
        <v>-6.074846156047033</v>
      </c>
      <c r="J362" s="188">
        <v>0.11269427669584645</v>
      </c>
      <c r="K362" s="188" t="s">
        <v>31</v>
      </c>
      <c r="L362" s="188" t="s">
        <v>31</v>
      </c>
      <c r="M362" s="188" t="s">
        <v>31</v>
      </c>
      <c r="N362" s="188"/>
      <c r="O362" s="396" t="s">
        <v>275</v>
      </c>
      <c r="P362" s="431">
        <v>2.3E-3</v>
      </c>
      <c r="Q362" s="188"/>
      <c r="R362" s="188"/>
      <c r="S362" s="188"/>
      <c r="T362" s="188"/>
      <c r="U362" s="188"/>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E377-0164-48F1-A647-15E51F6D9DEC}">
  <sheetPr>
    <tabColor theme="8"/>
  </sheetPr>
  <dimension ref="A1:AC57"/>
  <sheetViews>
    <sheetView zoomScale="85" zoomScaleNormal="85" workbookViewId="0">
      <selection activeCell="I13" sqref="I13:I30"/>
    </sheetView>
  </sheetViews>
  <sheetFormatPr defaultColWidth="9.140625" defaultRowHeight="12.95"/>
  <cols>
    <col min="1" max="1" width="69.7109375" style="188" bestFit="1"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4D7C626EE0B44D2ABEB40388CB47D703</v>
      </c>
    </row>
    <row r="2" spans="1:26">
      <c r="A2" s="347" t="s">
        <v>5</v>
      </c>
      <c r="B2" s="348" t="s">
        <v>822</v>
      </c>
      <c r="C2" s="349"/>
      <c r="D2" s="330"/>
      <c r="E2" s="330"/>
      <c r="F2" s="330"/>
      <c r="G2" s="330"/>
      <c r="H2" s="330"/>
      <c r="I2" s="330"/>
      <c r="J2" s="330"/>
      <c r="K2" s="330"/>
      <c r="L2" s="330"/>
      <c r="M2" s="330"/>
    </row>
    <row r="3" spans="1:26">
      <c r="A3" s="323" t="s">
        <v>7</v>
      </c>
      <c r="B3" s="188" t="s">
        <v>831</v>
      </c>
      <c r="C3" s="322"/>
    </row>
    <row r="4" spans="1:26">
      <c r="A4" s="323" t="s">
        <v>9</v>
      </c>
      <c r="B4" s="188" t="s">
        <v>1024</v>
      </c>
      <c r="C4" s="322"/>
    </row>
    <row r="5" spans="1:26" ht="26.1">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822</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376" t="s">
        <v>885</v>
      </c>
      <c r="B15" s="188">
        <f t="shared" si="0"/>
        <v>0.1</v>
      </c>
      <c r="C15" s="188" t="s">
        <v>37</v>
      </c>
      <c r="D15" s="188" t="s">
        <v>40</v>
      </c>
      <c r="E15" s="188" t="s">
        <v>29</v>
      </c>
      <c r="F15" s="37" t="s">
        <v>59</v>
      </c>
      <c r="G15" s="188" t="s">
        <v>33</v>
      </c>
      <c r="H15" s="188">
        <v>1</v>
      </c>
      <c r="I15" s="188">
        <f t="shared" si="1"/>
        <v>0.1</v>
      </c>
      <c r="J15" s="188" t="s">
        <v>31</v>
      </c>
      <c r="K15" s="188" t="s">
        <v>31</v>
      </c>
      <c r="L15" s="188" t="s">
        <v>31</v>
      </c>
      <c r="M15" s="188" t="s">
        <v>31</v>
      </c>
      <c r="U15" s="374" t="s">
        <v>1027</v>
      </c>
      <c r="V15" s="374" t="s">
        <v>275</v>
      </c>
      <c r="W15" s="375">
        <v>0.1</v>
      </c>
      <c r="Y15" s="188" t="s">
        <v>275</v>
      </c>
      <c r="Z15" s="188">
        <f>W15</f>
        <v>0.1</v>
      </c>
    </row>
    <row r="16" spans="1:26">
      <c r="A16" s="373" t="s">
        <v>1028</v>
      </c>
      <c r="B16" s="188">
        <f t="shared" si="0"/>
        <v>0.19</v>
      </c>
      <c r="C16" s="188" t="s">
        <v>37</v>
      </c>
      <c r="D16" s="188" t="s">
        <v>2</v>
      </c>
      <c r="E16" s="188" t="s">
        <v>29</v>
      </c>
      <c r="F16" s="37" t="s">
        <v>14</v>
      </c>
      <c r="G16" s="188" t="s">
        <v>33</v>
      </c>
      <c r="H16" s="188">
        <v>1</v>
      </c>
      <c r="I16" s="188">
        <f t="shared" si="1"/>
        <v>0.19</v>
      </c>
      <c r="J16" s="188" t="s">
        <v>31</v>
      </c>
      <c r="K16" s="188" t="s">
        <v>31</v>
      </c>
      <c r="L16" s="188" t="s">
        <v>31</v>
      </c>
      <c r="M16" s="188" t="s">
        <v>31</v>
      </c>
      <c r="U16" s="374" t="s">
        <v>1029</v>
      </c>
      <c r="V16" s="374" t="s">
        <v>275</v>
      </c>
      <c r="W16" s="375">
        <v>0.19</v>
      </c>
      <c r="Y16" s="188" t="s">
        <v>275</v>
      </c>
      <c r="Z16" s="188">
        <f>W16</f>
        <v>0.19</v>
      </c>
    </row>
    <row r="17" spans="1:29">
      <c r="A17" s="434" t="s">
        <v>1030</v>
      </c>
      <c r="B17" s="188">
        <f t="shared" si="0"/>
        <v>2.6437500000000003E-2</v>
      </c>
      <c r="C17" s="354" t="s">
        <v>853</v>
      </c>
      <c r="D17" s="354" t="s">
        <v>2</v>
      </c>
      <c r="E17" s="354" t="s">
        <v>29</v>
      </c>
      <c r="F17" s="47" t="s">
        <v>14</v>
      </c>
      <c r="G17" s="354" t="s">
        <v>33</v>
      </c>
      <c r="H17" s="188">
        <v>1</v>
      </c>
      <c r="I17" s="188">
        <f t="shared" si="1"/>
        <v>2.6437500000000003E-2</v>
      </c>
      <c r="J17" s="354" t="s">
        <v>31</v>
      </c>
      <c r="K17" s="354" t="s">
        <v>31</v>
      </c>
      <c r="L17" s="354" t="s">
        <v>31</v>
      </c>
      <c r="M17" s="354" t="s">
        <v>31</v>
      </c>
      <c r="N17" s="354"/>
      <c r="O17" s="354" t="s">
        <v>1031</v>
      </c>
      <c r="P17" s="354"/>
      <c r="Q17" s="354"/>
      <c r="R17" s="354"/>
      <c r="S17" s="354"/>
      <c r="T17" s="354"/>
      <c r="U17" s="435" t="s">
        <v>1032</v>
      </c>
      <c r="V17" s="436" t="s">
        <v>857</v>
      </c>
      <c r="W17" s="375">
        <v>141</v>
      </c>
      <c r="X17" s="354"/>
      <c r="Y17" s="354" t="s">
        <v>855</v>
      </c>
      <c r="Z17" s="354">
        <f>W17*0.001*AB17</f>
        <v>2.6437500000000003E-2</v>
      </c>
      <c r="AA17" s="354"/>
      <c r="AB17" s="354">
        <f>'2B. Reusable'!O37</f>
        <v>0.1875</v>
      </c>
      <c r="AC17" s="354" t="s">
        <v>888</v>
      </c>
    </row>
    <row r="18" spans="1:29">
      <c r="A18" s="373" t="s">
        <v>1033</v>
      </c>
      <c r="B18" s="188">
        <f t="shared" si="0"/>
        <v>0.33500000000000002</v>
      </c>
      <c r="C18" s="188" t="s">
        <v>37</v>
      </c>
      <c r="D18" s="188" t="s">
        <v>2</v>
      </c>
      <c r="E18" s="188" t="s">
        <v>29</v>
      </c>
      <c r="F18" s="37" t="s">
        <v>14</v>
      </c>
      <c r="G18" s="188" t="s">
        <v>33</v>
      </c>
      <c r="H18" s="188">
        <v>1</v>
      </c>
      <c r="I18" s="188">
        <f t="shared" si="1"/>
        <v>0.33500000000000002</v>
      </c>
      <c r="J18" s="188" t="s">
        <v>31</v>
      </c>
      <c r="K18" s="188" t="s">
        <v>31</v>
      </c>
      <c r="L18" s="188" t="s">
        <v>31</v>
      </c>
      <c r="M18" s="188" t="s">
        <v>31</v>
      </c>
      <c r="U18" s="437" t="s">
        <v>1034</v>
      </c>
      <c r="V18" s="374" t="s">
        <v>857</v>
      </c>
      <c r="W18" s="375">
        <v>335</v>
      </c>
      <c r="Y18" s="188" t="s">
        <v>275</v>
      </c>
      <c r="Z18" s="188">
        <f>0.001*W18</f>
        <v>0.33500000000000002</v>
      </c>
    </row>
    <row r="19" spans="1:29">
      <c r="A19" s="15" t="s">
        <v>890</v>
      </c>
      <c r="B19" s="188">
        <f t="shared" si="0"/>
        <v>3.0000000000000001E-3</v>
      </c>
      <c r="C19" s="188" t="s">
        <v>37</v>
      </c>
      <c r="D19" s="188" t="s">
        <v>40</v>
      </c>
      <c r="E19" s="188" t="s">
        <v>29</v>
      </c>
      <c r="F19" s="37" t="s">
        <v>35</v>
      </c>
      <c r="G19" s="188" t="s">
        <v>33</v>
      </c>
      <c r="H19" s="188">
        <v>1</v>
      </c>
      <c r="I19" s="188">
        <f t="shared" si="1"/>
        <v>3.0000000000000001E-3</v>
      </c>
      <c r="J19" s="188" t="s">
        <v>31</v>
      </c>
      <c r="K19" s="188" t="s">
        <v>31</v>
      </c>
      <c r="L19" s="188" t="s">
        <v>31</v>
      </c>
      <c r="M19" s="188" t="s">
        <v>31</v>
      </c>
      <c r="N19" s="323" t="s">
        <v>891</v>
      </c>
      <c r="U19" s="374" t="s">
        <v>891</v>
      </c>
      <c r="V19" s="374" t="s">
        <v>857</v>
      </c>
      <c r="W19" s="375">
        <v>3</v>
      </c>
      <c r="Y19" s="188" t="s">
        <v>275</v>
      </c>
      <c r="Z19" s="188">
        <f>0.001*W19</f>
        <v>3.0000000000000001E-3</v>
      </c>
    </row>
    <row r="20" spans="1:29">
      <c r="A20" s="15" t="s">
        <v>179</v>
      </c>
      <c r="B20" s="188">
        <f t="shared" si="0"/>
        <v>1.4E-2</v>
      </c>
      <c r="C20" s="188" t="s">
        <v>37</v>
      </c>
      <c r="D20" s="188" t="s">
        <v>40</v>
      </c>
      <c r="E20" s="188" t="s">
        <v>29</v>
      </c>
      <c r="F20" s="37" t="s">
        <v>35</v>
      </c>
      <c r="G20" s="188" t="s">
        <v>33</v>
      </c>
      <c r="H20" s="188">
        <v>1</v>
      </c>
      <c r="I20" s="188">
        <f t="shared" si="1"/>
        <v>1.4E-2</v>
      </c>
      <c r="J20" s="188" t="s">
        <v>31</v>
      </c>
      <c r="K20" s="188" t="s">
        <v>31</v>
      </c>
      <c r="L20" s="188" t="s">
        <v>31</v>
      </c>
      <c r="M20" s="188" t="s">
        <v>31</v>
      </c>
      <c r="N20" s="323" t="s">
        <v>892</v>
      </c>
      <c r="U20" s="437" t="s">
        <v>892</v>
      </c>
      <c r="V20" s="374" t="s">
        <v>857</v>
      </c>
      <c r="W20" s="375">
        <v>14</v>
      </c>
      <c r="Y20" s="188" t="s">
        <v>275</v>
      </c>
      <c r="Z20" s="188">
        <f t="shared" ref="Z20:Z22" si="2">0.001*W20</f>
        <v>1.4E-2</v>
      </c>
    </row>
    <row r="21" spans="1:29">
      <c r="A21" s="1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376" t="s">
        <v>1036</v>
      </c>
      <c r="B23" s="188">
        <f t="shared" si="0"/>
        <v>0.02</v>
      </c>
      <c r="C23" s="188" t="s">
        <v>37</v>
      </c>
      <c r="D23" s="188" t="s">
        <v>2</v>
      </c>
      <c r="E23" s="188" t="s">
        <v>29</v>
      </c>
      <c r="F23" s="37" t="s">
        <v>14</v>
      </c>
      <c r="G23" s="188" t="s">
        <v>33</v>
      </c>
      <c r="H23" s="188">
        <v>1</v>
      </c>
      <c r="I23" s="188">
        <f t="shared" si="1"/>
        <v>0.02</v>
      </c>
      <c r="J23" s="188" t="s">
        <v>31</v>
      </c>
      <c r="K23" s="188" t="s">
        <v>31</v>
      </c>
      <c r="L23" s="188" t="s">
        <v>31</v>
      </c>
      <c r="M23" s="188" t="s">
        <v>31</v>
      </c>
      <c r="N23" s="323" t="s">
        <v>1037</v>
      </c>
      <c r="U23" s="374" t="s">
        <v>1037</v>
      </c>
      <c r="V23" s="374" t="s">
        <v>275</v>
      </c>
      <c r="W23" s="375">
        <v>0.02</v>
      </c>
      <c r="Y23" s="188" t="s">
        <v>275</v>
      </c>
      <c r="Z23" s="188">
        <f t="shared" ref="Z23:Z24" si="3">W23</f>
        <v>0.02</v>
      </c>
    </row>
    <row r="24" spans="1:29">
      <c r="A24" s="373" t="s">
        <v>1038</v>
      </c>
      <c r="B24" s="335">
        <f>'2B. Machined casing'!B7</f>
        <v>3.15</v>
      </c>
      <c r="C24" s="188" t="s">
        <v>37</v>
      </c>
      <c r="D24" s="188" t="s">
        <v>2</v>
      </c>
      <c r="E24" s="188" t="s">
        <v>29</v>
      </c>
      <c r="F24" s="37" t="s">
        <v>14</v>
      </c>
      <c r="G24" s="188" t="s">
        <v>33</v>
      </c>
      <c r="H24" s="188">
        <v>1</v>
      </c>
      <c r="I24" s="188">
        <f t="shared" si="1"/>
        <v>3.15</v>
      </c>
      <c r="J24" s="188" t="s">
        <v>31</v>
      </c>
      <c r="K24" s="188" t="s">
        <v>31</v>
      </c>
      <c r="L24" s="188" t="s">
        <v>31</v>
      </c>
      <c r="M24" s="188" t="s">
        <v>31</v>
      </c>
      <c r="N24" s="323" t="s">
        <v>896</v>
      </c>
      <c r="U24" s="374" t="s">
        <v>1039</v>
      </c>
      <c r="V24" s="378" t="s">
        <v>275</v>
      </c>
      <c r="W24" s="375">
        <v>3</v>
      </c>
      <c r="Y24" s="188" t="s">
        <v>275</v>
      </c>
      <c r="Z24" s="188">
        <f t="shared" si="3"/>
        <v>3</v>
      </c>
    </row>
    <row r="25" spans="1:29">
      <c r="A25" s="15" t="s">
        <v>898</v>
      </c>
      <c r="B25" s="188">
        <f t="shared" si="0"/>
        <v>6.0000000000000001E-3</v>
      </c>
      <c r="C25" s="188" t="s">
        <v>37</v>
      </c>
      <c r="D25" s="188" t="s">
        <v>40</v>
      </c>
      <c r="E25" s="188" t="s">
        <v>29</v>
      </c>
      <c r="F25" s="37" t="s">
        <v>82</v>
      </c>
      <c r="G25" s="188" t="s">
        <v>33</v>
      </c>
      <c r="H25" s="188">
        <v>1</v>
      </c>
      <c r="I25" s="188">
        <f t="shared" si="1"/>
        <v>6.0000000000000001E-3</v>
      </c>
      <c r="J25" s="188" t="s">
        <v>31</v>
      </c>
      <c r="K25" s="188" t="s">
        <v>31</v>
      </c>
      <c r="L25" s="188" t="s">
        <v>31</v>
      </c>
      <c r="M25" s="188" t="s">
        <v>31</v>
      </c>
      <c r="N25" s="323" t="s">
        <v>899</v>
      </c>
      <c r="U25" s="379" t="s">
        <v>899</v>
      </c>
      <c r="V25" s="379" t="s">
        <v>857</v>
      </c>
      <c r="W25" s="380">
        <v>6</v>
      </c>
      <c r="Y25" s="188" t="s">
        <v>275</v>
      </c>
      <c r="Z25" s="188">
        <f t="shared" ref="Z25:Z27" si="4">0.001*W25</f>
        <v>6.0000000000000001E-3</v>
      </c>
    </row>
    <row r="26" spans="1:29">
      <c r="A26" s="15" t="s">
        <v>900</v>
      </c>
      <c r="B26" s="188">
        <f t="shared" si="0"/>
        <v>1E-3</v>
      </c>
      <c r="C26" s="188" t="s">
        <v>37</v>
      </c>
      <c r="D26" s="188" t="s">
        <v>40</v>
      </c>
      <c r="E26" s="188" t="s">
        <v>29</v>
      </c>
      <c r="F26" s="37" t="s">
        <v>59</v>
      </c>
      <c r="G26" s="188" t="s">
        <v>33</v>
      </c>
      <c r="H26" s="188">
        <v>1</v>
      </c>
      <c r="I26" s="188">
        <f t="shared" si="1"/>
        <v>1E-3</v>
      </c>
      <c r="J26" s="188" t="s">
        <v>31</v>
      </c>
      <c r="K26" s="188" t="s">
        <v>31</v>
      </c>
      <c r="L26" s="188" t="s">
        <v>31</v>
      </c>
      <c r="M26" s="188" t="s">
        <v>31</v>
      </c>
      <c r="N26" s="188" t="s">
        <v>901</v>
      </c>
      <c r="U26" s="379" t="s">
        <v>901</v>
      </c>
      <c r="V26" s="379" t="s">
        <v>857</v>
      </c>
      <c r="W26" s="380">
        <v>1</v>
      </c>
      <c r="Y26" s="188" t="s">
        <v>275</v>
      </c>
      <c r="Z26" s="188">
        <f t="shared" si="4"/>
        <v>1E-3</v>
      </c>
    </row>
    <row r="27" spans="1:29">
      <c r="A27" s="15" t="s">
        <v>179</v>
      </c>
      <c r="B27" s="188">
        <f t="shared" si="0"/>
        <v>1E-3</v>
      </c>
      <c r="C27" s="188" t="s">
        <v>37</v>
      </c>
      <c r="D27" s="188" t="s">
        <v>40</v>
      </c>
      <c r="E27" s="188" t="s">
        <v>29</v>
      </c>
      <c r="F27" s="37" t="s">
        <v>35</v>
      </c>
      <c r="G27" s="188" t="s">
        <v>33</v>
      </c>
      <c r="H27" s="188">
        <v>1</v>
      </c>
      <c r="I27" s="188">
        <f t="shared" si="1"/>
        <v>1E-3</v>
      </c>
      <c r="J27" s="188" t="s">
        <v>31</v>
      </c>
      <c r="K27" s="188" t="s">
        <v>31</v>
      </c>
      <c r="L27" s="188" t="s">
        <v>31</v>
      </c>
      <c r="M27" s="188" t="s">
        <v>31</v>
      </c>
      <c r="N27" s="188" t="s">
        <v>902</v>
      </c>
      <c r="U27" s="379" t="s">
        <v>902</v>
      </c>
      <c r="V27" s="379" t="s">
        <v>857</v>
      </c>
      <c r="W27" s="380">
        <v>1</v>
      </c>
      <c r="Y27" s="188" t="s">
        <v>275</v>
      </c>
      <c r="Z27" s="188">
        <f t="shared" si="4"/>
        <v>1E-3</v>
      </c>
    </row>
    <row r="28" spans="1:29">
      <c r="A28" s="438" t="s">
        <v>265</v>
      </c>
      <c r="B28" s="188">
        <v>0.7</v>
      </c>
      <c r="C28" s="188" t="s">
        <v>39</v>
      </c>
      <c r="D28" s="188" t="s">
        <v>40</v>
      </c>
      <c r="E28" s="188" t="s">
        <v>29</v>
      </c>
      <c r="F28" s="188" t="s">
        <v>14</v>
      </c>
      <c r="G28" s="188" t="s">
        <v>33</v>
      </c>
      <c r="H28" s="188">
        <v>1</v>
      </c>
      <c r="I28" s="188">
        <f t="shared" si="1"/>
        <v>0.7</v>
      </c>
      <c r="J28" s="188" t="s">
        <v>31</v>
      </c>
      <c r="K28" s="188" t="s">
        <v>31</v>
      </c>
      <c r="L28" s="188" t="s">
        <v>31</v>
      </c>
      <c r="M28" s="188" t="s">
        <v>31</v>
      </c>
      <c r="N28" s="188" t="s">
        <v>1040</v>
      </c>
      <c r="U28" s="374"/>
      <c r="V28" s="378"/>
      <c r="W28" s="375"/>
    </row>
    <row r="29" spans="1:29">
      <c r="A29" s="438" t="s">
        <v>265</v>
      </c>
      <c r="B29" s="188">
        <v>0.2</v>
      </c>
      <c r="C29" s="188" t="s">
        <v>39</v>
      </c>
      <c r="D29" s="188" t="s">
        <v>40</v>
      </c>
      <c r="E29" s="188" t="s">
        <v>29</v>
      </c>
      <c r="F29" s="188" t="s">
        <v>14</v>
      </c>
      <c r="G29" s="188" t="s">
        <v>33</v>
      </c>
      <c r="H29" s="188">
        <v>1</v>
      </c>
      <c r="I29" s="188">
        <f t="shared" si="1"/>
        <v>0.2</v>
      </c>
      <c r="J29" s="188" t="s">
        <v>31</v>
      </c>
      <c r="K29" s="188" t="s">
        <v>31</v>
      </c>
      <c r="L29" s="188" t="s">
        <v>31</v>
      </c>
      <c r="M29" s="188" t="s">
        <v>31</v>
      </c>
      <c r="N29" s="188" t="s">
        <v>904</v>
      </c>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c r="N31" s="188" t="s">
        <v>1041</v>
      </c>
    </row>
    <row r="32" spans="1:29">
      <c r="A32" s="323"/>
      <c r="C32" s="322"/>
      <c r="N32" s="386">
        <f>SUM(B13:B27)-B17+0.141</f>
        <v>4.1410000000000009</v>
      </c>
    </row>
    <row r="33" spans="1:14">
      <c r="A33" s="323"/>
      <c r="C33" s="322"/>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4C0B-2F3A-4082-8DA4-978882B01676}">
  <sheetPr>
    <tabColor theme="8"/>
  </sheetPr>
  <dimension ref="A1:U104"/>
  <sheetViews>
    <sheetView topLeftCell="A53" zoomScale="70" zoomScaleNormal="70"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1">
      <c r="A1" s="188" t="s">
        <v>0</v>
      </c>
      <c r="B1">
        <v>13</v>
      </c>
    </row>
    <row r="2" spans="1:21" ht="15.6">
      <c r="A2" s="119" t="s">
        <v>5</v>
      </c>
      <c r="B2" s="126" t="s">
        <v>1030</v>
      </c>
      <c r="C2" s="74"/>
      <c r="D2" s="73"/>
      <c r="E2" s="73"/>
      <c r="F2" s="73"/>
      <c r="G2" s="73"/>
      <c r="H2" s="73"/>
      <c r="I2" s="73"/>
      <c r="J2" s="73"/>
      <c r="K2" s="73"/>
      <c r="L2" s="73"/>
      <c r="M2" s="73"/>
      <c r="N2" s="73"/>
      <c r="O2" s="73"/>
      <c r="P2" s="73"/>
      <c r="Q2" s="73"/>
      <c r="R2" s="73"/>
    </row>
    <row r="3" spans="1:21">
      <c r="A3" s="118" t="s">
        <v>7</v>
      </c>
      <c r="B3" t="s">
        <v>831</v>
      </c>
      <c r="C3" s="72"/>
    </row>
    <row r="4" spans="1:21">
      <c r="A4" s="118" t="s">
        <v>9</v>
      </c>
      <c r="B4" t="s">
        <v>1042</v>
      </c>
      <c r="C4" s="72"/>
      <c r="U4" s="90"/>
    </row>
    <row r="5" spans="1:21" ht="12.75" customHeight="1">
      <c r="A5" s="118" t="s">
        <v>11</v>
      </c>
      <c r="B5" s="71" t="s">
        <v>841</v>
      </c>
    </row>
    <row r="6" spans="1:21">
      <c r="A6" s="118" t="s">
        <v>13</v>
      </c>
      <c r="B6" t="s">
        <v>14</v>
      </c>
    </row>
    <row r="7" spans="1:21">
      <c r="A7" s="118" t="s">
        <v>15</v>
      </c>
      <c r="B7">
        <f>B12</f>
        <v>1E-3</v>
      </c>
    </row>
    <row r="8" spans="1:21">
      <c r="A8" s="118" t="s">
        <v>16</v>
      </c>
      <c r="B8" t="s">
        <v>17</v>
      </c>
    </row>
    <row r="9" spans="1:21">
      <c r="A9" s="118" t="s">
        <v>18</v>
      </c>
      <c r="B9" t="s">
        <v>853</v>
      </c>
    </row>
    <row r="10" spans="1:21" ht="15.6">
      <c r="A10" s="117" t="s">
        <v>19</v>
      </c>
    </row>
    <row r="11" spans="1:21" ht="15.6">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1030</v>
      </c>
      <c r="B12">
        <v>1E-3</v>
      </c>
      <c r="C12" t="s">
        <v>853</v>
      </c>
      <c r="D12" s="110" t="s">
        <v>2</v>
      </c>
      <c r="E12" t="s">
        <v>29</v>
      </c>
      <c r="F12" s="68" t="s">
        <v>14</v>
      </c>
      <c r="G12" t="s">
        <v>30</v>
      </c>
      <c r="H12">
        <v>1</v>
      </c>
      <c r="I12">
        <f>B12</f>
        <v>1E-3</v>
      </c>
      <c r="J12" t="s">
        <v>31</v>
      </c>
      <c r="K12" t="s">
        <v>31</v>
      </c>
      <c r="L12" t="s">
        <v>31</v>
      </c>
      <c r="M12" t="s">
        <v>31</v>
      </c>
      <c r="O12" s="130"/>
      <c r="P12" s="129"/>
    </row>
    <row r="13" spans="1:21" ht="15.6">
      <c r="A13" s="22" t="s">
        <v>1043</v>
      </c>
      <c r="B13">
        <f>Q13</f>
        <v>5.3333333333333332E-3</v>
      </c>
      <c r="C13" t="s">
        <v>37</v>
      </c>
      <c r="D13" s="110" t="s">
        <v>2</v>
      </c>
      <c r="E13" t="s">
        <v>29</v>
      </c>
      <c r="F13" s="68" t="s">
        <v>14</v>
      </c>
      <c r="G13" t="s">
        <v>33</v>
      </c>
      <c r="H13">
        <v>1</v>
      </c>
      <c r="I13">
        <f t="shared" ref="I13:I14" si="0">B13</f>
        <v>5.3333333333333332E-3</v>
      </c>
      <c r="J13" t="s">
        <v>31</v>
      </c>
      <c r="K13" t="s">
        <v>31</v>
      </c>
      <c r="L13" t="s">
        <v>31</v>
      </c>
      <c r="M13" t="s">
        <v>31</v>
      </c>
      <c r="O13" s="91" t="s">
        <v>1044</v>
      </c>
      <c r="Q13">
        <f>B12/O37</f>
        <v>5.3333333333333332E-3</v>
      </c>
    </row>
    <row r="14" spans="1:21" ht="15.6">
      <c r="A14" s="22" t="s">
        <v>1045</v>
      </c>
      <c r="B14">
        <v>1E-3</v>
      </c>
      <c r="C14" t="s">
        <v>853</v>
      </c>
      <c r="D14" s="110" t="s">
        <v>2</v>
      </c>
      <c r="E14" t="s">
        <v>29</v>
      </c>
      <c r="F14" s="68" t="s">
        <v>14</v>
      </c>
      <c r="G14" t="s">
        <v>33</v>
      </c>
      <c r="H14">
        <v>1</v>
      </c>
      <c r="I14">
        <f t="shared" si="0"/>
        <v>1E-3</v>
      </c>
      <c r="J14" t="s">
        <v>31</v>
      </c>
      <c r="K14" t="s">
        <v>31</v>
      </c>
      <c r="L14" t="s">
        <v>31</v>
      </c>
      <c r="M14" t="s">
        <v>31</v>
      </c>
    </row>
    <row r="15" spans="1:21" ht="15.6">
      <c r="A15" s="116" t="s">
        <v>844</v>
      </c>
      <c r="B15">
        <f>P15</f>
        <v>7.0000000000000001E-3</v>
      </c>
      <c r="C15" t="s">
        <v>37</v>
      </c>
      <c r="D15" s="17" t="s">
        <v>40</v>
      </c>
      <c r="E15" t="s">
        <v>29</v>
      </c>
      <c r="F15" s="68" t="s">
        <v>74</v>
      </c>
      <c r="G15" t="s">
        <v>33</v>
      </c>
      <c r="H15">
        <v>2</v>
      </c>
      <c r="I15">
        <f>LN(B15)</f>
        <v>-4.9618451299268234</v>
      </c>
      <c r="J15" s="125">
        <v>0.11236102527122109</v>
      </c>
      <c r="K15" t="s">
        <v>31</v>
      </c>
      <c r="L15" t="s">
        <v>31</v>
      </c>
      <c r="M15" t="s">
        <v>31</v>
      </c>
      <c r="O15" s="97" t="s">
        <v>275</v>
      </c>
      <c r="P15" s="107">
        <v>7.0000000000000001E-3</v>
      </c>
    </row>
    <row r="16" spans="1:21" ht="15.6">
      <c r="A16" s="116" t="s">
        <v>912</v>
      </c>
      <c r="B16" s="111">
        <f>Q16</f>
        <v>4.0000000000000001E-10</v>
      </c>
      <c r="C16" t="s">
        <v>37</v>
      </c>
      <c r="D16" s="17" t="s">
        <v>40</v>
      </c>
      <c r="E16" t="s">
        <v>29</v>
      </c>
      <c r="F16" s="68" t="s">
        <v>59</v>
      </c>
      <c r="G16" t="s">
        <v>33</v>
      </c>
      <c r="H16">
        <v>2</v>
      </c>
      <c r="I16">
        <f t="shared" ref="I16:I17" si="1">LN(B16)</f>
        <v>-21.639556568820566</v>
      </c>
      <c r="J16" s="125">
        <v>0.11236102527122109</v>
      </c>
      <c r="K16" t="s">
        <v>31</v>
      </c>
      <c r="L16" t="s">
        <v>31</v>
      </c>
      <c r="M16" t="s">
        <v>31</v>
      </c>
      <c r="O16" s="128" t="s">
        <v>862</v>
      </c>
      <c r="P16" s="127">
        <v>4.0000000000000002E-4</v>
      </c>
      <c r="Q16" s="111">
        <f>P16*10^(-6)</f>
        <v>4.0000000000000001E-10</v>
      </c>
      <c r="R16" t="s">
        <v>37</v>
      </c>
    </row>
    <row r="17" spans="1:18" ht="15.6">
      <c r="A17" s="116" t="s">
        <v>76</v>
      </c>
      <c r="B17">
        <f>Q17</f>
        <v>6.9999999999999999E-6</v>
      </c>
      <c r="C17" t="s">
        <v>42</v>
      </c>
      <c r="D17" s="17" t="s">
        <v>40</v>
      </c>
      <c r="E17" t="s">
        <v>29</v>
      </c>
      <c r="F17" s="68" t="s">
        <v>74</v>
      </c>
      <c r="G17" t="s">
        <v>33</v>
      </c>
      <c r="H17">
        <v>2</v>
      </c>
      <c r="I17">
        <f t="shared" si="1"/>
        <v>-11.86960040890896</v>
      </c>
      <c r="J17" s="125">
        <v>0.11236102527122109</v>
      </c>
      <c r="K17" t="s">
        <v>31</v>
      </c>
      <c r="L17" t="s">
        <v>31</v>
      </c>
      <c r="M17" t="s">
        <v>31</v>
      </c>
      <c r="O17" s="124" t="s">
        <v>913</v>
      </c>
      <c r="P17" s="123">
        <v>7.0000000000000001E-3</v>
      </c>
      <c r="Q17">
        <f>P17/1000</f>
        <v>6.9999999999999999E-6</v>
      </c>
      <c r="R17" t="s">
        <v>914</v>
      </c>
    </row>
    <row r="18" spans="1:18" ht="15.6">
      <c r="A18" s="119" t="s">
        <v>5</v>
      </c>
      <c r="B18" s="126" t="s">
        <v>1043</v>
      </c>
      <c r="C18" s="74"/>
      <c r="D18" s="73"/>
      <c r="E18" s="73"/>
      <c r="F18" s="73"/>
      <c r="G18" s="73"/>
      <c r="H18" s="73"/>
      <c r="I18" s="73"/>
      <c r="J18" s="73"/>
      <c r="K18" s="73"/>
      <c r="L18" s="73"/>
      <c r="M18" s="73"/>
      <c r="N18" s="73"/>
      <c r="O18" s="73"/>
      <c r="P18" s="73"/>
      <c r="Q18" s="73"/>
      <c r="R18" s="73"/>
    </row>
    <row r="19" spans="1:18">
      <c r="A19" s="118" t="s">
        <v>7</v>
      </c>
      <c r="B19" t="s">
        <v>831</v>
      </c>
      <c r="C19" s="72"/>
    </row>
    <row r="20" spans="1:18">
      <c r="A20" s="118" t="s">
        <v>9</v>
      </c>
      <c r="B20" t="s">
        <v>1046</v>
      </c>
      <c r="C20" s="72"/>
    </row>
    <row r="21" spans="1:18" ht="10.5" customHeight="1">
      <c r="A21" s="118" t="s">
        <v>11</v>
      </c>
      <c r="B21" s="71" t="s">
        <v>841</v>
      </c>
    </row>
    <row r="22" spans="1:18">
      <c r="A22" s="118" t="s">
        <v>13</v>
      </c>
      <c r="B22" t="s">
        <v>14</v>
      </c>
    </row>
    <row r="23" spans="1:18">
      <c r="A23" s="118" t="s">
        <v>15</v>
      </c>
      <c r="B23">
        <f>B28</f>
        <v>3.0000000000000001E-3</v>
      </c>
    </row>
    <row r="24" spans="1:18">
      <c r="A24" s="118" t="s">
        <v>16</v>
      </c>
      <c r="B24" t="s">
        <v>17</v>
      </c>
    </row>
    <row r="25" spans="1:18">
      <c r="A25" s="118" t="s">
        <v>18</v>
      </c>
      <c r="B25" t="s">
        <v>37</v>
      </c>
    </row>
    <row r="26" spans="1:18" ht="15.6">
      <c r="A26" s="117" t="s">
        <v>19</v>
      </c>
    </row>
    <row r="27" spans="1:18" ht="15.6">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1043</v>
      </c>
      <c r="B28">
        <v>3.0000000000000001E-3</v>
      </c>
      <c r="C28" t="s">
        <v>37</v>
      </c>
      <c r="D28" s="110" t="s">
        <v>2</v>
      </c>
      <c r="E28" t="s">
        <v>29</v>
      </c>
      <c r="F28" s="68" t="s">
        <v>14</v>
      </c>
      <c r="G28" t="s">
        <v>30</v>
      </c>
      <c r="H28">
        <v>1</v>
      </c>
      <c r="I28">
        <f>B28</f>
        <v>3.0000000000000001E-3</v>
      </c>
      <c r="J28" t="s">
        <v>31</v>
      </c>
      <c r="K28" t="s">
        <v>31</v>
      </c>
      <c r="L28" t="s">
        <v>31</v>
      </c>
      <c r="M28" t="s">
        <v>31</v>
      </c>
    </row>
    <row r="29" spans="1:18" ht="15.6">
      <c r="A29" s="116" t="s">
        <v>912</v>
      </c>
      <c r="B29" s="111">
        <f>R29</f>
        <v>3.1000000000000003E-3</v>
      </c>
      <c r="C29" t="s">
        <v>37</v>
      </c>
      <c r="D29" s="17" t="s">
        <v>40</v>
      </c>
      <c r="E29" t="s">
        <v>29</v>
      </c>
      <c r="F29" s="68" t="s">
        <v>59</v>
      </c>
      <c r="G29" t="s">
        <v>33</v>
      </c>
      <c r="H29">
        <v>2</v>
      </c>
      <c r="I29">
        <f t="shared" ref="I29:I31" si="2">LN(B29)</f>
        <v>-5.7763531674910364</v>
      </c>
      <c r="J29" s="125">
        <v>0.11236102527122109</v>
      </c>
      <c r="K29" t="s">
        <v>31</v>
      </c>
      <c r="L29" t="s">
        <v>31</v>
      </c>
      <c r="M29" t="s">
        <v>31</v>
      </c>
      <c r="O29" s="97" t="s">
        <v>857</v>
      </c>
      <c r="P29" s="107">
        <v>3.1</v>
      </c>
      <c r="Q29" t="s">
        <v>275</v>
      </c>
      <c r="R29">
        <f>P29*0.001</f>
        <v>3.1000000000000003E-3</v>
      </c>
    </row>
    <row r="30" spans="1:18" ht="15.6">
      <c r="A30" s="121" t="s">
        <v>265</v>
      </c>
      <c r="B30" s="115">
        <f>P30</f>
        <v>0.01</v>
      </c>
      <c r="C30" t="s">
        <v>39</v>
      </c>
      <c r="D30" s="17" t="s">
        <v>40</v>
      </c>
      <c r="E30" t="s">
        <v>29</v>
      </c>
      <c r="F30" s="68" t="s">
        <v>35</v>
      </c>
      <c r="G30" t="s">
        <v>33</v>
      </c>
      <c r="H30">
        <v>2</v>
      </c>
      <c r="I30">
        <f t="shared" si="2"/>
        <v>-4.6051701859880909</v>
      </c>
      <c r="J30" s="125">
        <v>0.11236102527122109</v>
      </c>
      <c r="K30" t="s">
        <v>31</v>
      </c>
      <c r="L30" t="s">
        <v>31</v>
      </c>
      <c r="M30" t="s">
        <v>31</v>
      </c>
      <c r="O30" s="97" t="s">
        <v>271</v>
      </c>
      <c r="P30" s="107">
        <v>0.01</v>
      </c>
    </row>
    <row r="31" spans="1:18" ht="15.6">
      <c r="A31" s="116" t="s">
        <v>916</v>
      </c>
      <c r="B31">
        <f>R31</f>
        <v>2.0000000000000001E-4</v>
      </c>
      <c r="C31" t="s">
        <v>37</v>
      </c>
      <c r="D31" s="17" t="s">
        <v>43</v>
      </c>
      <c r="E31" t="s">
        <v>917</v>
      </c>
      <c r="F31" s="68" t="s">
        <v>29</v>
      </c>
      <c r="G31" t="s">
        <v>45</v>
      </c>
      <c r="H31">
        <v>2</v>
      </c>
      <c r="I31">
        <f t="shared" si="2"/>
        <v>-8.5171931914162382</v>
      </c>
      <c r="J31" s="125">
        <v>0.11236102527122109</v>
      </c>
      <c r="K31" t="s">
        <v>31</v>
      </c>
      <c r="L31" t="s">
        <v>31</v>
      </c>
      <c r="M31" t="s">
        <v>31</v>
      </c>
      <c r="O31" s="124" t="s">
        <v>857</v>
      </c>
      <c r="P31" s="123">
        <v>0.2</v>
      </c>
      <c r="Q31" t="s">
        <v>275</v>
      </c>
      <c r="R31">
        <f>P31*0.001</f>
        <v>2.0000000000000001E-4</v>
      </c>
    </row>
    <row r="32" spans="1:18" ht="15.6">
      <c r="A32" s="119" t="s">
        <v>5</v>
      </c>
      <c r="B32" s="106" t="s">
        <v>1045</v>
      </c>
      <c r="C32" s="74"/>
      <c r="D32" s="73"/>
      <c r="E32" s="73"/>
      <c r="F32" s="73"/>
      <c r="G32" s="73"/>
      <c r="H32" s="73"/>
      <c r="I32" s="73"/>
      <c r="J32" s="73"/>
      <c r="K32" s="73"/>
      <c r="L32" s="73"/>
      <c r="M32" s="73"/>
      <c r="N32" s="73"/>
      <c r="O32" s="73"/>
      <c r="P32" s="73"/>
      <c r="Q32" s="73"/>
      <c r="R32" s="73"/>
    </row>
    <row r="33" spans="1:20">
      <c r="A33" s="118" t="s">
        <v>7</v>
      </c>
      <c r="B33" t="s">
        <v>831</v>
      </c>
      <c r="C33" s="72"/>
    </row>
    <row r="34" spans="1:20">
      <c r="A34" s="118" t="s">
        <v>9</v>
      </c>
      <c r="B34" t="s">
        <v>1047</v>
      </c>
      <c r="C34" s="72"/>
    </row>
    <row r="35" spans="1:20" ht="15.75" customHeight="1">
      <c r="A35" s="118" t="s">
        <v>11</v>
      </c>
      <c r="B35" s="71" t="s">
        <v>841</v>
      </c>
      <c r="T35" s="90" t="s">
        <v>1048</v>
      </c>
    </row>
    <row r="36" spans="1:20">
      <c r="A36" s="118" t="s">
        <v>13</v>
      </c>
      <c r="B36" t="s">
        <v>14</v>
      </c>
      <c r="O36" t="s">
        <v>1049</v>
      </c>
    </row>
    <row r="37" spans="1:20">
      <c r="A37" s="118" t="s">
        <v>15</v>
      </c>
      <c r="B37">
        <f>B42</f>
        <v>0.03</v>
      </c>
      <c r="O37">
        <f>0.03/0.16</f>
        <v>0.1875</v>
      </c>
      <c r="P37" t="s">
        <v>888</v>
      </c>
    </row>
    <row r="38" spans="1:20">
      <c r="A38" s="118" t="s">
        <v>16</v>
      </c>
      <c r="B38" t="s">
        <v>17</v>
      </c>
    </row>
    <row r="39" spans="1:20">
      <c r="A39" s="118" t="s">
        <v>18</v>
      </c>
      <c r="B39" t="s">
        <v>853</v>
      </c>
    </row>
    <row r="40" spans="1:20" ht="15.6">
      <c r="A40" s="117" t="s">
        <v>19</v>
      </c>
    </row>
    <row r="41" spans="1:20" ht="15.6">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6">
      <c r="A42" s="22" t="s">
        <v>1045</v>
      </c>
      <c r="B42">
        <v>0.03</v>
      </c>
      <c r="C42" t="s">
        <v>853</v>
      </c>
      <c r="D42" s="110" t="s">
        <v>2</v>
      </c>
      <c r="E42" t="s">
        <v>29</v>
      </c>
      <c r="F42" s="68" t="s">
        <v>14</v>
      </c>
      <c r="G42" t="s">
        <v>30</v>
      </c>
      <c r="H42">
        <v>1</v>
      </c>
      <c r="I42">
        <f t="shared" ref="I42:I43" si="3">B42</f>
        <v>0.03</v>
      </c>
      <c r="J42" t="s">
        <v>31</v>
      </c>
      <c r="K42" t="s">
        <v>31</v>
      </c>
      <c r="L42" t="s">
        <v>31</v>
      </c>
      <c r="M42" t="s">
        <v>31</v>
      </c>
    </row>
    <row r="43" spans="1:20" ht="15.6">
      <c r="A43" s="359" t="s">
        <v>1050</v>
      </c>
      <c r="B43" s="122">
        <v>0.16</v>
      </c>
      <c r="C43" t="s">
        <v>37</v>
      </c>
      <c r="D43" s="110" t="s">
        <v>2</v>
      </c>
      <c r="E43" t="s">
        <v>29</v>
      </c>
      <c r="F43" s="68" t="s">
        <v>14</v>
      </c>
      <c r="G43" t="s">
        <v>33</v>
      </c>
      <c r="H43">
        <v>1</v>
      </c>
      <c r="I43">
        <f t="shared" si="3"/>
        <v>0.16</v>
      </c>
      <c r="J43" t="s">
        <v>31</v>
      </c>
      <c r="K43" t="s">
        <v>31</v>
      </c>
      <c r="L43" t="s">
        <v>31</v>
      </c>
      <c r="M43" t="s">
        <v>31</v>
      </c>
      <c r="O43" t="s">
        <v>853</v>
      </c>
      <c r="P43">
        <v>0.03</v>
      </c>
    </row>
    <row r="44" spans="1:20" ht="15.6">
      <c r="A44" s="121" t="s">
        <v>265</v>
      </c>
      <c r="B44" s="115">
        <f>P44</f>
        <v>0.06</v>
      </c>
      <c r="C44" t="s">
        <v>39</v>
      </c>
      <c r="D44" s="17" t="s">
        <v>40</v>
      </c>
      <c r="E44" t="s">
        <v>29</v>
      </c>
      <c r="F44" s="68" t="s">
        <v>35</v>
      </c>
      <c r="G44" t="s">
        <v>33</v>
      </c>
      <c r="H44">
        <v>2</v>
      </c>
      <c r="I44">
        <f t="shared" ref="I44" si="4">LN(B44)</f>
        <v>-2.8134107167600364</v>
      </c>
      <c r="J44" s="125">
        <v>7.2284161474004766E-2</v>
      </c>
      <c r="K44" t="s">
        <v>31</v>
      </c>
      <c r="L44" t="s">
        <v>31</v>
      </c>
      <c r="M44" t="s">
        <v>31</v>
      </c>
      <c r="O44" s="97" t="s">
        <v>271</v>
      </c>
      <c r="P44" s="107">
        <v>0.06</v>
      </c>
    </row>
    <row r="45" spans="1:20" ht="15.6">
      <c r="A45" s="116" t="s">
        <v>491</v>
      </c>
      <c r="B45">
        <f>R45</f>
        <v>1E-3</v>
      </c>
      <c r="C45" t="s">
        <v>37</v>
      </c>
      <c r="D45" s="17" t="s">
        <v>40</v>
      </c>
      <c r="E45" t="s">
        <v>29</v>
      </c>
      <c r="F45" s="68" t="s">
        <v>59</v>
      </c>
      <c r="G45" t="s">
        <v>33</v>
      </c>
      <c r="H45">
        <v>2</v>
      </c>
      <c r="I45">
        <f>LN(B45)</f>
        <v>-6.9077552789821368</v>
      </c>
      <c r="J45" s="125">
        <v>7.2284161474004766E-2</v>
      </c>
      <c r="K45" t="s">
        <v>31</v>
      </c>
      <c r="L45" t="s">
        <v>31</v>
      </c>
      <c r="M45" t="s">
        <v>31</v>
      </c>
      <c r="O45" s="97" t="s">
        <v>857</v>
      </c>
      <c r="P45" s="107">
        <v>1</v>
      </c>
      <c r="Q45" t="s">
        <v>275</v>
      </c>
      <c r="R45">
        <f>P45*0.001</f>
        <v>1E-3</v>
      </c>
    </row>
    <row r="46" spans="1:20" ht="15.6">
      <c r="A46" s="116" t="s">
        <v>921</v>
      </c>
      <c r="B46">
        <f>R46</f>
        <v>2E-3</v>
      </c>
      <c r="C46" t="s">
        <v>37</v>
      </c>
      <c r="D46" s="17" t="s">
        <v>40</v>
      </c>
      <c r="E46" t="s">
        <v>29</v>
      </c>
      <c r="F46" s="68" t="s">
        <v>35</v>
      </c>
      <c r="G46" t="s">
        <v>33</v>
      </c>
      <c r="H46">
        <v>2</v>
      </c>
      <c r="I46">
        <f>LN(B46)</f>
        <v>-6.2146080984221914</v>
      </c>
      <c r="J46" s="125">
        <v>7.2284161474004766E-2</v>
      </c>
      <c r="K46" t="s">
        <v>31</v>
      </c>
      <c r="L46" t="s">
        <v>31</v>
      </c>
      <c r="M46" t="s">
        <v>31</v>
      </c>
      <c r="O46" s="97" t="s">
        <v>857</v>
      </c>
      <c r="P46" s="107">
        <v>2</v>
      </c>
      <c r="Q46" t="s">
        <v>275</v>
      </c>
      <c r="R46">
        <f>P46*0.001</f>
        <v>2E-3</v>
      </c>
    </row>
    <row r="47" spans="1:20" ht="15.6">
      <c r="A47" s="116" t="s">
        <v>844</v>
      </c>
      <c r="B47">
        <f>P47</f>
        <v>2.1</v>
      </c>
      <c r="C47" t="s">
        <v>37</v>
      </c>
      <c r="D47" s="17" t="s">
        <v>40</v>
      </c>
      <c r="E47" t="s">
        <v>29</v>
      </c>
      <c r="F47" s="68" t="s">
        <v>74</v>
      </c>
      <c r="G47" t="s">
        <v>33</v>
      </c>
      <c r="H47">
        <v>2</v>
      </c>
      <c r="I47">
        <f>LN(B47)</f>
        <v>0.74193734472937733</v>
      </c>
      <c r="J47" s="125">
        <v>7.2284161474004766E-2</v>
      </c>
      <c r="K47" t="s">
        <v>31</v>
      </c>
      <c r="L47" t="s">
        <v>31</v>
      </c>
      <c r="M47" t="s">
        <v>31</v>
      </c>
      <c r="O47" s="97" t="s">
        <v>275</v>
      </c>
      <c r="P47" s="107">
        <v>2.1</v>
      </c>
    </row>
    <row r="48" spans="1:20" ht="15.6">
      <c r="A48" s="116" t="s">
        <v>76</v>
      </c>
      <c r="B48">
        <f>R48</f>
        <v>2.1000000000000003E-3</v>
      </c>
      <c r="C48" t="s">
        <v>42</v>
      </c>
      <c r="D48" s="17" t="s">
        <v>40</v>
      </c>
      <c r="E48" t="s">
        <v>29</v>
      </c>
      <c r="F48" s="68" t="s">
        <v>74</v>
      </c>
      <c r="G48" t="s">
        <v>33</v>
      </c>
      <c r="H48">
        <v>2</v>
      </c>
      <c r="I48">
        <f t="shared" ref="I48" si="5">LN(B48)</f>
        <v>-6.1658179342527593</v>
      </c>
      <c r="J48" s="125">
        <v>7.2284161474004766E-2</v>
      </c>
      <c r="K48" t="s">
        <v>31</v>
      </c>
      <c r="L48" t="s">
        <v>31</v>
      </c>
      <c r="M48" t="s">
        <v>31</v>
      </c>
      <c r="O48" s="124" t="s">
        <v>913</v>
      </c>
      <c r="P48" s="123">
        <v>2.1</v>
      </c>
      <c r="Q48" t="s">
        <v>274</v>
      </c>
      <c r="R48">
        <f>P48/1000</f>
        <v>2.1000000000000003E-3</v>
      </c>
    </row>
    <row r="49" spans="1:18" ht="15.6">
      <c r="A49" s="119" t="s">
        <v>5</v>
      </c>
      <c r="B49" s="106" t="s">
        <v>1051</v>
      </c>
      <c r="C49" s="74"/>
      <c r="D49" s="73"/>
      <c r="E49" s="73"/>
      <c r="F49" s="73"/>
      <c r="G49" s="73"/>
      <c r="H49" s="73"/>
      <c r="I49" s="73"/>
      <c r="J49" s="73"/>
      <c r="K49" s="73"/>
      <c r="L49" s="73"/>
      <c r="M49" s="73"/>
      <c r="N49" s="73"/>
      <c r="O49" s="73"/>
      <c r="P49" s="73"/>
      <c r="Q49" s="73"/>
      <c r="R49" s="73"/>
    </row>
    <row r="50" spans="1:18">
      <c r="A50" s="118" t="s">
        <v>7</v>
      </c>
      <c r="B50" t="s">
        <v>831</v>
      </c>
      <c r="C50" s="72"/>
    </row>
    <row r="51" spans="1:18">
      <c r="A51" s="118" t="s">
        <v>9</v>
      </c>
      <c r="B51" t="s">
        <v>1052</v>
      </c>
      <c r="C51" s="72"/>
    </row>
    <row r="52" spans="1:18" ht="10.5" customHeight="1">
      <c r="A52" s="118" t="s">
        <v>11</v>
      </c>
      <c r="B52" s="71" t="s">
        <v>841</v>
      </c>
    </row>
    <row r="53" spans="1:18">
      <c r="A53" s="118" t="s">
        <v>13</v>
      </c>
      <c r="B53" t="s">
        <v>14</v>
      </c>
    </row>
    <row r="54" spans="1:18">
      <c r="A54" s="118" t="s">
        <v>15</v>
      </c>
      <c r="B54" s="122">
        <f>B59</f>
        <v>4.0000000000000001E-3</v>
      </c>
    </row>
    <row r="55" spans="1:18">
      <c r="A55" s="118" t="s">
        <v>16</v>
      </c>
      <c r="B55" t="s">
        <v>17</v>
      </c>
    </row>
    <row r="56" spans="1:18">
      <c r="A56" s="118" t="s">
        <v>18</v>
      </c>
      <c r="B56" t="s">
        <v>37</v>
      </c>
    </row>
    <row r="57" spans="1:18" ht="15.6">
      <c r="A57" s="117" t="s">
        <v>19</v>
      </c>
    </row>
    <row r="58" spans="1:18" ht="15.6">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1051</v>
      </c>
      <c r="B59" s="122">
        <f>0.004</f>
        <v>4.0000000000000001E-3</v>
      </c>
      <c r="C59" t="s">
        <v>37</v>
      </c>
      <c r="D59" s="110" t="s">
        <v>2</v>
      </c>
      <c r="E59" t="s">
        <v>29</v>
      </c>
      <c r="F59" s="68" t="s">
        <v>14</v>
      </c>
      <c r="G59" t="s">
        <v>30</v>
      </c>
      <c r="H59">
        <v>1</v>
      </c>
      <c r="I59">
        <f>B59</f>
        <v>4.0000000000000001E-3</v>
      </c>
      <c r="J59" t="s">
        <v>31</v>
      </c>
      <c r="K59" t="s">
        <v>31</v>
      </c>
      <c r="L59" t="s">
        <v>31</v>
      </c>
      <c r="M59" t="s">
        <v>31</v>
      </c>
      <c r="O59" s="58"/>
      <c r="P59" s="114"/>
    </row>
    <row r="60" spans="1:18" ht="15.6">
      <c r="A60" s="116" t="s">
        <v>924</v>
      </c>
      <c r="B60" s="115">
        <f>2.2*0.001</f>
        <v>2.2000000000000001E-3</v>
      </c>
      <c r="C60" t="s">
        <v>37</v>
      </c>
      <c r="D60" s="17" t="s">
        <v>40</v>
      </c>
      <c r="E60" t="s">
        <v>29</v>
      </c>
      <c r="F60" s="68" t="s">
        <v>59</v>
      </c>
      <c r="G60" t="s">
        <v>33</v>
      </c>
      <c r="H60">
        <v>2</v>
      </c>
      <c r="I60">
        <f>LN(B60)</f>
        <v>-6.1192979186178666</v>
      </c>
      <c r="J60">
        <v>7.2284161474004766E-2</v>
      </c>
      <c r="K60" t="s">
        <v>31</v>
      </c>
      <c r="L60" t="s">
        <v>31</v>
      </c>
      <c r="M60" t="s">
        <v>31</v>
      </c>
      <c r="O60" s="97" t="s">
        <v>857</v>
      </c>
      <c r="P60" s="107">
        <v>5</v>
      </c>
      <c r="Q60" t="s">
        <v>275</v>
      </c>
      <c r="R60">
        <f>P60*0.001</f>
        <v>5.0000000000000001E-3</v>
      </c>
    </row>
    <row r="61" spans="1:18" ht="15.6">
      <c r="A61" s="121" t="s">
        <v>265</v>
      </c>
      <c r="B61" s="115">
        <v>0.25</v>
      </c>
      <c r="C61" t="s">
        <v>39</v>
      </c>
      <c r="D61" s="17" t="s">
        <v>40</v>
      </c>
      <c r="E61" t="s">
        <v>29</v>
      </c>
      <c r="F61" s="68" t="s">
        <v>35</v>
      </c>
      <c r="G61" t="s">
        <v>33</v>
      </c>
      <c r="H61">
        <v>2</v>
      </c>
      <c r="I61">
        <f t="shared" ref="I61:I62" si="6">LN(B61)</f>
        <v>-1.3862943611198906</v>
      </c>
      <c r="J61">
        <v>7.2284161474004766E-2</v>
      </c>
      <c r="K61" t="s">
        <v>31</v>
      </c>
      <c r="L61" t="s">
        <v>31</v>
      </c>
      <c r="M61" t="s">
        <v>31</v>
      </c>
      <c r="O61" s="97" t="s">
        <v>271</v>
      </c>
      <c r="P61" s="107">
        <v>0.02</v>
      </c>
    </row>
    <row r="62" spans="1:18" ht="15.6">
      <c r="A62" s="120" t="s">
        <v>835</v>
      </c>
      <c r="B62">
        <f>0.2*0.001</f>
        <v>2.0000000000000001E-4</v>
      </c>
      <c r="C62" t="s">
        <v>37</v>
      </c>
      <c r="D62" s="110" t="s">
        <v>2</v>
      </c>
      <c r="E62" t="s">
        <v>29</v>
      </c>
      <c r="F62" s="68" t="s">
        <v>74</v>
      </c>
      <c r="G62" t="s">
        <v>33</v>
      </c>
      <c r="H62">
        <v>2</v>
      </c>
      <c r="I62">
        <f t="shared" si="6"/>
        <v>-8.5171931914162382</v>
      </c>
      <c r="J62">
        <v>7.2284161474004766E-2</v>
      </c>
      <c r="K62" t="s">
        <v>31</v>
      </c>
      <c r="L62" t="s">
        <v>31</v>
      </c>
      <c r="M62" t="s">
        <v>31</v>
      </c>
    </row>
    <row r="63" spans="1:18" s="17" customFormat="1" ht="15.6">
      <c r="A63" s="382" t="s">
        <v>5</v>
      </c>
      <c r="B63" s="348" t="s">
        <v>1050</v>
      </c>
      <c r="C63" s="349"/>
      <c r="D63" s="330"/>
      <c r="E63" s="330"/>
      <c r="F63" s="330"/>
      <c r="G63" s="330"/>
      <c r="H63" s="330"/>
      <c r="I63" s="330"/>
      <c r="J63" s="330"/>
      <c r="K63" s="330"/>
      <c r="L63" s="330"/>
      <c r="M63" s="330"/>
      <c r="N63" s="330"/>
      <c r="O63" s="400"/>
      <c r="P63" s="400"/>
      <c r="Q63" s="400"/>
      <c r="R63" s="400"/>
    </row>
    <row r="64" spans="1:18"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1053</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v>0.25</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1050</v>
      </c>
      <c r="B73" s="335">
        <v>0.25</v>
      </c>
      <c r="C73" s="188" t="s">
        <v>37</v>
      </c>
      <c r="D73" s="386" t="s">
        <v>2</v>
      </c>
      <c r="E73" s="188" t="s">
        <v>29</v>
      </c>
      <c r="F73" s="37" t="s">
        <v>14</v>
      </c>
      <c r="G73" s="188" t="s">
        <v>30</v>
      </c>
      <c r="H73" s="188">
        <v>1</v>
      </c>
      <c r="I73" s="335">
        <f>B73</f>
        <v>0.25</v>
      </c>
      <c r="J73" s="188" t="s">
        <v>31</v>
      </c>
      <c r="K73" s="188" t="s">
        <v>31</v>
      </c>
      <c r="L73" s="188" t="s">
        <v>31</v>
      </c>
      <c r="M73" s="188" t="s">
        <v>31</v>
      </c>
      <c r="N73" s="188"/>
      <c r="O73" s="180"/>
      <c r="P73" s="401"/>
    </row>
    <row r="74" spans="1:16" s="17" customFormat="1" ht="15.6">
      <c r="A74" s="116" t="s">
        <v>237</v>
      </c>
      <c r="B74" s="327">
        <v>0.25</v>
      </c>
      <c r="C74" s="188" t="s">
        <v>37</v>
      </c>
      <c r="D74" s="188" t="s">
        <v>40</v>
      </c>
      <c r="E74" s="188" t="s">
        <v>29</v>
      </c>
      <c r="F74" s="37" t="s">
        <v>59</v>
      </c>
      <c r="G74" s="188" t="s">
        <v>33</v>
      </c>
      <c r="H74" s="188">
        <v>1</v>
      </c>
      <c r="I74" s="335">
        <f t="shared" ref="I74:I75" si="7">B74</f>
        <v>0.25</v>
      </c>
      <c r="J74" s="188" t="s">
        <v>31</v>
      </c>
      <c r="K74" s="188" t="s">
        <v>31</v>
      </c>
      <c r="L74" s="188" t="s">
        <v>31</v>
      </c>
      <c r="M74" s="188" t="s">
        <v>31</v>
      </c>
      <c r="N74" s="188"/>
      <c r="O74" s="180"/>
      <c r="P74" s="401"/>
    </row>
    <row r="75" spans="1:16" s="17" customFormat="1" ht="15.6">
      <c r="A75" s="116" t="s">
        <v>926</v>
      </c>
      <c r="B75" s="327">
        <f>B74</f>
        <v>0.25</v>
      </c>
      <c r="C75" s="188" t="s">
        <v>37</v>
      </c>
      <c r="D75" s="188" t="s">
        <v>40</v>
      </c>
      <c r="E75" s="188" t="s">
        <v>29</v>
      </c>
      <c r="F75" s="37" t="s">
        <v>59</v>
      </c>
      <c r="G75" s="188" t="s">
        <v>33</v>
      </c>
      <c r="H75" s="188">
        <v>1</v>
      </c>
      <c r="I75" s="335">
        <f t="shared" si="7"/>
        <v>0.25</v>
      </c>
      <c r="J75" s="188" t="s">
        <v>31</v>
      </c>
      <c r="K75" s="188" t="s">
        <v>31</v>
      </c>
      <c r="L75" s="188" t="s">
        <v>31</v>
      </c>
      <c r="M75" s="188" t="s">
        <v>31</v>
      </c>
      <c r="N75" s="188"/>
      <c r="O75" s="180"/>
      <c r="P75" s="401"/>
    </row>
    <row r="76" spans="1:16" s="400" customFormat="1" ht="15.6">
      <c r="A76" s="347" t="s">
        <v>5</v>
      </c>
      <c r="B76" s="348" t="s">
        <v>1054</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1055</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03">
        <v>1.03</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1054</v>
      </c>
      <c r="B86" s="335">
        <v>1.03</v>
      </c>
      <c r="C86" s="188" t="s">
        <v>37</v>
      </c>
      <c r="D86" s="386" t="s">
        <v>2</v>
      </c>
      <c r="E86" s="188" t="s">
        <v>29</v>
      </c>
      <c r="F86" s="188" t="s">
        <v>14</v>
      </c>
      <c r="G86" s="188" t="s">
        <v>929</v>
      </c>
      <c r="H86" s="188">
        <v>1</v>
      </c>
      <c r="I86" s="335">
        <f>B86</f>
        <v>1.03</v>
      </c>
      <c r="J86" s="188" t="s">
        <v>31</v>
      </c>
      <c r="K86" s="188" t="s">
        <v>31</v>
      </c>
      <c r="L86" s="188" t="s">
        <v>31</v>
      </c>
      <c r="M86" s="188" t="s">
        <v>31</v>
      </c>
      <c r="N86" s="188"/>
      <c r="O86" s="180"/>
      <c r="P86" s="401"/>
    </row>
    <row r="87" spans="1:19" s="17" customFormat="1" ht="15.6">
      <c r="A87" s="84" t="s">
        <v>755</v>
      </c>
      <c r="B87" s="335">
        <v>1.03</v>
      </c>
      <c r="C87" s="188" t="s">
        <v>37</v>
      </c>
      <c r="D87" s="188" t="s">
        <v>40</v>
      </c>
      <c r="E87" s="188" t="s">
        <v>29</v>
      </c>
      <c r="F87" s="37" t="s">
        <v>59</v>
      </c>
      <c r="G87" s="188" t="s">
        <v>33</v>
      </c>
      <c r="H87" s="188">
        <v>1</v>
      </c>
      <c r="I87" s="335">
        <f t="shared" ref="I87:I89" si="8">B87</f>
        <v>1.03</v>
      </c>
      <c r="J87" s="188" t="s">
        <v>31</v>
      </c>
      <c r="K87" s="188" t="s">
        <v>31</v>
      </c>
      <c r="L87" s="188" t="s">
        <v>31</v>
      </c>
      <c r="M87" s="188" t="s">
        <v>31</v>
      </c>
      <c r="N87" s="188"/>
      <c r="O87" s="180"/>
      <c r="P87" s="401"/>
    </row>
    <row r="88" spans="1:19" s="17" customFormat="1" ht="15.6">
      <c r="A88" s="84" t="s">
        <v>930</v>
      </c>
      <c r="B88" s="335">
        <v>1.03</v>
      </c>
      <c r="C88" s="188" t="s">
        <v>37</v>
      </c>
      <c r="D88" s="188" t="s">
        <v>40</v>
      </c>
      <c r="E88" s="188" t="s">
        <v>29</v>
      </c>
      <c r="F88" s="37" t="s">
        <v>59</v>
      </c>
      <c r="G88" s="188" t="s">
        <v>33</v>
      </c>
      <c r="H88" s="188">
        <v>1</v>
      </c>
      <c r="I88" s="335">
        <f t="shared" si="8"/>
        <v>1.03</v>
      </c>
      <c r="J88" s="188" t="s">
        <v>31</v>
      </c>
      <c r="K88" s="188" t="s">
        <v>31</v>
      </c>
      <c r="L88" s="188" t="s">
        <v>31</v>
      </c>
      <c r="M88" s="188" t="s">
        <v>31</v>
      </c>
      <c r="N88" s="188"/>
      <c r="O88" s="180"/>
      <c r="P88" s="401"/>
    </row>
    <row r="89" spans="1:19" s="17" customFormat="1" ht="15.6">
      <c r="A89" s="84" t="s">
        <v>931</v>
      </c>
      <c r="B89" s="335">
        <v>1.03</v>
      </c>
      <c r="C89" s="188" t="s">
        <v>37</v>
      </c>
      <c r="D89" s="188" t="s">
        <v>40</v>
      </c>
      <c r="E89" s="188" t="s">
        <v>29</v>
      </c>
      <c r="F89" s="37" t="s">
        <v>35</v>
      </c>
      <c r="G89" s="188" t="s">
        <v>33</v>
      </c>
      <c r="H89" s="188">
        <v>1</v>
      </c>
      <c r="I89" s="335">
        <f t="shared" si="8"/>
        <v>1.03</v>
      </c>
      <c r="J89" s="188" t="s">
        <v>31</v>
      </c>
      <c r="K89" s="188" t="s">
        <v>31</v>
      </c>
      <c r="L89" s="188" t="s">
        <v>31</v>
      </c>
      <c r="M89" s="188" t="s">
        <v>31</v>
      </c>
      <c r="N89" s="188"/>
      <c r="O89" s="180"/>
      <c r="P89" s="401"/>
    </row>
    <row r="90" spans="1:19" s="17" customFormat="1" ht="15.6">
      <c r="A90" s="347" t="s">
        <v>5</v>
      </c>
      <c r="B90" s="348" t="s">
        <v>1036</v>
      </c>
      <c r="C90" s="349"/>
      <c r="D90" s="40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1056</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188">
        <f>B100</f>
        <v>1.03</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192" t="s">
        <v>1036</v>
      </c>
      <c r="B100" s="192">
        <v>1.03</v>
      </c>
      <c r="C100" s="188" t="s">
        <v>37</v>
      </c>
      <c r="D100" s="188" t="s">
        <v>2</v>
      </c>
      <c r="E100" s="188" t="s">
        <v>29</v>
      </c>
      <c r="F100" s="37" t="s">
        <v>14</v>
      </c>
      <c r="G100" s="188" t="s">
        <v>30</v>
      </c>
      <c r="H100" s="188">
        <v>1</v>
      </c>
      <c r="I100" s="188">
        <f>B100</f>
        <v>1.03</v>
      </c>
      <c r="J100" s="188" t="s">
        <v>31</v>
      </c>
      <c r="K100" s="188" t="s">
        <v>31</v>
      </c>
      <c r="L100" s="188" t="s">
        <v>31</v>
      </c>
      <c r="M100" s="188" t="s">
        <v>31</v>
      </c>
      <c r="N100" s="188"/>
    </row>
    <row r="101" spans="1:14" s="17" customFormat="1" ht="15.6">
      <c r="A101" s="188" t="s">
        <v>1054</v>
      </c>
      <c r="B101" s="192">
        <v>1.03</v>
      </c>
      <c r="C101" s="188" t="s">
        <v>37</v>
      </c>
      <c r="D101" s="188" t="s">
        <v>2</v>
      </c>
      <c r="E101" s="188" t="s">
        <v>29</v>
      </c>
      <c r="F101" s="37" t="s">
        <v>14</v>
      </c>
      <c r="G101" s="188" t="s">
        <v>33</v>
      </c>
      <c r="H101" s="188">
        <v>1</v>
      </c>
      <c r="I101" s="188">
        <f>B101</f>
        <v>1.03</v>
      </c>
      <c r="J101" s="188" t="s">
        <v>31</v>
      </c>
      <c r="K101" s="188" t="s">
        <v>31</v>
      </c>
      <c r="L101" s="188" t="s">
        <v>31</v>
      </c>
      <c r="M101" s="188" t="s">
        <v>31</v>
      </c>
      <c r="N101" s="188"/>
    </row>
    <row r="102" spans="1:14" s="17" customFormat="1" ht="15.6">
      <c r="A102" s="105" t="s">
        <v>933</v>
      </c>
      <c r="B102" s="188">
        <v>1.2E-2</v>
      </c>
      <c r="C102" s="188" t="s">
        <v>37</v>
      </c>
      <c r="D102" s="188" t="s">
        <v>40</v>
      </c>
      <c r="E102" s="188" t="s">
        <v>29</v>
      </c>
      <c r="F102" s="37" t="s">
        <v>82</v>
      </c>
      <c r="G102" s="188" t="s">
        <v>33</v>
      </c>
      <c r="H102" s="188">
        <v>1</v>
      </c>
      <c r="I102" s="188">
        <f t="shared" ref="I102:I104" si="9">B102</f>
        <v>1.2E-2</v>
      </c>
      <c r="J102" s="188" t="s">
        <v>31</v>
      </c>
      <c r="K102" s="188" t="s">
        <v>31</v>
      </c>
      <c r="L102" s="188" t="s">
        <v>31</v>
      </c>
      <c r="M102" s="188" t="s">
        <v>31</v>
      </c>
      <c r="N102" s="188"/>
    </row>
    <row r="103" spans="1:14" s="17" customFormat="1" ht="15.6">
      <c r="A103" s="105" t="s">
        <v>934</v>
      </c>
      <c r="B103" s="188">
        <v>0.28000000000000003</v>
      </c>
      <c r="C103" s="188" t="s">
        <v>853</v>
      </c>
      <c r="D103" s="188" t="s">
        <v>40</v>
      </c>
      <c r="E103" s="188" t="s">
        <v>29</v>
      </c>
      <c r="F103" s="37" t="s">
        <v>59</v>
      </c>
      <c r="G103" s="188" t="s">
        <v>33</v>
      </c>
      <c r="H103" s="188">
        <v>1</v>
      </c>
      <c r="I103" s="188">
        <f t="shared" si="9"/>
        <v>0.28000000000000003</v>
      </c>
      <c r="J103" s="188" t="s">
        <v>31</v>
      </c>
      <c r="K103" s="188" t="s">
        <v>31</v>
      </c>
      <c r="L103" s="188" t="s">
        <v>31</v>
      </c>
      <c r="M103" s="188" t="s">
        <v>31</v>
      </c>
      <c r="N103" s="188"/>
    </row>
    <row r="104" spans="1:14" s="17" customFormat="1" ht="15.6">
      <c r="A104" s="105" t="s">
        <v>935</v>
      </c>
      <c r="B104" s="188">
        <v>1.2E-2</v>
      </c>
      <c r="C104" s="188" t="s">
        <v>37</v>
      </c>
      <c r="D104" s="188" t="s">
        <v>40</v>
      </c>
      <c r="E104" s="188" t="s">
        <v>29</v>
      </c>
      <c r="F104" s="37" t="s">
        <v>59</v>
      </c>
      <c r="G104" s="188" t="s">
        <v>33</v>
      </c>
      <c r="H104" s="188">
        <v>1</v>
      </c>
      <c r="I104" s="188">
        <f t="shared" si="9"/>
        <v>1.2E-2</v>
      </c>
      <c r="J104" s="188" t="s">
        <v>31</v>
      </c>
      <c r="K104" s="188" t="s">
        <v>31</v>
      </c>
      <c r="L104" s="188" t="s">
        <v>31</v>
      </c>
      <c r="M104" s="188" t="s">
        <v>31</v>
      </c>
      <c r="N104" s="188"/>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55D26-DE8E-47A0-93F2-DC85E5381B53}">
  <sheetPr>
    <tabColor theme="8"/>
  </sheetPr>
  <dimension ref="A1:U47"/>
  <sheetViews>
    <sheetView zoomScale="70" zoomScaleNormal="70" workbookViewId="0">
      <selection activeCell="A12" sqref="A12"/>
    </sheetView>
  </sheetViews>
  <sheetFormatPr defaultRowHeight="14.45"/>
  <cols>
    <col min="1" max="1" width="62.140625" customWidth="1"/>
    <col min="2" max="2" width="13.5703125" customWidth="1"/>
    <col min="4" max="4" width="23.42578125" customWidth="1"/>
    <col min="7" max="7" width="12.71093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s="73" customFormat="1">
      <c r="A2" s="347" t="s">
        <v>5</v>
      </c>
      <c r="B2" s="348" t="s">
        <v>1033</v>
      </c>
      <c r="C2" s="330"/>
      <c r="D2" s="330"/>
      <c r="E2" s="330"/>
      <c r="F2" s="330"/>
      <c r="G2" s="330"/>
      <c r="H2" s="330"/>
      <c r="I2" s="330"/>
      <c r="J2" s="330"/>
      <c r="K2" s="330"/>
      <c r="L2" s="330"/>
      <c r="M2" s="330"/>
      <c r="N2" s="330"/>
      <c r="O2" s="330"/>
      <c r="P2" s="330"/>
      <c r="Q2" s="330"/>
      <c r="R2" s="330"/>
      <c r="S2" s="330"/>
      <c r="T2" s="330"/>
      <c r="U2" s="330"/>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402" t="s">
        <v>9</v>
      </c>
      <c r="B4" s="188" t="s">
        <v>1057</v>
      </c>
      <c r="C4" s="322"/>
      <c r="D4" s="188"/>
      <c r="E4" s="188"/>
      <c r="F4" s="188"/>
      <c r="G4" s="188"/>
      <c r="H4" s="188"/>
      <c r="I4" s="188"/>
      <c r="J4" s="188"/>
      <c r="K4" s="188"/>
      <c r="L4" s="188"/>
      <c r="M4" s="188"/>
      <c r="N4" s="188"/>
      <c r="O4" s="188"/>
      <c r="P4" s="188"/>
      <c r="Q4" s="188"/>
      <c r="R4" s="188"/>
      <c r="S4" s="188"/>
      <c r="T4" s="188"/>
      <c r="U4" s="188"/>
    </row>
    <row r="5" spans="1:21" ht="15.7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393">
        <f>B12</f>
        <v>0.06</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321" t="s">
        <v>937</v>
      </c>
      <c r="S8" s="188"/>
      <c r="T8" s="188"/>
      <c r="U8" s="188"/>
    </row>
    <row r="9" spans="1:21">
      <c r="A9" s="323" t="s">
        <v>18</v>
      </c>
      <c r="B9" s="188" t="s">
        <v>37</v>
      </c>
      <c r="C9" s="188"/>
      <c r="D9" s="188"/>
      <c r="E9" s="188"/>
      <c r="F9" s="188"/>
      <c r="G9" s="188"/>
      <c r="H9" s="188"/>
      <c r="I9" s="188"/>
      <c r="J9" s="188"/>
      <c r="K9" s="188"/>
      <c r="L9" s="188"/>
      <c r="M9" s="188"/>
      <c r="N9" s="188"/>
      <c r="O9" s="188"/>
      <c r="P9" s="188"/>
      <c r="Q9" s="188"/>
      <c r="R9" s="188" t="s">
        <v>938</v>
      </c>
      <c r="S9" s="188">
        <v>8900</v>
      </c>
      <c r="T9" s="188" t="s">
        <v>939</v>
      </c>
      <c r="U9" s="188"/>
    </row>
    <row r="10" spans="1:21">
      <c r="A10" s="320" t="s">
        <v>19</v>
      </c>
      <c r="B10" s="188"/>
      <c r="C10" s="188"/>
      <c r="D10" s="188"/>
      <c r="E10" s="188"/>
      <c r="F10" s="188"/>
      <c r="G10" s="188"/>
      <c r="H10" s="188"/>
      <c r="I10" s="188"/>
      <c r="J10" s="188"/>
      <c r="K10" s="188"/>
      <c r="L10" s="188"/>
      <c r="M10" s="188"/>
      <c r="N10" s="188"/>
      <c r="O10" s="188"/>
      <c r="P10" s="188"/>
      <c r="Q10" s="188"/>
      <c r="R10" s="188" t="s">
        <v>940</v>
      </c>
      <c r="S10" s="188">
        <f>5*10^-6</f>
        <v>4.9999999999999996E-6</v>
      </c>
      <c r="T10" s="188" t="s">
        <v>941</v>
      </c>
      <c r="U10" s="188"/>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405" t="s">
        <v>942</v>
      </c>
      <c r="S11" s="406">
        <f>S10*S9</f>
        <v>4.4499999999999998E-2</v>
      </c>
      <c r="T11" s="407" t="s">
        <v>943</v>
      </c>
      <c r="U11" s="188"/>
    </row>
    <row r="12" spans="1:21">
      <c r="A12" s="188" t="s">
        <v>1033</v>
      </c>
      <c r="B12" s="439">
        <v>0.06</v>
      </c>
      <c r="C12" s="188" t="s">
        <v>37</v>
      </c>
      <c r="D12" s="386" t="s">
        <v>2</v>
      </c>
      <c r="E12" s="188" t="s">
        <v>29</v>
      </c>
      <c r="F12" s="188" t="s">
        <v>14</v>
      </c>
      <c r="G12" s="188" t="s">
        <v>30</v>
      </c>
      <c r="H12" s="188">
        <v>1</v>
      </c>
      <c r="I12" s="393">
        <f>B12</f>
        <v>0.06</v>
      </c>
      <c r="J12" s="188" t="s">
        <v>31</v>
      </c>
      <c r="K12" s="188" t="s">
        <v>31</v>
      </c>
      <c r="L12" s="188" t="s">
        <v>31</v>
      </c>
      <c r="M12" s="188" t="s">
        <v>31</v>
      </c>
      <c r="N12" s="188"/>
      <c r="O12" s="379" t="s">
        <v>944</v>
      </c>
      <c r="P12" s="440">
        <f>B12*100</f>
        <v>6</v>
      </c>
      <c r="Q12" s="188"/>
      <c r="R12" s="188"/>
      <c r="S12" s="188"/>
      <c r="T12" s="188"/>
      <c r="U12" s="188"/>
    </row>
    <row r="13" spans="1:21">
      <c r="A13" s="188" t="s">
        <v>1058</v>
      </c>
      <c r="B13" s="439">
        <v>0.06</v>
      </c>
      <c r="C13" s="188" t="s">
        <v>853</v>
      </c>
      <c r="D13" s="386" t="s">
        <v>2</v>
      </c>
      <c r="E13" s="188" t="s">
        <v>29</v>
      </c>
      <c r="F13" s="188" t="s">
        <v>14</v>
      </c>
      <c r="G13" s="188" t="s">
        <v>33</v>
      </c>
      <c r="H13" s="188">
        <v>1</v>
      </c>
      <c r="I13" s="393">
        <f t="shared" ref="I13:I14" si="0">B13</f>
        <v>0.06</v>
      </c>
      <c r="J13" s="188">
        <v>7.2284161474004766E-2</v>
      </c>
      <c r="K13" s="188" t="s">
        <v>31</v>
      </c>
      <c r="L13" s="188" t="s">
        <v>31</v>
      </c>
      <c r="M13" s="188" t="s">
        <v>31</v>
      </c>
      <c r="N13" s="188"/>
      <c r="O13" s="379" t="s">
        <v>944</v>
      </c>
      <c r="P13" s="440">
        <f>B13*100</f>
        <v>6</v>
      </c>
      <c r="Q13" s="188"/>
      <c r="R13" s="188" t="s">
        <v>945</v>
      </c>
      <c r="S13" s="188"/>
      <c r="T13" s="188"/>
      <c r="U13" s="388"/>
    </row>
    <row r="14" spans="1:21">
      <c r="A14" s="192" t="s">
        <v>1051</v>
      </c>
      <c r="B14" s="398">
        <f>T14</f>
        <v>4.45E-3</v>
      </c>
      <c r="C14" s="188" t="s">
        <v>37</v>
      </c>
      <c r="D14" s="386" t="s">
        <v>2</v>
      </c>
      <c r="E14" s="188" t="s">
        <v>29</v>
      </c>
      <c r="F14" s="37" t="s">
        <v>14</v>
      </c>
      <c r="G14" s="188" t="s">
        <v>33</v>
      </c>
      <c r="H14" s="188">
        <v>1</v>
      </c>
      <c r="I14" s="393">
        <f t="shared" si="0"/>
        <v>4.45E-3</v>
      </c>
      <c r="J14" s="188">
        <v>7.2284161474004766E-2</v>
      </c>
      <c r="K14" s="188" t="s">
        <v>31</v>
      </c>
      <c r="L14" s="188" t="s">
        <v>31</v>
      </c>
      <c r="M14" s="188" t="s">
        <v>31</v>
      </c>
      <c r="N14" s="188"/>
      <c r="O14" s="410"/>
      <c r="P14" s="411"/>
      <c r="Q14" s="188"/>
      <c r="R14" s="408">
        <v>0.1</v>
      </c>
      <c r="S14" s="409" t="s">
        <v>855</v>
      </c>
      <c r="T14" s="408">
        <f>R14*S11</f>
        <v>4.45E-3</v>
      </c>
      <c r="U14" s="409" t="s">
        <v>275</v>
      </c>
    </row>
    <row r="15" spans="1:21">
      <c r="A15" s="323" t="s">
        <v>844</v>
      </c>
      <c r="B15" s="188">
        <f>Q15</f>
        <v>0.8</v>
      </c>
      <c r="C15" s="188" t="s">
        <v>37</v>
      </c>
      <c r="D15" s="188" t="s">
        <v>40</v>
      </c>
      <c r="E15" s="188" t="s">
        <v>29</v>
      </c>
      <c r="F15" s="37" t="s">
        <v>74</v>
      </c>
      <c r="G15" s="188" t="s">
        <v>33</v>
      </c>
      <c r="H15" s="188">
        <v>2</v>
      </c>
      <c r="I15" s="188">
        <f t="shared" ref="I15" si="1">LN(B15)</f>
        <v>-0.22314355131420971</v>
      </c>
      <c r="J15" s="188">
        <v>7.2284161474004766E-2</v>
      </c>
      <c r="K15" s="188" t="s">
        <v>31</v>
      </c>
      <c r="L15" s="188" t="s">
        <v>31</v>
      </c>
      <c r="M15" s="188" t="s">
        <v>31</v>
      </c>
      <c r="N15" s="188"/>
      <c r="O15" s="379" t="s">
        <v>275</v>
      </c>
      <c r="P15" s="392">
        <v>0.8</v>
      </c>
      <c r="Q15" s="188">
        <f>P15</f>
        <v>0.8</v>
      </c>
      <c r="R15" s="188"/>
      <c r="S15" s="188"/>
      <c r="T15" s="188"/>
      <c r="U15" s="188"/>
    </row>
    <row r="16" spans="1:21">
      <c r="A16" s="84" t="s">
        <v>924</v>
      </c>
      <c r="B16" s="441">
        <f t="shared" ref="B16:B17" si="2">Q16</f>
        <v>1E-13</v>
      </c>
      <c r="C16" s="188" t="s">
        <v>37</v>
      </c>
      <c r="D16" s="188" t="s">
        <v>40</v>
      </c>
      <c r="E16" s="188" t="s">
        <v>29</v>
      </c>
      <c r="F16" s="37" t="s">
        <v>59</v>
      </c>
      <c r="G16" s="188" t="s">
        <v>33</v>
      </c>
      <c r="H16" s="188">
        <v>2</v>
      </c>
      <c r="I16" s="188">
        <f>LN(B16)</f>
        <v>-29.933606208922594</v>
      </c>
      <c r="J16" s="188">
        <v>7.2284161474004766E-2</v>
      </c>
      <c r="K16" s="188" t="s">
        <v>31</v>
      </c>
      <c r="L16" s="188" t="s">
        <v>31</v>
      </c>
      <c r="M16" s="188" t="s">
        <v>31</v>
      </c>
      <c r="N16" s="188"/>
      <c r="O16" s="394" t="s">
        <v>862</v>
      </c>
      <c r="P16" s="417">
        <v>1E-10</v>
      </c>
      <c r="Q16" s="188">
        <f>0.001*P16</f>
        <v>1E-13</v>
      </c>
      <c r="R16" s="188"/>
      <c r="S16" s="188"/>
      <c r="T16" s="188"/>
      <c r="U16" s="188"/>
    </row>
    <row r="17" spans="1:21">
      <c r="A17" s="84" t="s">
        <v>76</v>
      </c>
      <c r="B17" s="188">
        <f t="shared" si="2"/>
        <v>8.0000000000000004E-4</v>
      </c>
      <c r="C17" s="188" t="s">
        <v>42</v>
      </c>
      <c r="D17" s="188" t="s">
        <v>40</v>
      </c>
      <c r="E17" s="188" t="s">
        <v>29</v>
      </c>
      <c r="F17" s="37" t="s">
        <v>74</v>
      </c>
      <c r="G17" s="188" t="s">
        <v>33</v>
      </c>
      <c r="H17" s="188">
        <v>2</v>
      </c>
      <c r="I17" s="188">
        <f t="shared" ref="I17" si="3">LN(B17)</f>
        <v>-7.1308988302963465</v>
      </c>
      <c r="J17" s="188">
        <v>7.2284161474004766E-2</v>
      </c>
      <c r="K17" s="188" t="s">
        <v>31</v>
      </c>
      <c r="L17" s="188" t="s">
        <v>31</v>
      </c>
      <c r="M17" s="188" t="s">
        <v>31</v>
      </c>
      <c r="N17" s="188"/>
      <c r="O17" s="396" t="s">
        <v>913</v>
      </c>
      <c r="P17" s="397">
        <v>0.8</v>
      </c>
      <c r="Q17" s="188">
        <f>0.001*P17</f>
        <v>8.0000000000000004E-4</v>
      </c>
      <c r="R17" s="188"/>
      <c r="S17" s="188"/>
      <c r="T17" s="188"/>
      <c r="U17" s="188"/>
    </row>
    <row r="18" spans="1:21" s="73" customFormat="1">
      <c r="A18" s="347" t="s">
        <v>5</v>
      </c>
      <c r="B18" s="348" t="s">
        <v>1058</v>
      </c>
      <c r="C18" s="330"/>
      <c r="D18" s="330"/>
      <c r="E18" s="330"/>
      <c r="F18" s="330"/>
      <c r="G18" s="330"/>
      <c r="H18" s="330"/>
      <c r="I18" s="330"/>
      <c r="J18" s="330"/>
      <c r="K18" s="330"/>
      <c r="L18" s="330"/>
      <c r="M18" s="330"/>
      <c r="N18" s="330"/>
      <c r="O18" s="330"/>
      <c r="P18" s="330"/>
      <c r="Q18" s="330"/>
      <c r="R18" s="330"/>
      <c r="S18" s="330"/>
      <c r="T18" s="330"/>
      <c r="U18" s="330"/>
    </row>
    <row r="19" spans="1:21">
      <c r="A19" s="323"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402" t="s">
        <v>9</v>
      </c>
      <c r="B20" s="188" t="s">
        <v>1059</v>
      </c>
      <c r="C20" s="322"/>
      <c r="D20" s="188"/>
      <c r="E20" s="188"/>
      <c r="F20" s="188"/>
      <c r="G20" s="188"/>
      <c r="H20" s="188"/>
      <c r="I20" s="188"/>
      <c r="J20" s="188"/>
      <c r="K20" s="188"/>
      <c r="L20" s="188"/>
      <c r="M20" s="188"/>
      <c r="N20" s="188"/>
      <c r="O20" s="188"/>
      <c r="P20" s="188"/>
      <c r="Q20" s="188"/>
      <c r="R20" s="188"/>
      <c r="S20" s="188"/>
      <c r="T20" s="188"/>
      <c r="U20" s="188"/>
    </row>
    <row r="21" spans="1:21"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row>
    <row r="22" spans="1:21">
      <c r="A22" s="323"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23" t="s">
        <v>15</v>
      </c>
      <c r="B23" s="393">
        <v>0.6</v>
      </c>
      <c r="C23" s="188"/>
      <c r="D23" s="188"/>
      <c r="E23" s="188"/>
      <c r="F23" s="188"/>
      <c r="G23" s="188"/>
      <c r="H23" s="188"/>
      <c r="I23" s="188"/>
      <c r="J23" s="188"/>
      <c r="K23" s="188"/>
      <c r="L23" s="188"/>
      <c r="M23" s="188"/>
      <c r="N23" s="188"/>
      <c r="O23" s="188"/>
      <c r="P23" s="188"/>
      <c r="Q23" s="188"/>
      <c r="R23" s="188"/>
      <c r="S23" s="188"/>
      <c r="T23" s="188"/>
      <c r="U23" s="188"/>
    </row>
    <row r="24" spans="1:21">
      <c r="A24" s="323"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23" t="s">
        <v>18</v>
      </c>
      <c r="B25" s="188" t="s">
        <v>853</v>
      </c>
      <c r="C25" s="188"/>
      <c r="D25" s="188"/>
      <c r="E25" s="188"/>
      <c r="F25" s="188"/>
      <c r="G25" s="188"/>
      <c r="H25" s="188"/>
      <c r="I25" s="188"/>
      <c r="J25" s="188"/>
      <c r="K25" s="188"/>
      <c r="L25" s="188"/>
      <c r="M25" s="188"/>
      <c r="N25" s="188"/>
      <c r="O25" s="188"/>
      <c r="P25" s="188"/>
      <c r="Q25" s="188"/>
      <c r="R25" s="188"/>
      <c r="S25" s="188"/>
      <c r="T25" s="188"/>
      <c r="U25" s="188"/>
    </row>
    <row r="26" spans="1:21">
      <c r="A26" s="320"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row>
    <row r="28" spans="1:21">
      <c r="A28" s="188" t="s">
        <v>1058</v>
      </c>
      <c r="B28" s="393">
        <v>0.06</v>
      </c>
      <c r="C28" s="188" t="s">
        <v>853</v>
      </c>
      <c r="D28" s="386" t="s">
        <v>2</v>
      </c>
      <c r="E28" s="188" t="s">
        <v>29</v>
      </c>
      <c r="F28" s="188" t="s">
        <v>14</v>
      </c>
      <c r="G28" s="188" t="s">
        <v>30</v>
      </c>
      <c r="H28" s="188">
        <v>1</v>
      </c>
      <c r="I28" s="393">
        <f t="shared" ref="I28:I29" si="4">B28</f>
        <v>0.06</v>
      </c>
      <c r="J28" s="188">
        <v>7.2284161474004766E-2</v>
      </c>
      <c r="K28" s="188" t="s">
        <v>31</v>
      </c>
      <c r="L28" s="188" t="s">
        <v>31</v>
      </c>
      <c r="M28" s="188" t="s">
        <v>31</v>
      </c>
      <c r="N28" s="188"/>
      <c r="O28" s="379" t="s">
        <v>944</v>
      </c>
      <c r="P28" s="392">
        <f>B28*100</f>
        <v>6</v>
      </c>
      <c r="Q28" s="188"/>
      <c r="R28" s="188"/>
      <c r="S28" s="188"/>
      <c r="T28" s="188"/>
      <c r="U28" s="188"/>
    </row>
    <row r="29" spans="1:21">
      <c r="A29" s="188" t="s">
        <v>1060</v>
      </c>
      <c r="B29" s="393">
        <v>0.06</v>
      </c>
      <c r="C29" s="188" t="s">
        <v>853</v>
      </c>
      <c r="D29" s="386" t="s">
        <v>2</v>
      </c>
      <c r="E29" s="188" t="s">
        <v>29</v>
      </c>
      <c r="F29" s="188" t="s">
        <v>14</v>
      </c>
      <c r="G29" s="188" t="s">
        <v>33</v>
      </c>
      <c r="H29" s="188">
        <v>1</v>
      </c>
      <c r="I29" s="393">
        <f t="shared" si="4"/>
        <v>0.06</v>
      </c>
      <c r="J29" s="188">
        <v>7.2284161474004766E-2</v>
      </c>
      <c r="K29" s="188" t="s">
        <v>31</v>
      </c>
      <c r="L29" s="188" t="s">
        <v>31</v>
      </c>
      <c r="M29" s="188" t="s">
        <v>31</v>
      </c>
      <c r="N29" s="188"/>
      <c r="O29" s="188"/>
      <c r="P29" s="188"/>
      <c r="Q29" s="188"/>
      <c r="R29" s="188"/>
      <c r="S29" s="188"/>
      <c r="T29" s="188"/>
      <c r="U29" s="188"/>
    </row>
    <row r="30" spans="1:21">
      <c r="A30" s="323" t="s">
        <v>265</v>
      </c>
      <c r="B30" s="327">
        <f>P30</f>
        <v>0.06</v>
      </c>
      <c r="C30" s="188" t="s">
        <v>39</v>
      </c>
      <c r="D30" s="188" t="s">
        <v>40</v>
      </c>
      <c r="E30" s="188" t="s">
        <v>29</v>
      </c>
      <c r="F30" s="37" t="s">
        <v>35</v>
      </c>
      <c r="G30" s="188" t="s">
        <v>33</v>
      </c>
      <c r="H30" s="188">
        <v>2</v>
      </c>
      <c r="I30" s="188">
        <f t="shared" ref="I30:I31" si="5">LN(B30)</f>
        <v>-2.8134107167600364</v>
      </c>
      <c r="J30" s="188">
        <v>7.2284161474004766E-2</v>
      </c>
      <c r="K30" s="188" t="s">
        <v>31</v>
      </c>
      <c r="L30" s="188" t="s">
        <v>31</v>
      </c>
      <c r="M30" s="188" t="s">
        <v>31</v>
      </c>
      <c r="N30" s="188"/>
      <c r="O30" s="379" t="s">
        <v>271</v>
      </c>
      <c r="P30" s="392">
        <v>0.06</v>
      </c>
      <c r="Q30" s="188"/>
      <c r="R30" s="188"/>
      <c r="S30" s="188"/>
      <c r="T30" s="188"/>
      <c r="U30" s="188"/>
    </row>
    <row r="31" spans="1:21">
      <c r="A31" s="84" t="s">
        <v>491</v>
      </c>
      <c r="B31" s="188">
        <f>R31</f>
        <v>1E-3</v>
      </c>
      <c r="C31" s="393" t="s">
        <v>37</v>
      </c>
      <c r="D31" s="188" t="s">
        <v>40</v>
      </c>
      <c r="E31" s="188" t="s">
        <v>29</v>
      </c>
      <c r="F31" s="188" t="s">
        <v>59</v>
      </c>
      <c r="G31" s="188" t="s">
        <v>33</v>
      </c>
      <c r="H31" s="188">
        <v>2</v>
      </c>
      <c r="I31" s="188">
        <f t="shared" si="5"/>
        <v>-6.9077552789821368</v>
      </c>
      <c r="J31" s="188">
        <v>7.2284161474004766E-2</v>
      </c>
      <c r="K31" s="188" t="s">
        <v>31</v>
      </c>
      <c r="L31" s="188" t="s">
        <v>31</v>
      </c>
      <c r="M31" s="188" t="s">
        <v>31</v>
      </c>
      <c r="N31" s="188"/>
      <c r="O31" s="379" t="s">
        <v>857</v>
      </c>
      <c r="P31" s="392">
        <v>1</v>
      </c>
      <c r="Q31" s="188" t="s">
        <v>275</v>
      </c>
      <c r="R31" s="188">
        <f>P31*0.001</f>
        <v>1E-3</v>
      </c>
      <c r="S31" s="188"/>
      <c r="T31" s="188"/>
      <c r="U31" s="188"/>
    </row>
    <row r="32" spans="1:21">
      <c r="A32" s="116" t="s">
        <v>921</v>
      </c>
      <c r="B32" s="188">
        <f t="shared" ref="B32:B33" si="6">R32</f>
        <v>2E-3</v>
      </c>
      <c r="C32" s="188" t="s">
        <v>37</v>
      </c>
      <c r="D32" s="188" t="s">
        <v>40</v>
      </c>
      <c r="E32" s="188" t="s">
        <v>29</v>
      </c>
      <c r="F32" s="37" t="s">
        <v>35</v>
      </c>
      <c r="G32" s="188" t="s">
        <v>33</v>
      </c>
      <c r="H32" s="188">
        <v>2</v>
      </c>
      <c r="I32" s="188">
        <f>LN(B32)</f>
        <v>-6.2146080984221914</v>
      </c>
      <c r="J32" s="188">
        <v>7.2284161474004766E-2</v>
      </c>
      <c r="K32" s="188" t="s">
        <v>31</v>
      </c>
      <c r="L32" s="188" t="s">
        <v>31</v>
      </c>
      <c r="M32" s="188" t="s">
        <v>31</v>
      </c>
      <c r="N32" s="188"/>
      <c r="O32" s="379" t="s">
        <v>857</v>
      </c>
      <c r="P32" s="392">
        <v>2</v>
      </c>
      <c r="Q32" s="188" t="s">
        <v>275</v>
      </c>
      <c r="R32" s="188">
        <f>P32*0.001</f>
        <v>2E-3</v>
      </c>
      <c r="S32" s="188"/>
      <c r="T32" s="188"/>
      <c r="U32" s="188"/>
    </row>
    <row r="33" spans="1:21">
      <c r="A33" s="323" t="s">
        <v>844</v>
      </c>
      <c r="B33" s="188">
        <f t="shared" si="6"/>
        <v>2.1</v>
      </c>
      <c r="C33" s="188" t="s">
        <v>37</v>
      </c>
      <c r="D33" s="188" t="s">
        <v>40</v>
      </c>
      <c r="E33" s="188" t="s">
        <v>29</v>
      </c>
      <c r="F33" s="37" t="s">
        <v>74</v>
      </c>
      <c r="G33" s="188" t="s">
        <v>33</v>
      </c>
      <c r="H33" s="188">
        <v>2</v>
      </c>
      <c r="I33" s="188">
        <f t="shared" ref="I33:I34" si="7">LN(B33)</f>
        <v>0.74193734472937733</v>
      </c>
      <c r="J33" s="188">
        <v>7.2284161474004766E-2</v>
      </c>
      <c r="K33" s="188" t="s">
        <v>31</v>
      </c>
      <c r="L33" s="188" t="s">
        <v>31</v>
      </c>
      <c r="M33" s="188" t="s">
        <v>31</v>
      </c>
      <c r="N33" s="188"/>
      <c r="O33" s="379" t="s">
        <v>275</v>
      </c>
      <c r="P33" s="392">
        <v>2.1</v>
      </c>
      <c r="Q33" s="188" t="s">
        <v>275</v>
      </c>
      <c r="R33" s="188">
        <f>P33</f>
        <v>2.1</v>
      </c>
      <c r="S33" s="188"/>
      <c r="T33" s="188"/>
      <c r="U33" s="188"/>
    </row>
    <row r="34" spans="1:21">
      <c r="A34" s="84" t="s">
        <v>76</v>
      </c>
      <c r="B34" s="188">
        <f>R34</f>
        <v>2.1000000000000003E-3</v>
      </c>
      <c r="C34" s="188" t="s">
        <v>42</v>
      </c>
      <c r="D34" s="188" t="s">
        <v>40</v>
      </c>
      <c r="E34" s="188" t="s">
        <v>29</v>
      </c>
      <c r="F34" s="37" t="s">
        <v>74</v>
      </c>
      <c r="G34" s="188" t="s">
        <v>33</v>
      </c>
      <c r="H34" s="188">
        <v>2</v>
      </c>
      <c r="I34" s="188">
        <f t="shared" si="7"/>
        <v>-6.1658179342527593</v>
      </c>
      <c r="J34" s="188">
        <v>7.2284161474004766E-2</v>
      </c>
      <c r="K34" s="188" t="s">
        <v>31</v>
      </c>
      <c r="L34" s="188" t="s">
        <v>31</v>
      </c>
      <c r="M34" s="188" t="s">
        <v>31</v>
      </c>
      <c r="N34" s="188"/>
      <c r="O34" s="396" t="s">
        <v>913</v>
      </c>
      <c r="P34" s="397">
        <v>2.1</v>
      </c>
      <c r="Q34" s="188" t="s">
        <v>274</v>
      </c>
      <c r="R34" s="188">
        <f>0.001*P34</f>
        <v>2.1000000000000003E-3</v>
      </c>
      <c r="S34" s="188"/>
      <c r="T34" s="188"/>
      <c r="U34" s="188"/>
    </row>
    <row r="35" spans="1:21" s="73" customFormat="1">
      <c r="A35" s="347" t="s">
        <v>5</v>
      </c>
      <c r="B35" s="348" t="s">
        <v>1060</v>
      </c>
      <c r="C35" s="330"/>
      <c r="D35" s="330"/>
      <c r="E35" s="330"/>
      <c r="F35" s="330"/>
      <c r="G35" s="330"/>
      <c r="H35" s="330"/>
      <c r="I35" s="330"/>
      <c r="J35" s="330"/>
      <c r="K35" s="330"/>
      <c r="L35" s="330"/>
      <c r="M35" s="330"/>
      <c r="N35" s="330"/>
      <c r="O35" s="330"/>
      <c r="P35" s="330"/>
      <c r="Q35" s="330"/>
      <c r="R35" s="330"/>
      <c r="S35" s="330"/>
      <c r="T35" s="330"/>
      <c r="U35" s="330"/>
    </row>
    <row r="36" spans="1:21">
      <c r="A36" s="323" t="s">
        <v>7</v>
      </c>
      <c r="B36" s="188" t="s">
        <v>831</v>
      </c>
      <c r="C36" s="322"/>
      <c r="D36" s="188"/>
      <c r="E36" s="188"/>
      <c r="F36" s="188"/>
      <c r="G36" s="188"/>
      <c r="H36" s="188"/>
      <c r="I36" s="188"/>
      <c r="J36" s="188"/>
      <c r="K36" s="188"/>
      <c r="L36" s="188"/>
      <c r="M36" s="188"/>
      <c r="N36" s="188"/>
      <c r="O36" s="188"/>
      <c r="P36" s="188"/>
      <c r="Q36" s="188"/>
      <c r="R36" s="188"/>
      <c r="S36" s="188"/>
      <c r="T36" s="188"/>
      <c r="U36" s="188"/>
    </row>
    <row r="37" spans="1:21">
      <c r="A37" s="402" t="s">
        <v>9</v>
      </c>
      <c r="B37" s="188" t="s">
        <v>1061</v>
      </c>
      <c r="C37" s="322"/>
      <c r="D37" s="188"/>
      <c r="E37" s="188"/>
      <c r="F37" s="188"/>
      <c r="G37" s="188"/>
      <c r="H37" s="188"/>
      <c r="I37" s="188"/>
      <c r="J37" s="188"/>
      <c r="K37" s="188"/>
      <c r="L37" s="188"/>
      <c r="M37" s="188"/>
      <c r="N37" s="188"/>
      <c r="O37" s="188"/>
      <c r="P37" s="188"/>
      <c r="Q37" s="188"/>
      <c r="R37" s="188"/>
      <c r="S37" s="188"/>
      <c r="T37" s="188"/>
      <c r="U37" s="188"/>
    </row>
    <row r="38" spans="1:21"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row>
    <row r="39" spans="1:21">
      <c r="A39" s="323"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23" t="s">
        <v>15</v>
      </c>
      <c r="B40" s="393">
        <f>B45</f>
        <v>0.06</v>
      </c>
      <c r="C40" s="188"/>
      <c r="D40" s="188"/>
      <c r="E40" s="188"/>
      <c r="F40" s="188"/>
      <c r="G40" s="188"/>
      <c r="H40" s="188"/>
      <c r="I40" s="188"/>
      <c r="J40" s="188"/>
      <c r="K40" s="188"/>
      <c r="L40" s="188"/>
      <c r="M40" s="188"/>
      <c r="N40" s="188"/>
      <c r="O40" s="188"/>
      <c r="P40" s="188"/>
      <c r="Q40" s="188"/>
      <c r="R40" s="188"/>
      <c r="S40" s="188"/>
      <c r="T40" s="188"/>
      <c r="U40" s="188"/>
    </row>
    <row r="41" spans="1:21">
      <c r="A41" s="323"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23" t="s">
        <v>18</v>
      </c>
      <c r="B42" s="188" t="s">
        <v>853</v>
      </c>
      <c r="C42" s="188"/>
      <c r="D42" s="188"/>
      <c r="E42" s="188"/>
      <c r="F42" s="188"/>
      <c r="G42" s="188"/>
      <c r="H42" s="188"/>
      <c r="I42" s="188"/>
      <c r="J42" s="188"/>
      <c r="K42" s="188"/>
      <c r="L42" s="188"/>
      <c r="M42" s="188"/>
      <c r="N42" s="188"/>
      <c r="O42" s="188"/>
      <c r="P42" s="188"/>
      <c r="Q42" s="188"/>
      <c r="R42" s="188"/>
      <c r="S42" s="188"/>
      <c r="T42" s="188"/>
      <c r="U42" s="188"/>
    </row>
    <row r="43" spans="1:21">
      <c r="A43" s="320"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row>
    <row r="45" spans="1:21">
      <c r="A45" s="188" t="s">
        <v>1060</v>
      </c>
      <c r="B45" s="393">
        <f>B29</f>
        <v>0.06</v>
      </c>
      <c r="C45" s="188" t="s">
        <v>853</v>
      </c>
      <c r="D45" s="386" t="s">
        <v>2</v>
      </c>
      <c r="E45" s="188" t="s">
        <v>29</v>
      </c>
      <c r="F45" s="188" t="s">
        <v>14</v>
      </c>
      <c r="G45" s="188" t="s">
        <v>30</v>
      </c>
      <c r="H45" s="188">
        <v>1</v>
      </c>
      <c r="I45" s="393">
        <f t="shared" ref="I45:I47" si="8">B45</f>
        <v>0.06</v>
      </c>
      <c r="J45" s="188" t="s">
        <v>31</v>
      </c>
      <c r="K45" s="188" t="s">
        <v>31</v>
      </c>
      <c r="L45" s="188" t="s">
        <v>31</v>
      </c>
      <c r="M45" s="188" t="s">
        <v>31</v>
      </c>
      <c r="N45" s="188"/>
      <c r="O45" s="188"/>
      <c r="P45" s="188"/>
      <c r="Q45" s="188" t="s">
        <v>1062</v>
      </c>
      <c r="R45" s="188"/>
      <c r="S45" s="188"/>
      <c r="T45" s="188"/>
      <c r="U45" s="188"/>
    </row>
    <row r="46" spans="1:21">
      <c r="A46" s="84" t="s">
        <v>950</v>
      </c>
      <c r="B46" s="188">
        <v>0.33</v>
      </c>
      <c r="C46" s="188" t="s">
        <v>37</v>
      </c>
      <c r="D46" s="188" t="s">
        <v>40</v>
      </c>
      <c r="E46" s="188" t="s">
        <v>29</v>
      </c>
      <c r="F46" s="188" t="s">
        <v>82</v>
      </c>
      <c r="G46" s="188" t="s">
        <v>33</v>
      </c>
      <c r="H46" s="188">
        <v>1</v>
      </c>
      <c r="I46" s="393">
        <f t="shared" si="8"/>
        <v>0.33</v>
      </c>
      <c r="J46" s="188" t="s">
        <v>31</v>
      </c>
      <c r="K46" s="188" t="s">
        <v>31</v>
      </c>
      <c r="L46" s="188" t="s">
        <v>31</v>
      </c>
      <c r="M46" s="188" t="s">
        <v>31</v>
      </c>
      <c r="N46" s="188"/>
      <c r="O46" s="188"/>
      <c r="P46" s="188"/>
      <c r="Q46" s="188"/>
      <c r="R46" s="188"/>
      <c r="S46" s="188"/>
      <c r="T46" s="188"/>
      <c r="U46" s="188"/>
    </row>
    <row r="47" spans="1:21">
      <c r="A47" s="84" t="s">
        <v>951</v>
      </c>
      <c r="B47" s="188">
        <v>0.33</v>
      </c>
      <c r="C47" s="188" t="s">
        <v>37</v>
      </c>
      <c r="D47" s="188" t="s">
        <v>40</v>
      </c>
      <c r="E47" s="188" t="s">
        <v>29</v>
      </c>
      <c r="F47" s="188" t="s">
        <v>59</v>
      </c>
      <c r="G47" s="188" t="s">
        <v>33</v>
      </c>
      <c r="H47" s="188">
        <v>1</v>
      </c>
      <c r="I47" s="393">
        <f t="shared" si="8"/>
        <v>0.33</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A7A75-78B7-440C-8FAD-CB7840FED3D1}">
  <sheetPr>
    <tabColor theme="8"/>
  </sheetPr>
  <dimension ref="A1:Y57"/>
  <sheetViews>
    <sheetView zoomScale="70" zoomScaleNormal="7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379"/>
      <c r="S1" s="392"/>
    </row>
    <row r="2" spans="1:21" s="330" customFormat="1">
      <c r="A2" s="347" t="s">
        <v>5</v>
      </c>
      <c r="B2" s="348" t="s">
        <v>1038</v>
      </c>
      <c r="C2" s="348"/>
      <c r="R2" s="379"/>
      <c r="S2" s="392"/>
    </row>
    <row r="3" spans="1:21">
      <c r="A3" s="323" t="s">
        <v>7</v>
      </c>
      <c r="B3" s="188" t="s">
        <v>831</v>
      </c>
      <c r="D3" s="322"/>
      <c r="R3" s="379"/>
      <c r="S3" s="392"/>
    </row>
    <row r="4" spans="1:21">
      <c r="A4" s="402" t="s">
        <v>9</v>
      </c>
      <c r="B4" s="188" t="s">
        <v>1063</v>
      </c>
      <c r="D4" s="322"/>
    </row>
    <row r="5" spans="1:21" ht="15.75" customHeight="1">
      <c r="A5" s="323" t="s">
        <v>11</v>
      </c>
      <c r="B5" s="324" t="s">
        <v>841</v>
      </c>
      <c r="C5" s="324"/>
    </row>
    <row r="6" spans="1:21">
      <c r="A6" s="323" t="s">
        <v>13</v>
      </c>
      <c r="B6" s="188" t="s">
        <v>14</v>
      </c>
    </row>
    <row r="7" spans="1:21">
      <c r="A7" s="323" t="s">
        <v>15</v>
      </c>
      <c r="B7" s="335">
        <f>B12</f>
        <v>3.15</v>
      </c>
      <c r="C7" s="335"/>
    </row>
    <row r="8" spans="1:21">
      <c r="A8" s="323" t="s">
        <v>16</v>
      </c>
      <c r="B8" s="188" t="s">
        <v>17</v>
      </c>
    </row>
    <row r="9" spans="1:21">
      <c r="A9" s="323" t="s">
        <v>18</v>
      </c>
      <c r="B9" s="188" t="str">
        <f>D12</f>
        <v>kilogram</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1038</v>
      </c>
      <c r="B12" s="188">
        <f>B30</f>
        <v>3.15</v>
      </c>
      <c r="D12" s="188" t="s">
        <v>37</v>
      </c>
      <c r="E12" s="386" t="s">
        <v>2</v>
      </c>
      <c r="F12" s="188" t="s">
        <v>29</v>
      </c>
      <c r="G12" s="188" t="s">
        <v>14</v>
      </c>
      <c r="H12" s="188" t="s">
        <v>30</v>
      </c>
      <c r="I12" s="188">
        <v>1</v>
      </c>
      <c r="J12" s="393">
        <f>B12</f>
        <v>3.15</v>
      </c>
      <c r="K12" s="188" t="s">
        <v>31</v>
      </c>
      <c r="L12" s="188" t="s">
        <v>31</v>
      </c>
      <c r="M12" s="188" t="s">
        <v>31</v>
      </c>
      <c r="N12" s="188" t="s">
        <v>31</v>
      </c>
      <c r="P12" s="192"/>
      <c r="Q12" s="399"/>
    </row>
    <row r="13" spans="1:21">
      <c r="A13" s="188" t="s">
        <v>1064</v>
      </c>
      <c r="B13" s="188">
        <v>1</v>
      </c>
      <c r="D13" s="188" t="s">
        <v>18</v>
      </c>
      <c r="E13" s="386" t="s">
        <v>2</v>
      </c>
      <c r="F13" s="188" t="s">
        <v>29</v>
      </c>
      <c r="G13" s="188" t="s">
        <v>14</v>
      </c>
      <c r="H13" s="188" t="s">
        <v>33</v>
      </c>
      <c r="I13" s="188">
        <v>1</v>
      </c>
      <c r="J13" s="393">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L16" s="188" t="s">
        <v>31</v>
      </c>
      <c r="M16" s="188" t="s">
        <v>31</v>
      </c>
      <c r="N16" s="188" t="s">
        <v>31</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L17" s="188" t="s">
        <v>31</v>
      </c>
      <c r="M17" s="188" t="s">
        <v>31</v>
      </c>
      <c r="N17" s="188" t="s">
        <v>31</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L18" s="188" t="s">
        <v>31</v>
      </c>
      <c r="M18" s="188" t="s">
        <v>31</v>
      </c>
      <c r="N18" s="188" t="s">
        <v>31</v>
      </c>
      <c r="P18" s="379" t="s">
        <v>857</v>
      </c>
      <c r="Q18" s="392">
        <v>65</v>
      </c>
      <c r="R18" s="379" t="s">
        <v>275</v>
      </c>
      <c r="S18" s="392">
        <f>0.001*Q18</f>
        <v>6.5000000000000002E-2</v>
      </c>
    </row>
    <row r="19" spans="1:21" s="330" customFormat="1">
      <c r="A19" s="347" t="s">
        <v>5</v>
      </c>
      <c r="B19" s="348" t="str">
        <f>A29</f>
        <v>production of machined casing, mass scaled activities, isolating DCDC converter, SOFC-bat, Long-Term</v>
      </c>
      <c r="C19" s="348"/>
    </row>
    <row r="20" spans="1:21">
      <c r="A20" s="323" t="s">
        <v>7</v>
      </c>
      <c r="B20" s="188" t="s">
        <v>831</v>
      </c>
      <c r="D20" s="322"/>
    </row>
    <row r="21" spans="1:21">
      <c r="A21" s="402" t="s">
        <v>9</v>
      </c>
      <c r="B21" s="188" t="s">
        <v>1065</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1064</v>
      </c>
      <c r="B29" s="188">
        <v>1</v>
      </c>
      <c r="D29" s="188" t="s">
        <v>18</v>
      </c>
      <c r="E29" s="386" t="s">
        <v>2</v>
      </c>
      <c r="F29" s="188" t="s">
        <v>29</v>
      </c>
      <c r="G29" s="188" t="s">
        <v>14</v>
      </c>
      <c r="H29" s="188" t="s">
        <v>30</v>
      </c>
      <c r="I29" s="188">
        <v>1</v>
      </c>
      <c r="J29" s="393">
        <f>B29</f>
        <v>1</v>
      </c>
      <c r="K29" s="188" t="s">
        <v>31</v>
      </c>
      <c r="L29" s="188" t="s">
        <v>31</v>
      </c>
      <c r="M29" s="188" t="s">
        <v>31</v>
      </c>
      <c r="N29" s="188" t="s">
        <v>31</v>
      </c>
    </row>
    <row r="30" spans="1:21">
      <c r="A30" s="188" t="s">
        <v>1066</v>
      </c>
      <c r="B30" s="188">
        <f>Q30</f>
        <v>3.15</v>
      </c>
      <c r="D30" s="188" t="s">
        <v>37</v>
      </c>
      <c r="E30" s="386" t="s">
        <v>2</v>
      </c>
      <c r="F30" s="188" t="s">
        <v>29</v>
      </c>
      <c r="G30" s="188" t="s">
        <v>14</v>
      </c>
      <c r="H30" s="188" t="s">
        <v>33</v>
      </c>
      <c r="I30" s="188">
        <v>2</v>
      </c>
      <c r="J30" s="188">
        <f>LN(B30)</f>
        <v>1.1474024528375417</v>
      </c>
      <c r="K30" s="188">
        <v>0.10307764064044142</v>
      </c>
      <c r="L30" s="188" t="s">
        <v>31</v>
      </c>
      <c r="M30" s="188" t="s">
        <v>31</v>
      </c>
      <c r="N30" s="188" t="s">
        <v>31</v>
      </c>
      <c r="Q30" s="440">
        <v>3.15</v>
      </c>
    </row>
    <row r="31" spans="1:21">
      <c r="A31" s="323" t="s">
        <v>265</v>
      </c>
      <c r="B31" s="327">
        <f>Q31</f>
        <v>0.18</v>
      </c>
      <c r="C31" s="327"/>
      <c r="D31" s="188" t="s">
        <v>39</v>
      </c>
      <c r="E31" s="188" t="s">
        <v>40</v>
      </c>
      <c r="F31" s="188" t="s">
        <v>29</v>
      </c>
      <c r="G31" s="37" t="s">
        <v>59</v>
      </c>
      <c r="H31" s="188" t="s">
        <v>33</v>
      </c>
      <c r="I31" s="188">
        <v>2</v>
      </c>
      <c r="J31" s="188">
        <f t="shared" ref="J31:J37" si="1">LN(B31)</f>
        <v>-1.7147984280919266</v>
      </c>
      <c r="K31" s="188">
        <v>9.6046863561492793E-2</v>
      </c>
      <c r="L31" s="188" t="s">
        <v>31</v>
      </c>
      <c r="M31" s="188" t="s">
        <v>31</v>
      </c>
      <c r="N31" s="188" t="s">
        <v>31</v>
      </c>
      <c r="P31" s="379" t="s">
        <v>271</v>
      </c>
      <c r="Q31" s="392">
        <v>0.18</v>
      </c>
    </row>
    <row r="32" spans="1:21">
      <c r="A32" s="84" t="s">
        <v>954</v>
      </c>
      <c r="B32" s="188">
        <f>S32</f>
        <v>4.2000000000000003E-2</v>
      </c>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P32" s="379" t="s">
        <v>857</v>
      </c>
      <c r="Q32" s="392">
        <v>42</v>
      </c>
      <c r="R32" s="379" t="s">
        <v>275</v>
      </c>
      <c r="S32" s="392">
        <f>0.001*Q32</f>
        <v>4.2000000000000003E-2</v>
      </c>
    </row>
    <row r="33" spans="1:21">
      <c r="A33" s="84" t="s">
        <v>955</v>
      </c>
      <c r="B33" s="188">
        <f>Q33</f>
        <v>0.78</v>
      </c>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P33" s="379" t="s">
        <v>275</v>
      </c>
      <c r="Q33" s="392">
        <v>0.78</v>
      </c>
    </row>
    <row r="34" spans="1:21">
      <c r="A34" s="416" t="s">
        <v>202</v>
      </c>
      <c r="B34" s="188">
        <v>0.159</v>
      </c>
      <c r="C34" s="192" t="s">
        <v>203</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P34" s="379"/>
      <c r="Q34" s="392"/>
    </row>
    <row r="35" spans="1:21">
      <c r="A35" s="192" t="s">
        <v>201</v>
      </c>
      <c r="B35" s="188">
        <f>S35</f>
        <v>0.159</v>
      </c>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P35" s="396" t="s">
        <v>857</v>
      </c>
      <c r="Q35" s="397">
        <v>159</v>
      </c>
      <c r="R35" s="379" t="s">
        <v>275</v>
      </c>
      <c r="S35" s="392">
        <f>0.001*Q35</f>
        <v>0.159</v>
      </c>
    </row>
    <row r="36" spans="1:21">
      <c r="A36" s="84" t="s">
        <v>958</v>
      </c>
      <c r="B36" s="188">
        <f t="shared" ref="B36" si="2">S36</f>
        <v>0.159</v>
      </c>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P36" s="396" t="s">
        <v>857</v>
      </c>
      <c r="Q36" s="397">
        <v>159</v>
      </c>
      <c r="R36" s="379" t="s">
        <v>275</v>
      </c>
      <c r="S36" s="392">
        <f t="shared" ref="S36:S37" si="3">0.001*Q36</f>
        <v>0.159</v>
      </c>
    </row>
    <row r="37" spans="1:21">
      <c r="A37" s="84" t="s">
        <v>787</v>
      </c>
      <c r="B37" s="188">
        <f>S37</f>
        <v>4.2000000000000003E-2</v>
      </c>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P37" s="396" t="s">
        <v>857</v>
      </c>
      <c r="Q37" s="397">
        <v>42</v>
      </c>
      <c r="R37" s="379" t="s">
        <v>275</v>
      </c>
      <c r="S37" s="392">
        <f t="shared" si="3"/>
        <v>4.2000000000000003E-2</v>
      </c>
    </row>
    <row r="38" spans="1:21" s="330" customFormat="1">
      <c r="A38" s="347" t="s">
        <v>5</v>
      </c>
      <c r="B38" s="348" t="s">
        <v>1066</v>
      </c>
      <c r="C38" s="348"/>
    </row>
    <row r="39" spans="1:21">
      <c r="A39" s="323" t="s">
        <v>7</v>
      </c>
      <c r="B39" s="188" t="s">
        <v>831</v>
      </c>
      <c r="D39" s="322"/>
    </row>
    <row r="40" spans="1:21">
      <c r="A40" s="402" t="s">
        <v>9</v>
      </c>
      <c r="B40" s="188" t="s">
        <v>1067</v>
      </c>
      <c r="D40" s="322"/>
    </row>
    <row r="41" spans="1:21" ht="15.75" customHeight="1">
      <c r="A41" s="323" t="s">
        <v>11</v>
      </c>
      <c r="B41" s="324" t="s">
        <v>841</v>
      </c>
      <c r="C41" s="324"/>
    </row>
    <row r="42" spans="1:21">
      <c r="A42" s="323" t="s">
        <v>13</v>
      </c>
      <c r="B42" s="188" t="s">
        <v>14</v>
      </c>
    </row>
    <row r="43" spans="1:21">
      <c r="A43" s="323" t="s">
        <v>15</v>
      </c>
      <c r="B43" s="335">
        <f>B48</f>
        <v>3.15</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1066</v>
      </c>
      <c r="B48" s="188">
        <f>Q48</f>
        <v>3.15</v>
      </c>
      <c r="D48" s="188" t="s">
        <v>37</v>
      </c>
      <c r="E48" s="386" t="s">
        <v>2</v>
      </c>
      <c r="F48" s="188" t="s">
        <v>29</v>
      </c>
      <c r="G48" s="188" t="s">
        <v>14</v>
      </c>
      <c r="H48" s="188" t="s">
        <v>30</v>
      </c>
      <c r="I48" s="188">
        <v>2</v>
      </c>
      <c r="J48" s="188">
        <f>LN(B48)</f>
        <v>1.1474024528375417</v>
      </c>
      <c r="K48" s="188">
        <v>0.10307764064044142</v>
      </c>
      <c r="L48" s="188" t="s">
        <v>31</v>
      </c>
      <c r="M48" s="188" t="s">
        <v>31</v>
      </c>
      <c r="N48" s="188" t="s">
        <v>31</v>
      </c>
      <c r="Q48" s="443">
        <v>3.15</v>
      </c>
    </row>
    <row r="49" spans="1:25">
      <c r="A49" s="84" t="s">
        <v>958</v>
      </c>
      <c r="B49" s="188">
        <f>Q49</f>
        <v>3.34</v>
      </c>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P49" s="379" t="s">
        <v>275</v>
      </c>
      <c r="Q49" s="392">
        <v>3.34</v>
      </c>
    </row>
    <row r="50" spans="1:25">
      <c r="A50" s="27" t="s">
        <v>69</v>
      </c>
      <c r="B50" s="188">
        <f>S50</f>
        <v>0.88772845953002621</v>
      </c>
      <c r="D50" s="188" t="s">
        <v>42</v>
      </c>
      <c r="E50" s="188" t="s">
        <v>40</v>
      </c>
      <c r="F50" s="188" t="s">
        <v>29</v>
      </c>
      <c r="G50" s="188" t="s">
        <v>272</v>
      </c>
      <c r="H50" s="188" t="s">
        <v>33</v>
      </c>
      <c r="I50" s="188">
        <v>2</v>
      </c>
      <c r="J50" s="188">
        <f t="shared" si="4"/>
        <v>-0.11908937157043879</v>
      </c>
      <c r="K50" s="188">
        <v>4.9999999999998969E-3</v>
      </c>
      <c r="L50" s="188" t="s">
        <v>31</v>
      </c>
      <c r="M50" s="188" t="s">
        <v>31</v>
      </c>
      <c r="N50" s="188" t="s">
        <v>31</v>
      </c>
      <c r="P50" s="379" t="s">
        <v>270</v>
      </c>
      <c r="Q50" s="392">
        <v>34</v>
      </c>
      <c r="R50" s="188" t="s">
        <v>274</v>
      </c>
      <c r="S50" s="188">
        <f>Q50/38.3</f>
        <v>0.88772845953002621</v>
      </c>
      <c r="T50" s="444"/>
      <c r="U50" s="445"/>
      <c r="V50" s="445"/>
      <c r="W50" s="445"/>
      <c r="X50" s="445"/>
      <c r="Y50" s="445"/>
    </row>
    <row r="51" spans="1:25">
      <c r="A51" s="323" t="s">
        <v>265</v>
      </c>
      <c r="B51" s="327">
        <f>Q51</f>
        <v>8.19</v>
      </c>
      <c r="C51" s="327"/>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P51" s="379" t="s">
        <v>271</v>
      </c>
      <c r="Q51" s="392">
        <v>8.19</v>
      </c>
    </row>
    <row r="52" spans="1:25">
      <c r="A52" s="84" t="s">
        <v>960</v>
      </c>
      <c r="B52" s="188">
        <f>S52</f>
        <v>6.3E-2</v>
      </c>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P52" s="379" t="s">
        <v>857</v>
      </c>
      <c r="Q52" s="392">
        <v>63</v>
      </c>
      <c r="R52" s="379" t="s">
        <v>275</v>
      </c>
      <c r="S52" s="392">
        <f t="shared" ref="S52:S54" si="5">0.001*Q52</f>
        <v>6.3E-2</v>
      </c>
    </row>
    <row r="53" spans="1:25">
      <c r="A53" s="84" t="s">
        <v>961</v>
      </c>
      <c r="B53" s="188">
        <f>S53</f>
        <v>1.3000000000000002E-3</v>
      </c>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P53" s="394" t="s">
        <v>857</v>
      </c>
      <c r="Q53" s="417">
        <v>1.3</v>
      </c>
      <c r="R53" s="379" t="s">
        <v>275</v>
      </c>
      <c r="S53" s="392">
        <f t="shared" si="5"/>
        <v>1.3000000000000002E-3</v>
      </c>
    </row>
    <row r="54" spans="1:25">
      <c r="A54" s="323" t="s">
        <v>807</v>
      </c>
      <c r="B54" s="188">
        <f>S54</f>
        <v>3.2000000000000002E-3</v>
      </c>
      <c r="D54" s="188" t="s">
        <v>37</v>
      </c>
      <c r="E54" s="188" t="s">
        <v>43</v>
      </c>
      <c r="F54" s="188" t="s">
        <v>44</v>
      </c>
      <c r="G54" s="37" t="s">
        <v>29</v>
      </c>
      <c r="H54" s="188" t="s">
        <v>45</v>
      </c>
      <c r="I54" s="188">
        <v>2</v>
      </c>
      <c r="J54" s="188">
        <f t="shared" si="4"/>
        <v>-5.7446044691764557</v>
      </c>
      <c r="K54" s="188">
        <v>8.9582364335844641E-2</v>
      </c>
      <c r="L54" s="188" t="s">
        <v>31</v>
      </c>
      <c r="M54" s="188" t="s">
        <v>31</v>
      </c>
      <c r="N54" s="188" t="s">
        <v>31</v>
      </c>
      <c r="P54" s="394" t="s">
        <v>857</v>
      </c>
      <c r="Q54" s="417">
        <v>3.2</v>
      </c>
      <c r="R54" s="379" t="s">
        <v>275</v>
      </c>
      <c r="S54" s="392">
        <f t="shared" si="5"/>
        <v>3.2000000000000002E-3</v>
      </c>
    </row>
    <row r="55" spans="1:25">
      <c r="A55" s="416" t="s">
        <v>202</v>
      </c>
      <c r="B55" s="188">
        <f>Q56</f>
        <v>0.19</v>
      </c>
      <c r="C55" s="192" t="s">
        <v>203</v>
      </c>
      <c r="D55" s="188" t="s">
        <v>37</v>
      </c>
      <c r="E55" s="188" t="s">
        <v>40</v>
      </c>
      <c r="F55" s="188" t="s">
        <v>29</v>
      </c>
      <c r="G55" s="37" t="s">
        <v>35</v>
      </c>
      <c r="H55" s="188" t="s">
        <v>33</v>
      </c>
      <c r="I55" s="188">
        <v>2</v>
      </c>
      <c r="J55" s="188">
        <f t="shared" si="4"/>
        <v>-1.6607312068216509</v>
      </c>
      <c r="K55" s="188">
        <v>9.6046863561492793E-2</v>
      </c>
      <c r="L55" s="188" t="s">
        <v>31</v>
      </c>
      <c r="M55" s="188" t="s">
        <v>31</v>
      </c>
      <c r="N55" s="188" t="s">
        <v>31</v>
      </c>
      <c r="P55" s="394"/>
      <c r="Q55" s="417"/>
      <c r="R55" s="410"/>
      <c r="S55" s="411"/>
    </row>
    <row r="56" spans="1:25">
      <c r="A56" s="192" t="s">
        <v>201</v>
      </c>
      <c r="B56" s="188">
        <f>Q56</f>
        <v>0.19</v>
      </c>
      <c r="D56" s="188" t="s">
        <v>37</v>
      </c>
      <c r="E56" s="188" t="s">
        <v>40</v>
      </c>
      <c r="F56" s="188" t="s">
        <v>29</v>
      </c>
      <c r="G56" s="188" t="s">
        <v>35</v>
      </c>
      <c r="H56" s="188" t="s">
        <v>33</v>
      </c>
      <c r="I56" s="188">
        <v>2</v>
      </c>
      <c r="J56" s="188">
        <f t="shared" si="4"/>
        <v>-1.6607312068216509</v>
      </c>
      <c r="K56" s="188">
        <v>4.9999999999998969E-3</v>
      </c>
      <c r="L56" s="188" t="s">
        <v>31</v>
      </c>
      <c r="M56" s="188" t="s">
        <v>31</v>
      </c>
      <c r="N56" s="188" t="s">
        <v>31</v>
      </c>
      <c r="P56" s="396" t="s">
        <v>275</v>
      </c>
      <c r="Q56" s="397">
        <v>0.19</v>
      </c>
    </row>
    <row r="57" spans="1:25">
      <c r="A57" s="84" t="s">
        <v>958</v>
      </c>
      <c r="B57" s="188">
        <f>Q56</f>
        <v>0.19</v>
      </c>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14AA-FD2E-4D80-A475-E35EB3B783A2}">
  <sheetPr>
    <tabColor theme="8"/>
  </sheetPr>
  <dimension ref="A1:U362"/>
  <sheetViews>
    <sheetView zoomScale="85" zoomScaleNormal="85" workbookViewId="0">
      <selection activeCell="F26" sqref="F26"/>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1028</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1068</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0.19</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1028</v>
      </c>
      <c r="B12" s="188">
        <f>'2B. ISOLATING DCDC CONVERTER'!B16</f>
        <v>0.19</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1070</v>
      </c>
      <c r="B13" s="188">
        <v>1</v>
      </c>
      <c r="C13" s="188" t="s">
        <v>18</v>
      </c>
      <c r="D13" s="386" t="s">
        <v>2</v>
      </c>
      <c r="E13" s="188" t="s">
        <v>29</v>
      </c>
      <c r="F13" s="37" t="s">
        <v>14</v>
      </c>
      <c r="G13" s="188" t="s">
        <v>33</v>
      </c>
      <c r="H13" s="188">
        <v>1</v>
      </c>
      <c r="I13" s="393">
        <f>B13</f>
        <v>1</v>
      </c>
      <c r="J13" s="188" t="s">
        <v>31</v>
      </c>
      <c r="K13" s="188" t="s">
        <v>31</v>
      </c>
      <c r="L13" s="188" t="s">
        <v>31</v>
      </c>
      <c r="M13" s="188" t="s">
        <v>31</v>
      </c>
      <c r="N13" s="188"/>
      <c r="O13" s="188"/>
      <c r="P13" s="188"/>
      <c r="Q13" s="188"/>
      <c r="R13" s="188"/>
      <c r="S13" s="188"/>
      <c r="T13" s="188"/>
      <c r="U13" s="188"/>
    </row>
    <row r="14" spans="1:21">
      <c r="A14" s="188" t="s">
        <v>1071</v>
      </c>
      <c r="B14" s="188">
        <v>1</v>
      </c>
      <c r="C14" s="188" t="s">
        <v>18</v>
      </c>
      <c r="D14" s="386" t="s">
        <v>2</v>
      </c>
      <c r="E14" s="188" t="s">
        <v>29</v>
      </c>
      <c r="F14" s="37" t="s">
        <v>14</v>
      </c>
      <c r="G14" s="188" t="s">
        <v>33</v>
      </c>
      <c r="H14" s="188">
        <v>1</v>
      </c>
      <c r="I14" s="393">
        <f>B14</f>
        <v>1</v>
      </c>
      <c r="J14" s="188" t="s">
        <v>31</v>
      </c>
      <c r="K14" s="188" t="s">
        <v>31</v>
      </c>
      <c r="L14" s="188" t="s">
        <v>31</v>
      </c>
      <c r="M14" s="188" t="s">
        <v>31</v>
      </c>
      <c r="N14" s="188"/>
      <c r="O14" s="188"/>
      <c r="P14" s="188"/>
      <c r="Q14" s="188"/>
      <c r="R14" s="188"/>
      <c r="S14" s="188"/>
      <c r="T14" s="188"/>
      <c r="U14" s="188"/>
    </row>
    <row r="15" spans="1:21">
      <c r="A15" s="84" t="s">
        <v>179</v>
      </c>
      <c r="B15" s="370">
        <f>R15</f>
        <v>1.8E-5</v>
      </c>
      <c r="C15" s="188" t="s">
        <v>37</v>
      </c>
      <c r="D15" s="188" t="s">
        <v>40</v>
      </c>
      <c r="E15" s="188" t="s">
        <v>29</v>
      </c>
      <c r="F15" s="37" t="s">
        <v>35</v>
      </c>
      <c r="G15" s="188" t="s">
        <v>33</v>
      </c>
      <c r="H15" s="188">
        <v>2</v>
      </c>
      <c r="I15" s="188">
        <f>LN(B15)</f>
        <v>-10.92513880006811</v>
      </c>
      <c r="J15" s="188">
        <v>2.8722813232690055E-2</v>
      </c>
      <c r="K15" s="188" t="s">
        <v>31</v>
      </c>
      <c r="L15" s="188" t="s">
        <v>31</v>
      </c>
      <c r="M15" s="188" t="s">
        <v>31</v>
      </c>
      <c r="N15" s="188"/>
      <c r="O15" s="361" t="s">
        <v>857</v>
      </c>
      <c r="P15" s="430">
        <v>1.7999999999999999E-2</v>
      </c>
      <c r="Q15" s="188" t="s">
        <v>275</v>
      </c>
      <c r="R15" s="370">
        <f>P15*0.001</f>
        <v>1.8E-5</v>
      </c>
      <c r="S15" s="188"/>
      <c r="T15" s="188"/>
      <c r="U15" s="188"/>
    </row>
    <row r="16" spans="1:21">
      <c r="A16" s="347" t="s">
        <v>5</v>
      </c>
      <c r="B16" s="348" t="s">
        <v>1071</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1072</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1071</v>
      </c>
      <c r="B26" s="188">
        <v>1</v>
      </c>
      <c r="C26" s="188" t="s">
        <v>18</v>
      </c>
      <c r="D26" s="386" t="s">
        <v>2</v>
      </c>
      <c r="E26" s="188" t="s">
        <v>29</v>
      </c>
      <c r="F26" s="37" t="s">
        <v>14</v>
      </c>
      <c r="G26" s="188" t="s">
        <v>30</v>
      </c>
      <c r="H26" s="188">
        <v>1</v>
      </c>
      <c r="I26" s="393">
        <f>B26</f>
        <v>1</v>
      </c>
      <c r="J26" s="188" t="s">
        <v>31</v>
      </c>
      <c r="K26" s="188" t="s">
        <v>31</v>
      </c>
      <c r="L26" s="188" t="s">
        <v>31</v>
      </c>
      <c r="M26" s="188" t="s">
        <v>31</v>
      </c>
      <c r="N26" s="188"/>
      <c r="O26" s="188"/>
      <c r="P26" s="188"/>
      <c r="Q26" s="188"/>
      <c r="R26" s="188"/>
      <c r="S26" s="188"/>
      <c r="T26" s="188"/>
      <c r="U26" s="188"/>
    </row>
    <row r="27" spans="1:21">
      <c r="A27" s="84" t="s">
        <v>966</v>
      </c>
      <c r="B27" s="188">
        <v>0.04</v>
      </c>
      <c r="C27" s="188" t="s">
        <v>37</v>
      </c>
      <c r="D27" s="188" t="s">
        <v>40</v>
      </c>
      <c r="E27" s="188" t="s">
        <v>29</v>
      </c>
      <c r="F27" s="188" t="s">
        <v>59</v>
      </c>
      <c r="G27" s="188" t="s">
        <v>33</v>
      </c>
      <c r="H27" s="188">
        <v>1</v>
      </c>
      <c r="I27" s="393">
        <f>B27</f>
        <v>0.04</v>
      </c>
      <c r="J27" s="188" t="s">
        <v>31</v>
      </c>
      <c r="K27" s="188" t="s">
        <v>31</v>
      </c>
      <c r="L27" s="188" t="s">
        <v>31</v>
      </c>
      <c r="M27" s="188" t="s">
        <v>31</v>
      </c>
      <c r="N27" s="188"/>
      <c r="O27" s="188"/>
      <c r="P27" s="188"/>
      <c r="Q27" s="188"/>
      <c r="R27" s="188"/>
      <c r="S27" s="188"/>
      <c r="T27" s="188"/>
      <c r="U27" s="188"/>
    </row>
    <row r="28" spans="1:21">
      <c r="A28" s="84" t="s">
        <v>967</v>
      </c>
      <c r="B28" s="188">
        <f>R28</f>
        <v>2.9000000000000001E-2</v>
      </c>
      <c r="C28" s="188" t="s">
        <v>37</v>
      </c>
      <c r="D28" s="188" t="s">
        <v>40</v>
      </c>
      <c r="E28" s="188" t="s">
        <v>29</v>
      </c>
      <c r="F28" s="188" t="s">
        <v>59</v>
      </c>
      <c r="G28" s="188" t="s">
        <v>33</v>
      </c>
      <c r="H28" s="188">
        <v>2</v>
      </c>
      <c r="I28" s="188">
        <f>LN(B28)</f>
        <v>-3.5404594489956631</v>
      </c>
      <c r="J28" s="188">
        <v>3.7749172176353707E-2</v>
      </c>
      <c r="K28" s="188" t="s">
        <v>31</v>
      </c>
      <c r="L28" s="188" t="s">
        <v>31</v>
      </c>
      <c r="M28" s="188" t="s">
        <v>31</v>
      </c>
      <c r="N28" s="188"/>
      <c r="O28" s="379" t="s">
        <v>857</v>
      </c>
      <c r="P28" s="392">
        <v>29</v>
      </c>
      <c r="Q28" s="188" t="s">
        <v>275</v>
      </c>
      <c r="R28" s="188">
        <f>P28*0.001</f>
        <v>2.9000000000000001E-2</v>
      </c>
      <c r="S28" s="188"/>
      <c r="T28" s="188"/>
      <c r="U28" s="188"/>
    </row>
    <row r="29" spans="1:21">
      <c r="A29" s="84" t="s">
        <v>968</v>
      </c>
      <c r="B29" s="188">
        <f>R29</f>
        <v>1.8000000000000002E-3</v>
      </c>
      <c r="C29" s="188" t="s">
        <v>37</v>
      </c>
      <c r="D29" s="188" t="s">
        <v>40</v>
      </c>
      <c r="E29" s="188" t="s">
        <v>29</v>
      </c>
      <c r="F29" s="188" t="s">
        <v>59</v>
      </c>
      <c r="G29" s="188" t="s">
        <v>33</v>
      </c>
      <c r="H29" s="188">
        <v>2</v>
      </c>
      <c r="I29" s="188">
        <f>LN(B29)</f>
        <v>-6.3199686140800182</v>
      </c>
      <c r="J29" s="188">
        <v>3.7749172176353707E-2</v>
      </c>
      <c r="K29" s="188" t="s">
        <v>31</v>
      </c>
      <c r="L29" s="188" t="s">
        <v>31</v>
      </c>
      <c r="M29" s="188" t="s">
        <v>31</v>
      </c>
      <c r="N29" s="188"/>
      <c r="O29" s="379" t="s">
        <v>857</v>
      </c>
      <c r="P29" s="392">
        <v>1.8</v>
      </c>
      <c r="Q29" s="188" t="s">
        <v>275</v>
      </c>
      <c r="R29" s="188">
        <f t="shared" ref="R29:R30" si="0">P29*0.001</f>
        <v>1.8000000000000002E-3</v>
      </c>
      <c r="S29" s="188"/>
      <c r="T29" s="188"/>
      <c r="U29" s="188"/>
    </row>
    <row r="30" spans="1:21">
      <c r="A30" s="84" t="s">
        <v>969</v>
      </c>
      <c r="B30" s="188">
        <f>R30</f>
        <v>1.3000000000000001E-2</v>
      </c>
      <c r="C30" s="188" t="s">
        <v>37</v>
      </c>
      <c r="D30" s="188" t="s">
        <v>40</v>
      </c>
      <c r="E30" s="188" t="s">
        <v>29</v>
      </c>
      <c r="F30" s="188" t="s">
        <v>59</v>
      </c>
      <c r="G30" s="188" t="s">
        <v>33</v>
      </c>
      <c r="H30" s="188">
        <v>2</v>
      </c>
      <c r="I30" s="188">
        <f>LN(B30)</f>
        <v>-4.3428059215206005</v>
      </c>
      <c r="J30" s="188">
        <v>3.7749172176353707E-2</v>
      </c>
      <c r="K30" s="188" t="s">
        <v>31</v>
      </c>
      <c r="L30" s="188" t="s">
        <v>31</v>
      </c>
      <c r="M30" s="188" t="s">
        <v>31</v>
      </c>
      <c r="N30" s="188"/>
      <c r="O30" s="379" t="s">
        <v>857</v>
      </c>
      <c r="P30" s="392">
        <v>13</v>
      </c>
      <c r="Q30" s="188" t="s">
        <v>275</v>
      </c>
      <c r="R30" s="188">
        <f t="shared" si="0"/>
        <v>1.3000000000000001E-2</v>
      </c>
      <c r="S30" s="188"/>
      <c r="T30" s="188"/>
      <c r="U30" s="188"/>
    </row>
    <row r="31" spans="1:21">
      <c r="A31" s="347" t="s">
        <v>5</v>
      </c>
      <c r="B31" s="348" t="s">
        <v>1070</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1073</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1070</v>
      </c>
      <c r="B41" s="188">
        <v>1</v>
      </c>
      <c r="C41" s="188" t="s">
        <v>18</v>
      </c>
      <c r="D41" s="386" t="s">
        <v>2</v>
      </c>
      <c r="E41" s="188" t="s">
        <v>29</v>
      </c>
      <c r="F41" s="37" t="s">
        <v>14</v>
      </c>
      <c r="G41" s="188" t="s">
        <v>30</v>
      </c>
      <c r="H41" s="188">
        <v>1</v>
      </c>
      <c r="I41" s="393">
        <f>B41</f>
        <v>1</v>
      </c>
      <c r="J41" s="188" t="s">
        <v>31</v>
      </c>
      <c r="K41" s="188" t="s">
        <v>31</v>
      </c>
      <c r="L41" s="188" t="s">
        <v>31</v>
      </c>
      <c r="M41" s="188" t="s">
        <v>31</v>
      </c>
      <c r="N41" s="188"/>
      <c r="O41" s="188"/>
      <c r="P41" s="188"/>
      <c r="Q41" s="188"/>
      <c r="R41" s="188"/>
      <c r="S41" s="188"/>
      <c r="T41" s="188"/>
      <c r="U41" s="188"/>
    </row>
    <row r="42" spans="1:21">
      <c r="A42" s="84" t="s">
        <v>1074</v>
      </c>
      <c r="B42" s="188">
        <f>B55</f>
        <v>1.4E-2</v>
      </c>
      <c r="C42" s="188" t="s">
        <v>37</v>
      </c>
      <c r="D42" s="386" t="s">
        <v>2</v>
      </c>
      <c r="E42" s="188" t="s">
        <v>29</v>
      </c>
      <c r="F42" s="37" t="s">
        <v>14</v>
      </c>
      <c r="G42" s="188" t="s">
        <v>33</v>
      </c>
      <c r="H42" s="188">
        <v>1</v>
      </c>
      <c r="I42" s="393">
        <f>B42</f>
        <v>1.4E-2</v>
      </c>
      <c r="J42" s="188" t="s">
        <v>31</v>
      </c>
      <c r="K42" s="188" t="s">
        <v>31</v>
      </c>
      <c r="L42" s="188" t="s">
        <v>31</v>
      </c>
      <c r="M42" s="188" t="s">
        <v>31</v>
      </c>
      <c r="N42" s="188"/>
      <c r="O42" s="379" t="s">
        <v>275</v>
      </c>
      <c r="P42" s="392">
        <v>0.02</v>
      </c>
      <c r="Q42" s="188" t="s">
        <v>275</v>
      </c>
      <c r="R42" s="188">
        <f>P42</f>
        <v>0.02</v>
      </c>
      <c r="S42" s="188"/>
      <c r="T42" s="188"/>
      <c r="U42" s="188"/>
    </row>
    <row r="43" spans="1:21">
      <c r="A43" s="84" t="s">
        <v>1075</v>
      </c>
      <c r="B43" s="188">
        <v>1</v>
      </c>
      <c r="C43" s="188" t="s">
        <v>18</v>
      </c>
      <c r="D43" s="386" t="s">
        <v>2</v>
      </c>
      <c r="E43" s="188" t="s">
        <v>29</v>
      </c>
      <c r="F43" s="37" t="s">
        <v>14</v>
      </c>
      <c r="G43" s="188" t="s">
        <v>33</v>
      </c>
      <c r="H43" s="188">
        <v>1</v>
      </c>
      <c r="I43" s="393">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1074</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1076</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1.4E-2</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1074</v>
      </c>
      <c r="B55" s="188">
        <f>P55</f>
        <v>1.4E-2</v>
      </c>
      <c r="C55" s="188" t="s">
        <v>37</v>
      </c>
      <c r="D55" s="386" t="s">
        <v>2</v>
      </c>
      <c r="E55" s="188" t="s">
        <v>29</v>
      </c>
      <c r="F55" s="37" t="s">
        <v>14</v>
      </c>
      <c r="G55" s="188" t="s">
        <v>30</v>
      </c>
      <c r="H55" s="188">
        <v>1</v>
      </c>
      <c r="I55" s="393">
        <f>B55</f>
        <v>1.4E-2</v>
      </c>
      <c r="J55" s="188" t="s">
        <v>31</v>
      </c>
      <c r="K55" s="188" t="s">
        <v>31</v>
      </c>
      <c r="L55" s="188" t="s">
        <v>31</v>
      </c>
      <c r="M55" s="188" t="s">
        <v>31</v>
      </c>
      <c r="N55" s="188"/>
      <c r="O55" s="379" t="s">
        <v>275</v>
      </c>
      <c r="P55" s="392">
        <v>1.4E-2</v>
      </c>
      <c r="Q55" s="188" t="s">
        <v>275</v>
      </c>
      <c r="R55" s="188">
        <f>P55</f>
        <v>1.4E-2</v>
      </c>
      <c r="S55" s="188"/>
      <c r="T55" s="188"/>
      <c r="U55" s="188"/>
    </row>
    <row r="56" spans="1:21">
      <c r="A56" s="84" t="s">
        <v>179</v>
      </c>
      <c r="B56" s="370">
        <f>R56</f>
        <v>1.4E-2</v>
      </c>
      <c r="C56" s="188" t="s">
        <v>37</v>
      </c>
      <c r="D56" s="188" t="s">
        <v>40</v>
      </c>
      <c r="E56" s="188" t="s">
        <v>29</v>
      </c>
      <c r="F56" s="37" t="s">
        <v>35</v>
      </c>
      <c r="G56" s="188" t="s">
        <v>33</v>
      </c>
      <c r="H56" s="188">
        <v>2</v>
      </c>
      <c r="I56" s="188">
        <f>LN(B56)</f>
        <v>-4.2686979493668789</v>
      </c>
      <c r="J56" s="188">
        <v>2.8722813232690055E-2</v>
      </c>
      <c r="K56" s="188" t="s">
        <v>31</v>
      </c>
      <c r="L56" s="188" t="s">
        <v>31</v>
      </c>
      <c r="M56" s="188" t="s">
        <v>31</v>
      </c>
      <c r="N56" s="188"/>
      <c r="O56" s="361" t="s">
        <v>275</v>
      </c>
      <c r="P56" s="392">
        <v>1.4E-2</v>
      </c>
      <c r="Q56" s="188" t="s">
        <v>275</v>
      </c>
      <c r="R56" s="370">
        <f>P56</f>
        <v>1.4E-2</v>
      </c>
      <c r="S56" s="188"/>
      <c r="T56" s="188"/>
      <c r="U56" s="188"/>
    </row>
    <row r="57" spans="1:21">
      <c r="A57" s="323" t="s">
        <v>265</v>
      </c>
      <c r="B57" s="327">
        <f>R57</f>
        <v>4.0000000000000001E-3</v>
      </c>
      <c r="C57" s="188" t="s">
        <v>39</v>
      </c>
      <c r="D57" s="188" t="s">
        <v>40</v>
      </c>
      <c r="E57" s="188" t="s">
        <v>29</v>
      </c>
      <c r="F57" s="37" t="s">
        <v>35</v>
      </c>
      <c r="G57" s="188" t="s">
        <v>33</v>
      </c>
      <c r="H57" s="188">
        <v>2</v>
      </c>
      <c r="I57" s="188">
        <f t="shared" ref="I57" si="2">LN(B57)</f>
        <v>-5.521460917862246</v>
      </c>
      <c r="J57" s="188">
        <v>7.2284161474004766E-2</v>
      </c>
      <c r="K57" s="188" t="s">
        <v>31</v>
      </c>
      <c r="L57" s="188" t="s">
        <v>31</v>
      </c>
      <c r="M57" s="188" t="s">
        <v>31</v>
      </c>
      <c r="N57" s="188"/>
      <c r="O57" s="361" t="s">
        <v>271</v>
      </c>
      <c r="P57" s="392">
        <v>4.0000000000000001E-3</v>
      </c>
      <c r="Q57" s="188" t="s">
        <v>271</v>
      </c>
      <c r="R57" s="327">
        <f>P57</f>
        <v>4.0000000000000001E-3</v>
      </c>
      <c r="S57" s="188"/>
      <c r="T57" s="188"/>
      <c r="U57" s="188"/>
    </row>
    <row r="58" spans="1:21">
      <c r="A58" s="347" t="s">
        <v>5</v>
      </c>
      <c r="B58" s="126" t="s">
        <v>1075</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1077</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1075</v>
      </c>
      <c r="B68" s="188">
        <v>1</v>
      </c>
      <c r="C68" s="188" t="s">
        <v>18</v>
      </c>
      <c r="D68" s="386" t="s">
        <v>2</v>
      </c>
      <c r="E68" s="188" t="s">
        <v>29</v>
      </c>
      <c r="F68" s="37" t="s">
        <v>14</v>
      </c>
      <c r="G68" s="188" t="s">
        <v>30</v>
      </c>
      <c r="H68" s="188">
        <v>1</v>
      </c>
      <c r="I68" s="393">
        <f t="shared" ref="I68:I70" si="3">B68</f>
        <v>1</v>
      </c>
      <c r="J68" s="188" t="s">
        <v>31</v>
      </c>
      <c r="K68" s="188" t="s">
        <v>31</v>
      </c>
      <c r="L68" s="188" t="s">
        <v>31</v>
      </c>
      <c r="M68" s="188" t="s">
        <v>31</v>
      </c>
      <c r="N68" s="188"/>
      <c r="O68" s="188"/>
      <c r="P68" s="188"/>
      <c r="Q68" s="188"/>
      <c r="R68" s="188"/>
      <c r="S68" s="188"/>
      <c r="T68" s="188"/>
      <c r="U68" s="188"/>
    </row>
    <row r="69" spans="1:21">
      <c r="A69" s="84" t="s">
        <v>1078</v>
      </c>
      <c r="B69" s="370">
        <f>B77</f>
        <v>0.01</v>
      </c>
      <c r="C69" s="188" t="s">
        <v>37</v>
      </c>
      <c r="D69" s="386" t="s">
        <v>2</v>
      </c>
      <c r="E69" s="188" t="s">
        <v>29</v>
      </c>
      <c r="F69" s="37" t="s">
        <v>14</v>
      </c>
      <c r="G69" s="188" t="s">
        <v>33</v>
      </c>
      <c r="H69" s="188">
        <v>1</v>
      </c>
      <c r="I69" s="393">
        <f t="shared" si="3"/>
        <v>0.01</v>
      </c>
      <c r="J69" s="188" t="s">
        <v>31</v>
      </c>
      <c r="K69" s="188" t="s">
        <v>31</v>
      </c>
      <c r="L69" s="188" t="s">
        <v>31</v>
      </c>
      <c r="M69" s="188" t="s">
        <v>31</v>
      </c>
      <c r="N69" s="188"/>
      <c r="O69" s="361"/>
      <c r="P69" s="372"/>
      <c r="Q69" s="188" t="s">
        <v>275</v>
      </c>
      <c r="R69" s="370">
        <v>0.01</v>
      </c>
      <c r="S69" s="188"/>
      <c r="T69" s="188"/>
      <c r="U69" s="188"/>
    </row>
    <row r="70" spans="1:21">
      <c r="A70" s="84" t="s">
        <v>1079</v>
      </c>
      <c r="B70" s="327">
        <v>1</v>
      </c>
      <c r="C70" s="188" t="s">
        <v>18</v>
      </c>
      <c r="D70" s="386" t="s">
        <v>2</v>
      </c>
      <c r="E70" s="188" t="s">
        <v>29</v>
      </c>
      <c r="F70" s="37" t="s">
        <v>14</v>
      </c>
      <c r="G70" s="188" t="s">
        <v>33</v>
      </c>
      <c r="H70" s="188">
        <v>1</v>
      </c>
      <c r="I70" s="393">
        <f t="shared" si="3"/>
        <v>1</v>
      </c>
      <c r="J70" s="188" t="s">
        <v>31</v>
      </c>
      <c r="K70" s="188" t="s">
        <v>31</v>
      </c>
      <c r="L70" s="188" t="s">
        <v>31</v>
      </c>
      <c r="M70" s="188" t="s">
        <v>31</v>
      </c>
      <c r="N70" s="188"/>
      <c r="O70" s="361"/>
      <c r="P70" s="418"/>
      <c r="Q70" s="188"/>
      <c r="R70" s="327"/>
      <c r="S70" s="188"/>
      <c r="T70" s="188"/>
      <c r="U70" s="188"/>
    </row>
    <row r="71" spans="1:21">
      <c r="A71" s="323" t="s">
        <v>265</v>
      </c>
      <c r="B71" s="327">
        <f>R71</f>
        <v>0.05</v>
      </c>
      <c r="C71" s="188" t="s">
        <v>39</v>
      </c>
      <c r="D71" s="188" t="s">
        <v>40</v>
      </c>
      <c r="E71" s="188" t="s">
        <v>29</v>
      </c>
      <c r="F71" s="37" t="s">
        <v>35</v>
      </c>
      <c r="G71" s="188" t="s">
        <v>33</v>
      </c>
      <c r="H71" s="188">
        <v>2</v>
      </c>
      <c r="I71" s="188">
        <f t="shared" ref="I71" si="4">LN(B71)</f>
        <v>-2.9957322735539909</v>
      </c>
      <c r="J71" s="188">
        <v>7.2284161474004766E-2</v>
      </c>
      <c r="K71" s="188" t="s">
        <v>31</v>
      </c>
      <c r="L71" s="188" t="s">
        <v>31</v>
      </c>
      <c r="M71" s="188" t="s">
        <v>31</v>
      </c>
      <c r="N71" s="188"/>
      <c r="O71" s="361" t="s">
        <v>271</v>
      </c>
      <c r="P71" s="418">
        <v>0.05</v>
      </c>
      <c r="Q71" s="188" t="s">
        <v>271</v>
      </c>
      <c r="R71" s="327">
        <f>P71</f>
        <v>0.05</v>
      </c>
      <c r="S71" s="188"/>
      <c r="T71" s="188"/>
      <c r="U71" s="188"/>
    </row>
    <row r="72" spans="1:21">
      <c r="A72" s="347" t="s">
        <v>5</v>
      </c>
      <c r="B72" s="126" t="s">
        <v>1078</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1080</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0.01</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1078</v>
      </c>
      <c r="B82" s="335">
        <v>0.01</v>
      </c>
      <c r="C82" s="188" t="s">
        <v>37</v>
      </c>
      <c r="D82" s="386" t="s">
        <v>2</v>
      </c>
      <c r="E82" s="188" t="s">
        <v>29</v>
      </c>
      <c r="F82" s="37" t="s">
        <v>14</v>
      </c>
      <c r="G82" s="188" t="s">
        <v>30</v>
      </c>
      <c r="H82" s="188">
        <v>1</v>
      </c>
      <c r="I82" s="393">
        <f t="shared" ref="I82:I84" si="5">B82</f>
        <v>0.01</v>
      </c>
      <c r="J82" s="188" t="s">
        <v>31</v>
      </c>
      <c r="K82" s="188" t="s">
        <v>31</v>
      </c>
      <c r="L82" s="188" t="s">
        <v>31</v>
      </c>
      <c r="M82" s="188" t="s">
        <v>31</v>
      </c>
      <c r="N82" s="188"/>
      <c r="O82" s="361"/>
      <c r="P82" s="372"/>
      <c r="Q82" s="188" t="s">
        <v>275</v>
      </c>
      <c r="R82" s="370">
        <v>0.01</v>
      </c>
      <c r="S82" s="188"/>
      <c r="T82" s="188"/>
      <c r="U82" s="188"/>
    </row>
    <row r="83" spans="1:21">
      <c r="A83" s="84" t="s">
        <v>755</v>
      </c>
      <c r="B83" s="335">
        <v>0.01</v>
      </c>
      <c r="C83" s="188" t="s">
        <v>37</v>
      </c>
      <c r="D83" s="188" t="s">
        <v>40</v>
      </c>
      <c r="E83" s="188" t="s">
        <v>29</v>
      </c>
      <c r="F83" s="37" t="s">
        <v>59</v>
      </c>
      <c r="G83" s="188" t="s">
        <v>33</v>
      </c>
      <c r="H83" s="188">
        <v>1</v>
      </c>
      <c r="I83" s="393">
        <f t="shared" si="5"/>
        <v>0.01</v>
      </c>
      <c r="J83" s="188" t="s">
        <v>31</v>
      </c>
      <c r="K83" s="188" t="s">
        <v>31</v>
      </c>
      <c r="L83" s="188" t="s">
        <v>31</v>
      </c>
      <c r="M83" s="188" t="s">
        <v>31</v>
      </c>
      <c r="N83" s="188"/>
      <c r="O83" s="361"/>
      <c r="P83" s="418"/>
      <c r="Q83" s="188"/>
      <c r="R83" s="327"/>
      <c r="S83" s="188"/>
      <c r="T83" s="188"/>
      <c r="U83" s="188"/>
    </row>
    <row r="84" spans="1:21">
      <c r="A84" s="84" t="s">
        <v>757</v>
      </c>
      <c r="B84" s="335">
        <v>0.01</v>
      </c>
      <c r="C84" s="188" t="s">
        <v>37</v>
      </c>
      <c r="D84" s="188" t="s">
        <v>40</v>
      </c>
      <c r="E84" s="188" t="s">
        <v>29</v>
      </c>
      <c r="F84" s="188" t="s">
        <v>59</v>
      </c>
      <c r="G84" s="188" t="s">
        <v>33</v>
      </c>
      <c r="H84" s="188">
        <v>1</v>
      </c>
      <c r="I84" s="393">
        <f t="shared" si="5"/>
        <v>0.01</v>
      </c>
      <c r="J84" s="188" t="s">
        <v>31</v>
      </c>
      <c r="K84" s="188" t="s">
        <v>31</v>
      </c>
      <c r="L84" s="188" t="s">
        <v>31</v>
      </c>
      <c r="M84" s="188" t="s">
        <v>31</v>
      </c>
      <c r="N84" s="188"/>
      <c r="O84" s="188"/>
      <c r="P84" s="188"/>
      <c r="Q84" s="188"/>
      <c r="R84" s="188"/>
      <c r="S84" s="188"/>
      <c r="T84" s="188"/>
      <c r="U84" s="188"/>
    </row>
    <row r="85" spans="1:21" s="73" customFormat="1">
      <c r="A85" s="347" t="s">
        <v>5</v>
      </c>
      <c r="B85" s="126" t="s">
        <v>1079</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1081</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1079</v>
      </c>
      <c r="B95" s="327">
        <v>1</v>
      </c>
      <c r="C95" s="188" t="s">
        <v>18</v>
      </c>
      <c r="D95" s="386" t="s">
        <v>2</v>
      </c>
      <c r="E95" s="188" t="s">
        <v>29</v>
      </c>
      <c r="F95" s="37" t="s">
        <v>14</v>
      </c>
      <c r="G95" s="188" t="s">
        <v>30</v>
      </c>
      <c r="H95" s="188">
        <v>1</v>
      </c>
      <c r="I95" s="393">
        <f t="shared" ref="I95:I96" si="6">B95</f>
        <v>1</v>
      </c>
      <c r="J95" s="188" t="s">
        <v>31</v>
      </c>
      <c r="K95" s="188" t="s">
        <v>31</v>
      </c>
      <c r="L95" s="188" t="s">
        <v>31</v>
      </c>
      <c r="M95" s="188" t="s">
        <v>31</v>
      </c>
      <c r="N95" s="188"/>
      <c r="O95" s="361"/>
      <c r="P95" s="418"/>
      <c r="Q95" s="188"/>
      <c r="R95" s="327"/>
      <c r="S95" s="188"/>
      <c r="T95" s="188"/>
      <c r="U95" s="188"/>
    </row>
    <row r="96" spans="1:21">
      <c r="A96" s="84" t="s">
        <v>1082</v>
      </c>
      <c r="B96" s="188">
        <v>1</v>
      </c>
      <c r="C96" s="188" t="s">
        <v>18</v>
      </c>
      <c r="D96" s="386" t="s">
        <v>2</v>
      </c>
      <c r="E96" s="188" t="s">
        <v>29</v>
      </c>
      <c r="F96" s="37" t="s">
        <v>14</v>
      </c>
      <c r="G96" s="188" t="s">
        <v>33</v>
      </c>
      <c r="H96" s="188">
        <v>1</v>
      </c>
      <c r="I96" s="393">
        <f t="shared" si="6"/>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7">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1082</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1083</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1082</v>
      </c>
      <c r="B108" s="188">
        <v>1</v>
      </c>
      <c r="C108" s="188" t="s">
        <v>18</v>
      </c>
      <c r="D108" s="386" t="s">
        <v>2</v>
      </c>
      <c r="E108" s="188" t="s">
        <v>29</v>
      </c>
      <c r="F108" s="37" t="s">
        <v>14</v>
      </c>
      <c r="G108" s="188" t="s">
        <v>30</v>
      </c>
      <c r="H108" s="188">
        <v>1</v>
      </c>
      <c r="I108" s="393">
        <f t="shared" ref="I108:I111" si="8">B108</f>
        <v>1</v>
      </c>
      <c r="J108" s="188" t="s">
        <v>31</v>
      </c>
      <c r="K108" s="188" t="s">
        <v>31</v>
      </c>
      <c r="L108" s="188" t="s">
        <v>31</v>
      </c>
      <c r="M108" s="188" t="s">
        <v>31</v>
      </c>
      <c r="N108" s="188"/>
      <c r="O108" s="188"/>
      <c r="P108" s="446"/>
      <c r="Q108" s="188"/>
      <c r="R108" s="188"/>
      <c r="S108" s="188"/>
      <c r="T108" s="188"/>
      <c r="U108" s="188"/>
    </row>
    <row r="109" spans="1:21">
      <c r="A109" s="323" t="s">
        <v>1084</v>
      </c>
      <c r="B109" s="419">
        <f>B133</f>
        <v>3.8E-3</v>
      </c>
      <c r="C109" s="188" t="s">
        <v>853</v>
      </c>
      <c r="D109" s="386" t="s">
        <v>2</v>
      </c>
      <c r="E109" s="188" t="s">
        <v>29</v>
      </c>
      <c r="F109" s="37" t="s">
        <v>14</v>
      </c>
      <c r="G109" s="188" t="s">
        <v>33</v>
      </c>
      <c r="H109" s="188">
        <v>1</v>
      </c>
      <c r="I109" s="393">
        <f t="shared" si="8"/>
        <v>3.8E-3</v>
      </c>
      <c r="J109" s="188" t="s">
        <v>31</v>
      </c>
      <c r="K109" s="188" t="s">
        <v>31</v>
      </c>
      <c r="L109" s="188" t="s">
        <v>31</v>
      </c>
      <c r="M109" s="188" t="s">
        <v>31</v>
      </c>
      <c r="N109" s="188"/>
      <c r="O109" s="387"/>
      <c r="P109" s="388"/>
      <c r="Q109" s="327"/>
      <c r="R109" s="188"/>
      <c r="S109" s="188"/>
      <c r="T109" s="188"/>
      <c r="U109" s="188"/>
    </row>
    <row r="110" spans="1:21">
      <c r="A110" s="188" t="s">
        <v>1030</v>
      </c>
      <c r="B110" s="370">
        <f>R110</f>
        <v>5.6250000000000007E-4</v>
      </c>
      <c r="C110" s="359" t="s">
        <v>853</v>
      </c>
      <c r="D110" s="386" t="s">
        <v>2</v>
      </c>
      <c r="E110" s="188" t="s">
        <v>29</v>
      </c>
      <c r="F110" s="37" t="s">
        <v>14</v>
      </c>
      <c r="G110" s="188" t="s">
        <v>33</v>
      </c>
      <c r="H110" s="188">
        <v>1</v>
      </c>
      <c r="I110" s="393">
        <f t="shared" si="8"/>
        <v>5.6250000000000007E-4</v>
      </c>
      <c r="J110" s="188" t="s">
        <v>31</v>
      </c>
      <c r="K110" s="188" t="s">
        <v>31</v>
      </c>
      <c r="L110" s="188" t="s">
        <v>31</v>
      </c>
      <c r="M110" s="188" t="s">
        <v>31</v>
      </c>
      <c r="N110" s="188"/>
      <c r="O110" s="420" t="s">
        <v>857</v>
      </c>
      <c r="P110" s="421">
        <v>3</v>
      </c>
      <c r="Q110" s="352" t="s">
        <v>1044</v>
      </c>
      <c r="R110" s="370">
        <f>(P110*0.001)*0.1875</f>
        <v>5.6250000000000007E-4</v>
      </c>
      <c r="S110" s="188"/>
      <c r="T110" s="188"/>
      <c r="U110" s="188"/>
    </row>
    <row r="111" spans="1:21">
      <c r="A111" s="188" t="s">
        <v>1085</v>
      </c>
      <c r="B111" s="188">
        <v>1</v>
      </c>
      <c r="C111" s="188" t="s">
        <v>18</v>
      </c>
      <c r="D111" s="386" t="s">
        <v>2</v>
      </c>
      <c r="E111" s="188" t="s">
        <v>29</v>
      </c>
      <c r="F111" s="37" t="s">
        <v>14</v>
      </c>
      <c r="G111" s="188" t="s">
        <v>33</v>
      </c>
      <c r="H111" s="188">
        <v>1</v>
      </c>
      <c r="I111" s="393">
        <f t="shared" si="8"/>
        <v>1</v>
      </c>
      <c r="J111" s="188" t="s">
        <v>31</v>
      </c>
      <c r="K111" s="188" t="s">
        <v>31</v>
      </c>
      <c r="L111" s="188" t="s">
        <v>31</v>
      </c>
      <c r="M111" s="188" t="s">
        <v>31</v>
      </c>
      <c r="N111" s="188"/>
      <c r="O111" s="387"/>
      <c r="P111" s="388"/>
      <c r="Q111" s="188"/>
      <c r="R111" s="188"/>
      <c r="S111" s="188"/>
      <c r="T111" s="188"/>
      <c r="U111" s="188"/>
    </row>
    <row r="112" spans="1:21">
      <c r="A112" s="84" t="s">
        <v>179</v>
      </c>
      <c r="B112" s="370">
        <f>R112</f>
        <v>1.8E-5</v>
      </c>
      <c r="C112" s="188" t="s">
        <v>37</v>
      </c>
      <c r="D112" s="188" t="s">
        <v>40</v>
      </c>
      <c r="E112" s="188" t="s">
        <v>29</v>
      </c>
      <c r="F112" s="37" t="s">
        <v>35</v>
      </c>
      <c r="G112" s="188" t="s">
        <v>33</v>
      </c>
      <c r="H112" s="188">
        <v>2</v>
      </c>
      <c r="I112" s="188">
        <f>LN(B112)</f>
        <v>-10.92513880006811</v>
      </c>
      <c r="J112" s="188">
        <v>2.8722813232690055E-2</v>
      </c>
      <c r="K112" s="188" t="s">
        <v>31</v>
      </c>
      <c r="L112" s="188" t="s">
        <v>31</v>
      </c>
      <c r="M112" s="188" t="s">
        <v>31</v>
      </c>
      <c r="N112" s="188"/>
      <c r="O112" s="420" t="s">
        <v>857</v>
      </c>
      <c r="P112" s="430">
        <v>1.7999999999999999E-2</v>
      </c>
      <c r="Q112" s="188" t="s">
        <v>275</v>
      </c>
      <c r="R112" s="370">
        <f>P112*10^-3</f>
        <v>1.8E-5</v>
      </c>
      <c r="S112" s="188"/>
      <c r="T112" s="188"/>
      <c r="U112" s="188"/>
    </row>
    <row r="113" spans="1:21" s="73" customFormat="1">
      <c r="A113" s="347" t="s">
        <v>5</v>
      </c>
      <c r="B113" s="348" t="s">
        <v>1085</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1086</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1085</v>
      </c>
      <c r="B123" s="188">
        <v>1</v>
      </c>
      <c r="C123" s="188" t="s">
        <v>18</v>
      </c>
      <c r="D123" s="386" t="s">
        <v>2</v>
      </c>
      <c r="E123" s="188" t="s">
        <v>29</v>
      </c>
      <c r="F123" s="37" t="s">
        <v>14</v>
      </c>
      <c r="G123" s="188" t="s">
        <v>30</v>
      </c>
      <c r="H123" s="188">
        <v>1</v>
      </c>
      <c r="I123" s="393">
        <f t="shared" ref="I123:I124" si="9">B123</f>
        <v>1</v>
      </c>
      <c r="J123" s="188" t="s">
        <v>31</v>
      </c>
      <c r="K123" s="188" t="s">
        <v>31</v>
      </c>
      <c r="L123" s="188" t="s">
        <v>31</v>
      </c>
      <c r="M123" s="188" t="s">
        <v>31</v>
      </c>
      <c r="N123" s="188"/>
      <c r="O123" s="188"/>
      <c r="P123" s="188"/>
      <c r="Q123" s="188"/>
      <c r="R123" s="188"/>
      <c r="S123" s="188"/>
      <c r="T123" s="188"/>
      <c r="U123" s="188"/>
    </row>
    <row r="124" spans="1:21">
      <c r="A124" s="84" t="s">
        <v>966</v>
      </c>
      <c r="B124" s="188">
        <f>R124</f>
        <v>0.04</v>
      </c>
      <c r="C124" s="188" t="s">
        <v>37</v>
      </c>
      <c r="D124" s="188" t="s">
        <v>40</v>
      </c>
      <c r="E124" s="188" t="s">
        <v>29</v>
      </c>
      <c r="F124" s="188" t="s">
        <v>59</v>
      </c>
      <c r="G124" s="188" t="s">
        <v>33</v>
      </c>
      <c r="H124" s="188">
        <v>1</v>
      </c>
      <c r="I124" s="393">
        <f t="shared" si="9"/>
        <v>0.04</v>
      </c>
      <c r="J124" s="188" t="s">
        <v>31</v>
      </c>
      <c r="K124" s="188" t="s">
        <v>31</v>
      </c>
      <c r="L124" s="188" t="s">
        <v>31</v>
      </c>
      <c r="M124" s="188" t="s">
        <v>31</v>
      </c>
      <c r="N124" s="188"/>
      <c r="O124" s="188"/>
      <c r="P124" s="188"/>
      <c r="Q124" s="188" t="s">
        <v>275</v>
      </c>
      <c r="R124" s="188">
        <v>0.04</v>
      </c>
      <c r="S124" s="188"/>
      <c r="T124" s="188"/>
      <c r="U124" s="188"/>
    </row>
    <row r="125" spans="1:21">
      <c r="A125" s="84" t="s">
        <v>967</v>
      </c>
      <c r="B125" s="188">
        <f t="shared" ref="B125:B127" si="10">R125</f>
        <v>2.9000000000000001E-2</v>
      </c>
      <c r="C125" s="188" t="s">
        <v>37</v>
      </c>
      <c r="D125" s="188" t="s">
        <v>40</v>
      </c>
      <c r="E125" s="188" t="s">
        <v>29</v>
      </c>
      <c r="F125" s="188" t="s">
        <v>59</v>
      </c>
      <c r="G125" s="188" t="s">
        <v>33</v>
      </c>
      <c r="H125" s="188">
        <v>2</v>
      </c>
      <c r="I125" s="188">
        <f>LN(B125)</f>
        <v>-3.5404594489956631</v>
      </c>
      <c r="J125" s="188">
        <v>3.7749172176353707E-2</v>
      </c>
      <c r="K125" s="188" t="s">
        <v>31</v>
      </c>
      <c r="L125" s="188" t="s">
        <v>31</v>
      </c>
      <c r="M125" s="188" t="s">
        <v>31</v>
      </c>
      <c r="N125" s="188"/>
      <c r="O125" s="379" t="s">
        <v>857</v>
      </c>
      <c r="P125" s="392">
        <v>29</v>
      </c>
      <c r="Q125" s="188" t="s">
        <v>275</v>
      </c>
      <c r="R125" s="188">
        <f>P125*0.001</f>
        <v>2.9000000000000001E-2</v>
      </c>
      <c r="S125" s="188"/>
      <c r="T125" s="188"/>
      <c r="U125" s="188"/>
    </row>
    <row r="126" spans="1:21">
      <c r="A126" s="84" t="s">
        <v>968</v>
      </c>
      <c r="B126" s="188">
        <f t="shared" si="10"/>
        <v>1.8000000000000002E-3</v>
      </c>
      <c r="C126" s="188" t="s">
        <v>37</v>
      </c>
      <c r="D126" s="188" t="s">
        <v>40</v>
      </c>
      <c r="E126" s="188" t="s">
        <v>29</v>
      </c>
      <c r="F126" s="188" t="s">
        <v>59</v>
      </c>
      <c r="G126" s="188" t="s">
        <v>33</v>
      </c>
      <c r="H126" s="188">
        <v>2</v>
      </c>
      <c r="I126" s="188">
        <f>LN(B126)</f>
        <v>-6.3199686140800182</v>
      </c>
      <c r="J126" s="188">
        <v>3.7749172176353707E-2</v>
      </c>
      <c r="K126" s="188" t="s">
        <v>31</v>
      </c>
      <c r="L126" s="188" t="s">
        <v>31</v>
      </c>
      <c r="M126" s="188" t="s">
        <v>31</v>
      </c>
      <c r="N126" s="188"/>
      <c r="O126" s="379" t="s">
        <v>857</v>
      </c>
      <c r="P126" s="392">
        <v>1.8</v>
      </c>
      <c r="Q126" s="188" t="s">
        <v>275</v>
      </c>
      <c r="R126" s="188">
        <f t="shared" ref="R126:R127" si="11">P126*0.001</f>
        <v>1.8000000000000002E-3</v>
      </c>
      <c r="S126" s="188"/>
      <c r="T126" s="188"/>
      <c r="U126" s="188"/>
    </row>
    <row r="127" spans="1:21">
      <c r="A127" s="84" t="s">
        <v>969</v>
      </c>
      <c r="B127" s="188">
        <f t="shared" si="10"/>
        <v>1.3000000000000001E-2</v>
      </c>
      <c r="C127" s="188" t="s">
        <v>37</v>
      </c>
      <c r="D127" s="188" t="s">
        <v>40</v>
      </c>
      <c r="E127" s="188" t="s">
        <v>29</v>
      </c>
      <c r="F127" s="188" t="s">
        <v>59</v>
      </c>
      <c r="G127" s="188" t="s">
        <v>33</v>
      </c>
      <c r="H127" s="188">
        <v>2</v>
      </c>
      <c r="I127" s="188">
        <f>LN(B127)</f>
        <v>-4.3428059215206005</v>
      </c>
      <c r="J127" s="188">
        <v>3.7749172176353707E-2</v>
      </c>
      <c r="K127" s="188" t="s">
        <v>31</v>
      </c>
      <c r="L127" s="188" t="s">
        <v>31</v>
      </c>
      <c r="M127" s="188" t="s">
        <v>31</v>
      </c>
      <c r="N127" s="188"/>
      <c r="O127" s="379" t="s">
        <v>857</v>
      </c>
      <c r="P127" s="392">
        <v>13</v>
      </c>
      <c r="Q127" s="188" t="s">
        <v>275</v>
      </c>
      <c r="R127" s="188">
        <f t="shared" si="11"/>
        <v>1.3000000000000001E-2</v>
      </c>
      <c r="S127" s="188"/>
      <c r="T127" s="188"/>
      <c r="U127" s="188"/>
    </row>
    <row r="128" spans="1:21" s="73" customFormat="1">
      <c r="A128" s="347" t="s">
        <v>5</v>
      </c>
      <c r="B128" s="126" t="s">
        <v>1084</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1087</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3.8E-3</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1084</v>
      </c>
      <c r="B138" s="447">
        <v>3.8E-3</v>
      </c>
      <c r="C138" s="188" t="s">
        <v>853</v>
      </c>
      <c r="D138" s="386" t="s">
        <v>2</v>
      </c>
      <c r="E138" s="188" t="s">
        <v>29</v>
      </c>
      <c r="F138" s="37" t="s">
        <v>14</v>
      </c>
      <c r="G138" s="188" t="s">
        <v>30</v>
      </c>
      <c r="H138" s="188">
        <v>1</v>
      </c>
      <c r="I138" s="393">
        <f t="shared" ref="I138:I139" si="12">B138</f>
        <v>3.8E-3</v>
      </c>
      <c r="J138" s="188" t="s">
        <v>31</v>
      </c>
      <c r="K138" s="188" t="s">
        <v>31</v>
      </c>
      <c r="L138" s="188" t="s">
        <v>31</v>
      </c>
      <c r="M138" s="188" t="s">
        <v>31</v>
      </c>
      <c r="N138" s="188"/>
      <c r="O138" s="387"/>
      <c r="P138" s="448">
        <v>8.8999999999999996E-2</v>
      </c>
      <c r="Q138" s="327"/>
      <c r="R138" s="188"/>
      <c r="S138" s="188"/>
      <c r="T138" s="188"/>
      <c r="U138" s="188"/>
    </row>
    <row r="139" spans="1:21">
      <c r="A139" s="192" t="s">
        <v>1088</v>
      </c>
      <c r="B139" s="447">
        <v>3.8E-3</v>
      </c>
      <c r="C139" s="188" t="s">
        <v>853</v>
      </c>
      <c r="D139" s="386" t="s">
        <v>2</v>
      </c>
      <c r="E139" s="188" t="s">
        <v>29</v>
      </c>
      <c r="F139" s="37" t="s">
        <v>14</v>
      </c>
      <c r="G139" s="188" t="s">
        <v>33</v>
      </c>
      <c r="H139" s="188">
        <v>1</v>
      </c>
      <c r="I139" s="393">
        <f t="shared" si="12"/>
        <v>3.8E-3</v>
      </c>
      <c r="J139" s="188" t="s">
        <v>31</v>
      </c>
      <c r="K139" s="188" t="s">
        <v>31</v>
      </c>
      <c r="L139" s="188" t="s">
        <v>31</v>
      </c>
      <c r="M139" s="188" t="s">
        <v>31</v>
      </c>
      <c r="N139" s="188"/>
      <c r="O139" s="188"/>
      <c r="P139" s="448">
        <v>8.8999999999999996E-2</v>
      </c>
      <c r="Q139" s="188"/>
      <c r="R139" s="188"/>
      <c r="S139" s="188"/>
      <c r="T139" s="188"/>
      <c r="U139" s="188"/>
    </row>
    <row r="140" spans="1:21">
      <c r="A140" s="84" t="s">
        <v>731</v>
      </c>
      <c r="B140" s="188">
        <f>R140</f>
        <v>2.9999999999999997E-4</v>
      </c>
      <c r="C140" s="188" t="s">
        <v>37</v>
      </c>
      <c r="D140" s="188" t="s">
        <v>40</v>
      </c>
      <c r="E140" s="188" t="s">
        <v>29</v>
      </c>
      <c r="F140" s="188" t="s">
        <v>35</v>
      </c>
      <c r="G140" s="188" t="s">
        <v>33</v>
      </c>
      <c r="H140" s="188">
        <v>2</v>
      </c>
      <c r="I140" s="188">
        <f>LN(B140)</f>
        <v>-8.1117280833080727</v>
      </c>
      <c r="J140" s="188">
        <v>0.20928449536456342</v>
      </c>
      <c r="K140" s="188" t="s">
        <v>31</v>
      </c>
      <c r="L140" s="188" t="s">
        <v>31</v>
      </c>
      <c r="M140" s="188" t="s">
        <v>31</v>
      </c>
      <c r="N140" s="188"/>
      <c r="O140" s="379" t="s">
        <v>857</v>
      </c>
      <c r="P140" s="392">
        <v>0.3</v>
      </c>
      <c r="Q140" s="188" t="s">
        <v>275</v>
      </c>
      <c r="R140" s="188">
        <f>0.001*P140</f>
        <v>2.9999999999999997E-4</v>
      </c>
      <c r="S140" s="188"/>
      <c r="T140" s="188"/>
      <c r="U140" s="188"/>
    </row>
    <row r="141" spans="1:21">
      <c r="A141" s="84" t="s">
        <v>987</v>
      </c>
      <c r="B141" s="188">
        <f>R141</f>
        <v>2.9999999999999997E-4</v>
      </c>
      <c r="C141" s="188" t="s">
        <v>37</v>
      </c>
      <c r="D141" s="188" t="s">
        <v>40</v>
      </c>
      <c r="E141" s="188" t="s">
        <v>29</v>
      </c>
      <c r="F141" s="188" t="s">
        <v>35</v>
      </c>
      <c r="G141" s="188" t="s">
        <v>33</v>
      </c>
      <c r="H141" s="188">
        <v>2</v>
      </c>
      <c r="I141" s="188">
        <f>LN(B141)</f>
        <v>-8.1117280833080727</v>
      </c>
      <c r="J141" s="188">
        <v>0.20928449536456342</v>
      </c>
      <c r="K141" s="188" t="s">
        <v>31</v>
      </c>
      <c r="L141" s="188" t="s">
        <v>31</v>
      </c>
      <c r="M141" s="188" t="s">
        <v>31</v>
      </c>
      <c r="N141" s="188"/>
      <c r="O141" s="379" t="s">
        <v>857</v>
      </c>
      <c r="P141" s="392">
        <v>0.3</v>
      </c>
      <c r="Q141" s="188" t="s">
        <v>275</v>
      </c>
      <c r="R141" s="188">
        <f>0.001*P141</f>
        <v>2.9999999999999997E-4</v>
      </c>
      <c r="S141" s="188"/>
      <c r="T141" s="188"/>
      <c r="U141" s="188"/>
    </row>
    <row r="142" spans="1:21" s="73" customFormat="1">
      <c r="A142" s="347" t="s">
        <v>5</v>
      </c>
      <c r="B142" s="424" t="s">
        <v>1088</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1089</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3.8E-3</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1088</v>
      </c>
      <c r="B152" s="447">
        <v>3.8E-3</v>
      </c>
      <c r="C152" s="188" t="s">
        <v>853</v>
      </c>
      <c r="D152" s="386" t="s">
        <v>2</v>
      </c>
      <c r="E152" s="188" t="s">
        <v>29</v>
      </c>
      <c r="F152" s="37" t="s">
        <v>14</v>
      </c>
      <c r="G152" s="188" t="s">
        <v>30</v>
      </c>
      <c r="H152" s="188">
        <v>1</v>
      </c>
      <c r="I152" s="393">
        <f t="shared" ref="I152:I154" si="13">B152</f>
        <v>3.8E-3</v>
      </c>
      <c r="J152" s="188" t="s">
        <v>31</v>
      </c>
      <c r="K152" s="188" t="s">
        <v>31</v>
      </c>
      <c r="L152" s="188" t="s">
        <v>31</v>
      </c>
      <c r="M152" s="188" t="s">
        <v>31</v>
      </c>
      <c r="N152" s="188"/>
      <c r="O152" s="449" t="s">
        <v>855</v>
      </c>
      <c r="P152" s="447">
        <v>8.8999999999999996E-2</v>
      </c>
      <c r="Q152" s="188"/>
      <c r="R152" s="188"/>
      <c r="S152" s="188"/>
      <c r="T152" s="188"/>
      <c r="U152" s="188"/>
    </row>
    <row r="153" spans="1:21">
      <c r="A153" s="188" t="s">
        <v>1090</v>
      </c>
      <c r="B153" s="450">
        <v>1.4E-3</v>
      </c>
      <c r="C153" s="188" t="s">
        <v>853</v>
      </c>
      <c r="D153" s="386" t="s">
        <v>2</v>
      </c>
      <c r="E153" s="188" t="s">
        <v>29</v>
      </c>
      <c r="F153" s="37" t="s">
        <v>14</v>
      </c>
      <c r="G153" s="188" t="s">
        <v>33</v>
      </c>
      <c r="H153" s="188">
        <v>1</v>
      </c>
      <c r="I153" s="393">
        <f t="shared" si="13"/>
        <v>1.4E-3</v>
      </c>
      <c r="J153" s="188" t="s">
        <v>31</v>
      </c>
      <c r="K153" s="188" t="s">
        <v>31</v>
      </c>
      <c r="L153" s="188" t="s">
        <v>31</v>
      </c>
      <c r="M153" s="188" t="s">
        <v>31</v>
      </c>
      <c r="N153" s="188"/>
      <c r="O153" s="449" t="s">
        <v>873</v>
      </c>
      <c r="P153" s="450">
        <v>3.6999999999999998E-2</v>
      </c>
      <c r="Q153" s="188"/>
      <c r="R153" s="188"/>
      <c r="S153" s="188"/>
      <c r="T153" s="188"/>
      <c r="U153" s="188"/>
    </row>
    <row r="154" spans="1:21">
      <c r="A154" s="188" t="s">
        <v>1091</v>
      </c>
      <c r="B154" s="447">
        <v>3.8E-3</v>
      </c>
      <c r="C154" s="188" t="s">
        <v>853</v>
      </c>
      <c r="D154" s="386" t="s">
        <v>2</v>
      </c>
      <c r="E154" s="188" t="s">
        <v>29</v>
      </c>
      <c r="F154" s="37" t="s">
        <v>14</v>
      </c>
      <c r="G154" s="188" t="s">
        <v>33</v>
      </c>
      <c r="H154" s="188">
        <v>1</v>
      </c>
      <c r="I154" s="393">
        <f t="shared" si="13"/>
        <v>3.8E-3</v>
      </c>
      <c r="J154" s="188" t="s">
        <v>31</v>
      </c>
      <c r="K154" s="188" t="s">
        <v>31</v>
      </c>
      <c r="L154" s="188" t="s">
        <v>31</v>
      </c>
      <c r="M154" s="188" t="s">
        <v>31</v>
      </c>
      <c r="N154" s="188"/>
      <c r="O154" s="378" t="s">
        <v>873</v>
      </c>
      <c r="P154" s="447">
        <v>8.8999999999999996E-2</v>
      </c>
      <c r="Q154" s="188"/>
      <c r="R154" s="188"/>
      <c r="S154" s="188"/>
      <c r="T154" s="188"/>
      <c r="U154" s="188"/>
    </row>
    <row r="155" spans="1:21">
      <c r="A155" s="323" t="s">
        <v>265</v>
      </c>
      <c r="B155" s="423">
        <f t="shared" ref="B155:B156" si="14">P155</f>
        <v>0.09</v>
      </c>
      <c r="C155" s="188" t="s">
        <v>39</v>
      </c>
      <c r="D155" s="188" t="s">
        <v>40</v>
      </c>
      <c r="E155" s="188" t="s">
        <v>29</v>
      </c>
      <c r="F155" s="37" t="s">
        <v>35</v>
      </c>
      <c r="G155" s="188" t="s">
        <v>33</v>
      </c>
      <c r="H155" s="188">
        <v>2</v>
      </c>
      <c r="I155" s="188">
        <f t="shared" ref="I155:I156" si="15">LN(B155)</f>
        <v>-2.4079456086518722</v>
      </c>
      <c r="J155" s="188">
        <v>9.7082439194738052E-2</v>
      </c>
      <c r="K155" s="188" t="s">
        <v>31</v>
      </c>
      <c r="L155" s="188" t="s">
        <v>31</v>
      </c>
      <c r="M155" s="188" t="s">
        <v>31</v>
      </c>
      <c r="N155" s="188"/>
      <c r="O155" s="379" t="s">
        <v>271</v>
      </c>
      <c r="P155" s="392">
        <v>0.09</v>
      </c>
      <c r="Q155" s="188" t="s">
        <v>271</v>
      </c>
      <c r="R155" s="327">
        <f>P155</f>
        <v>0.09</v>
      </c>
      <c r="S155" s="188"/>
      <c r="T155" s="188"/>
      <c r="U155" s="188"/>
    </row>
    <row r="156" spans="1:21">
      <c r="A156" s="323" t="s">
        <v>845</v>
      </c>
      <c r="B156" s="423">
        <f t="shared" si="14"/>
        <v>0.2</v>
      </c>
      <c r="C156" s="188" t="s">
        <v>37</v>
      </c>
      <c r="D156" s="188" t="s">
        <v>40</v>
      </c>
      <c r="E156" s="188" t="s">
        <v>29</v>
      </c>
      <c r="F156" s="37" t="s">
        <v>35</v>
      </c>
      <c r="G156" s="188" t="s">
        <v>33</v>
      </c>
      <c r="H156" s="188">
        <v>2</v>
      </c>
      <c r="I156" s="188">
        <f t="shared" si="15"/>
        <v>-1.6094379124341003</v>
      </c>
      <c r="J156" s="188">
        <v>9.7082439194738052E-2</v>
      </c>
      <c r="K156" s="188" t="s">
        <v>31</v>
      </c>
      <c r="L156" s="188" t="s">
        <v>31</v>
      </c>
      <c r="M156" s="188" t="s">
        <v>31</v>
      </c>
      <c r="N156" s="188"/>
      <c r="O156" s="379" t="s">
        <v>275</v>
      </c>
      <c r="P156" s="392">
        <v>0.2</v>
      </c>
      <c r="Q156" s="188"/>
      <c r="R156" s="188"/>
      <c r="S156" s="188"/>
      <c r="T156" s="188"/>
      <c r="U156" s="188"/>
    </row>
    <row r="157" spans="1:21" s="73" customFormat="1">
      <c r="A157" s="347" t="s">
        <v>5</v>
      </c>
      <c r="B157" s="348" t="s">
        <v>1091</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1092</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23">
        <f>B167</f>
        <v>1.4E-3</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1091</v>
      </c>
      <c r="B167" s="448">
        <v>1.4E-3</v>
      </c>
      <c r="C167" s="188" t="s">
        <v>853</v>
      </c>
      <c r="D167" s="386" t="s">
        <v>2</v>
      </c>
      <c r="E167" s="188" t="s">
        <v>29</v>
      </c>
      <c r="F167" s="37" t="s">
        <v>14</v>
      </c>
      <c r="G167" s="188" t="s">
        <v>30</v>
      </c>
      <c r="H167" s="188">
        <v>1</v>
      </c>
      <c r="I167" s="393">
        <f t="shared" ref="I167:I168" si="16">B167</f>
        <v>1.4E-3</v>
      </c>
      <c r="J167" s="188" t="s">
        <v>31</v>
      </c>
      <c r="K167" s="188" t="s">
        <v>31</v>
      </c>
      <c r="L167" s="188" t="s">
        <v>31</v>
      </c>
      <c r="M167" s="188" t="s">
        <v>31</v>
      </c>
      <c r="N167" s="188"/>
      <c r="O167" s="188"/>
      <c r="P167" s="432">
        <v>8.8999999999999996E-2</v>
      </c>
      <c r="Q167" s="188"/>
      <c r="R167" s="188"/>
      <c r="S167" s="188"/>
      <c r="T167" s="188"/>
      <c r="U167" s="188"/>
    </row>
    <row r="168" spans="1:21">
      <c r="A168" s="192" t="s">
        <v>1093</v>
      </c>
      <c r="B168" s="448">
        <v>1.4E-3</v>
      </c>
      <c r="C168" s="188" t="s">
        <v>853</v>
      </c>
      <c r="D168" s="386" t="s">
        <v>2</v>
      </c>
      <c r="E168" s="188" t="s">
        <v>29</v>
      </c>
      <c r="F168" s="37" t="s">
        <v>14</v>
      </c>
      <c r="G168" s="188" t="s">
        <v>33</v>
      </c>
      <c r="H168" s="188">
        <v>1</v>
      </c>
      <c r="I168" s="393">
        <f t="shared" si="16"/>
        <v>1.4E-3</v>
      </c>
      <c r="J168" s="188" t="s">
        <v>31</v>
      </c>
      <c r="K168" s="188" t="s">
        <v>31</v>
      </c>
      <c r="L168" s="188" t="s">
        <v>31</v>
      </c>
      <c r="M168" s="188" t="s">
        <v>31</v>
      </c>
      <c r="N168" s="188"/>
      <c r="O168" s="188"/>
      <c r="P168" s="432">
        <v>8.8999999999999996E-2</v>
      </c>
      <c r="Q168" s="188"/>
      <c r="R168" s="188"/>
      <c r="S168" s="188"/>
      <c r="T168" s="188"/>
      <c r="U168" s="188"/>
    </row>
    <row r="169" spans="1:21">
      <c r="A169" s="323" t="s">
        <v>265</v>
      </c>
      <c r="B169" s="327">
        <f>R169</f>
        <v>0.01</v>
      </c>
      <c r="C169" s="188" t="s">
        <v>39</v>
      </c>
      <c r="D169" s="188" t="s">
        <v>40</v>
      </c>
      <c r="E169" s="188" t="s">
        <v>29</v>
      </c>
      <c r="F169" s="37" t="s">
        <v>35</v>
      </c>
      <c r="G169" s="188" t="s">
        <v>33</v>
      </c>
      <c r="H169" s="188">
        <v>2</v>
      </c>
      <c r="I169" s="188">
        <f t="shared" ref="I169:I173" si="17">LN(B169)</f>
        <v>-4.6051701859880909</v>
      </c>
      <c r="J169" s="188">
        <v>0.20928449536456342</v>
      </c>
      <c r="K169" s="188" t="s">
        <v>31</v>
      </c>
      <c r="L169" s="188" t="s">
        <v>31</v>
      </c>
      <c r="M169" s="188" t="s">
        <v>31</v>
      </c>
      <c r="N169" s="188"/>
      <c r="O169" s="361" t="s">
        <v>271</v>
      </c>
      <c r="P169" s="392">
        <v>0.01</v>
      </c>
      <c r="Q169" s="188" t="s">
        <v>271</v>
      </c>
      <c r="R169" s="327">
        <f>P169</f>
        <v>0.01</v>
      </c>
      <c r="S169" s="188"/>
      <c r="T169" s="188"/>
      <c r="U169" s="188"/>
    </row>
    <row r="170" spans="1:21">
      <c r="A170" s="84" t="s">
        <v>843</v>
      </c>
      <c r="B170" s="188">
        <f>R170</f>
        <v>2.9999999999999997E-4</v>
      </c>
      <c r="C170" s="188" t="s">
        <v>37</v>
      </c>
      <c r="D170" s="188" t="s">
        <v>40</v>
      </c>
      <c r="E170" s="188" t="s">
        <v>29</v>
      </c>
      <c r="F170" s="37" t="s">
        <v>35</v>
      </c>
      <c r="G170" s="188" t="s">
        <v>33</v>
      </c>
      <c r="H170" s="188">
        <v>2</v>
      </c>
      <c r="I170" s="188">
        <f t="shared" si="17"/>
        <v>-8.1117280833080727</v>
      </c>
      <c r="J170" s="188">
        <v>0.20928449536456342</v>
      </c>
      <c r="K170" s="188" t="s">
        <v>31</v>
      </c>
      <c r="L170" s="188" t="s">
        <v>31</v>
      </c>
      <c r="M170" s="188" t="s">
        <v>31</v>
      </c>
      <c r="N170" s="188"/>
      <c r="O170" s="379" t="s">
        <v>857</v>
      </c>
      <c r="P170" s="392">
        <v>0.3</v>
      </c>
      <c r="Q170" s="188" t="s">
        <v>275</v>
      </c>
      <c r="R170" s="188">
        <f>0.001*P170</f>
        <v>2.9999999999999997E-4</v>
      </c>
      <c r="S170" s="188"/>
      <c r="T170" s="188"/>
      <c r="U170" s="188"/>
    </row>
    <row r="171" spans="1:21">
      <c r="A171" s="84" t="s">
        <v>489</v>
      </c>
      <c r="B171" s="188">
        <f>R171</f>
        <v>1E-4</v>
      </c>
      <c r="C171" s="188" t="s">
        <v>37</v>
      </c>
      <c r="D171" s="188" t="s">
        <v>40</v>
      </c>
      <c r="E171" s="188" t="s">
        <v>29</v>
      </c>
      <c r="F171" s="37" t="s">
        <v>59</v>
      </c>
      <c r="G171" s="188" t="s">
        <v>33</v>
      </c>
      <c r="H171" s="188">
        <v>2</v>
      </c>
      <c r="I171" s="188">
        <f t="shared" si="17"/>
        <v>-9.2103403719761818</v>
      </c>
      <c r="J171" s="188">
        <v>0.20928449536456342</v>
      </c>
      <c r="K171" s="188" t="s">
        <v>31</v>
      </c>
      <c r="L171" s="188" t="s">
        <v>31</v>
      </c>
      <c r="M171" s="188" t="s">
        <v>31</v>
      </c>
      <c r="N171" s="188"/>
      <c r="O171" s="379" t="s">
        <v>857</v>
      </c>
      <c r="P171" s="392">
        <v>0.1</v>
      </c>
      <c r="Q171" s="188" t="s">
        <v>275</v>
      </c>
      <c r="R171" s="188">
        <f t="shared" ref="R171:R173" si="18">0.001*P171</f>
        <v>1E-4</v>
      </c>
      <c r="S171" s="188"/>
      <c r="T171" s="188"/>
      <c r="U171" s="188"/>
    </row>
    <row r="172" spans="1:21">
      <c r="A172" s="323" t="s">
        <v>844</v>
      </c>
      <c r="B172" s="188">
        <f>R172</f>
        <v>1.6999999999999999E-3</v>
      </c>
      <c r="C172" s="188" t="s">
        <v>37</v>
      </c>
      <c r="D172" s="188" t="s">
        <v>40</v>
      </c>
      <c r="E172" s="188" t="s">
        <v>29</v>
      </c>
      <c r="F172" s="37" t="s">
        <v>74</v>
      </c>
      <c r="G172" s="188" t="s">
        <v>33</v>
      </c>
      <c r="H172" s="188">
        <v>2</v>
      </c>
      <c r="I172" s="188">
        <f t="shared" si="17"/>
        <v>-6.3771270279199666</v>
      </c>
      <c r="J172" s="188">
        <v>0.20928449536456342</v>
      </c>
      <c r="K172" s="188" t="s">
        <v>31</v>
      </c>
      <c r="L172" s="188" t="s">
        <v>31</v>
      </c>
      <c r="M172" s="188" t="s">
        <v>31</v>
      </c>
      <c r="N172" s="188"/>
      <c r="O172" s="379" t="s">
        <v>857</v>
      </c>
      <c r="P172" s="392">
        <v>1.7</v>
      </c>
      <c r="Q172" s="188" t="s">
        <v>275</v>
      </c>
      <c r="R172" s="188">
        <f t="shared" si="18"/>
        <v>1.6999999999999999E-3</v>
      </c>
      <c r="S172" s="188"/>
      <c r="T172" s="188"/>
      <c r="U172" s="188"/>
    </row>
    <row r="173" spans="1:21">
      <c r="A173" s="188" t="s">
        <v>829</v>
      </c>
      <c r="B173" s="188">
        <f>R173</f>
        <v>4.0000000000000002E-4</v>
      </c>
      <c r="C173" s="188" t="s">
        <v>37</v>
      </c>
      <c r="D173" s="386" t="s">
        <v>2</v>
      </c>
      <c r="E173" s="188" t="s">
        <v>29</v>
      </c>
      <c r="F173" s="37" t="s">
        <v>74</v>
      </c>
      <c r="G173" s="188" t="s">
        <v>33</v>
      </c>
      <c r="H173" s="188">
        <v>2</v>
      </c>
      <c r="I173" s="188">
        <f t="shared" si="17"/>
        <v>-7.8240460108562919</v>
      </c>
      <c r="J173" s="188">
        <v>0.20928449536456342</v>
      </c>
      <c r="K173" s="188" t="s">
        <v>31</v>
      </c>
      <c r="L173" s="188" t="s">
        <v>31</v>
      </c>
      <c r="M173" s="188" t="s">
        <v>31</v>
      </c>
      <c r="N173" s="188"/>
      <c r="O173" s="425" t="s">
        <v>857</v>
      </c>
      <c r="P173" s="397">
        <v>0.4</v>
      </c>
      <c r="Q173" s="188" t="s">
        <v>275</v>
      </c>
      <c r="R173" s="188">
        <f t="shared" si="18"/>
        <v>4.0000000000000002E-4</v>
      </c>
      <c r="S173" s="188"/>
      <c r="T173" s="188"/>
      <c r="U173" s="188"/>
    </row>
    <row r="174" spans="1:21" s="73" customFormat="1">
      <c r="A174" s="347" t="s">
        <v>5</v>
      </c>
      <c r="B174" s="348" t="s">
        <v>1093</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1094</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3.8E-3</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1093</v>
      </c>
      <c r="B184" s="393">
        <v>3.8E-3</v>
      </c>
      <c r="C184" s="188" t="s">
        <v>853</v>
      </c>
      <c r="D184" s="386" t="s">
        <v>2</v>
      </c>
      <c r="E184" s="188" t="s">
        <v>29</v>
      </c>
      <c r="F184" s="37" t="s">
        <v>14</v>
      </c>
      <c r="G184" s="188" t="s">
        <v>30</v>
      </c>
      <c r="H184" s="188">
        <v>1</v>
      </c>
      <c r="I184" s="393">
        <f t="shared" ref="I184:I185" si="19">B184</f>
        <v>3.8E-3</v>
      </c>
      <c r="J184" s="188" t="s">
        <v>31</v>
      </c>
      <c r="K184" s="188" t="s">
        <v>31</v>
      </c>
      <c r="L184" s="188" t="s">
        <v>31</v>
      </c>
      <c r="M184" s="188" t="s">
        <v>31</v>
      </c>
      <c r="N184" s="188"/>
      <c r="O184" s="188"/>
      <c r="P184" s="188"/>
      <c r="Q184" s="188"/>
      <c r="R184" s="188"/>
      <c r="S184" s="188"/>
      <c r="T184" s="188"/>
      <c r="U184" s="188"/>
    </row>
    <row r="185" spans="1:21">
      <c r="A185" s="188" t="s">
        <v>1095</v>
      </c>
      <c r="B185" s="393">
        <v>3.8E-3</v>
      </c>
      <c r="C185" s="188" t="s">
        <v>853</v>
      </c>
      <c r="D185" s="386" t="s">
        <v>2</v>
      </c>
      <c r="E185" s="188" t="s">
        <v>29</v>
      </c>
      <c r="F185" s="37" t="s">
        <v>14</v>
      </c>
      <c r="G185" s="188" t="s">
        <v>33</v>
      </c>
      <c r="H185" s="188">
        <v>1</v>
      </c>
      <c r="I185" s="393">
        <f t="shared" si="19"/>
        <v>3.8E-3</v>
      </c>
      <c r="J185" s="188" t="s">
        <v>31</v>
      </c>
      <c r="K185" s="188" t="s">
        <v>31</v>
      </c>
      <c r="L185" s="188" t="s">
        <v>31</v>
      </c>
      <c r="M185" s="188" t="s">
        <v>31</v>
      </c>
      <c r="N185" s="188"/>
      <c r="O185" s="188"/>
      <c r="P185" s="440"/>
      <c r="Q185" s="188"/>
      <c r="R185" s="188"/>
      <c r="S185" s="188"/>
      <c r="T185" s="188"/>
      <c r="U185" s="188"/>
    </row>
    <row r="186" spans="1:21">
      <c r="A186" s="323" t="s">
        <v>265</v>
      </c>
      <c r="B186" s="327">
        <f>P186</f>
        <v>0.23</v>
      </c>
      <c r="C186" s="188" t="s">
        <v>39</v>
      </c>
      <c r="D186" s="188" t="s">
        <v>40</v>
      </c>
      <c r="E186" s="188" t="s">
        <v>29</v>
      </c>
      <c r="F186" s="37" t="s">
        <v>35</v>
      </c>
      <c r="G186" s="188" t="s">
        <v>33</v>
      </c>
      <c r="H186" s="188">
        <v>2</v>
      </c>
      <c r="I186" s="188">
        <f t="shared" ref="I186:I187" si="20">LN(B186)</f>
        <v>-1.4696759700589417</v>
      </c>
      <c r="J186" s="188">
        <v>0.20928449536456342</v>
      </c>
      <c r="K186" s="188" t="s">
        <v>31</v>
      </c>
      <c r="L186" s="188" t="s">
        <v>31</v>
      </c>
      <c r="M186" s="188" t="s">
        <v>31</v>
      </c>
      <c r="N186" s="188"/>
      <c r="O186" s="379" t="s">
        <v>271</v>
      </c>
      <c r="P186" s="392">
        <f>0.07+0.16</f>
        <v>0.23</v>
      </c>
      <c r="Q186" s="188"/>
      <c r="R186" s="188"/>
      <c r="S186" s="188"/>
      <c r="T186" s="188"/>
      <c r="U186" s="188"/>
    </row>
    <row r="187" spans="1:21">
      <c r="A187" s="323" t="s">
        <v>844</v>
      </c>
      <c r="B187" s="188">
        <f>R187</f>
        <v>5.0000000000000001E-4</v>
      </c>
      <c r="C187" s="188" t="s">
        <v>37</v>
      </c>
      <c r="D187" s="188" t="s">
        <v>40</v>
      </c>
      <c r="E187" s="188" t="s">
        <v>29</v>
      </c>
      <c r="F187" s="37" t="s">
        <v>74</v>
      </c>
      <c r="G187" s="188" t="s">
        <v>33</v>
      </c>
      <c r="H187" s="188">
        <v>2</v>
      </c>
      <c r="I187" s="188">
        <f t="shared" si="20"/>
        <v>-7.6009024595420822</v>
      </c>
      <c r="J187" s="188">
        <v>0.20928449536456342</v>
      </c>
      <c r="K187" s="188" t="s">
        <v>31</v>
      </c>
      <c r="L187" s="188" t="s">
        <v>31</v>
      </c>
      <c r="M187" s="188" t="s">
        <v>31</v>
      </c>
      <c r="N187" s="188"/>
      <c r="O187" s="379" t="s">
        <v>857</v>
      </c>
      <c r="P187" s="392">
        <v>0.5</v>
      </c>
      <c r="Q187" s="188" t="s">
        <v>275</v>
      </c>
      <c r="R187" s="188">
        <f>P187*0.001</f>
        <v>5.0000000000000001E-4</v>
      </c>
      <c r="S187" s="188"/>
      <c r="T187" s="188"/>
      <c r="U187" s="188"/>
    </row>
    <row r="188" spans="1:21">
      <c r="A188" s="84" t="s">
        <v>987</v>
      </c>
      <c r="B188" s="188">
        <f>R188</f>
        <v>5.9999999999999995E-4</v>
      </c>
      <c r="C188" s="188" t="s">
        <v>37</v>
      </c>
      <c r="D188" s="188" t="s">
        <v>40</v>
      </c>
      <c r="E188" s="188" t="s">
        <v>29</v>
      </c>
      <c r="F188" s="188" t="s">
        <v>35</v>
      </c>
      <c r="G188" s="188" t="s">
        <v>33</v>
      </c>
      <c r="H188" s="188">
        <v>2</v>
      </c>
      <c r="I188" s="188">
        <f>LN(B188)</f>
        <v>-7.4185809027481282</v>
      </c>
      <c r="J188" s="188">
        <v>0.20928449536456342</v>
      </c>
      <c r="K188" s="188" t="s">
        <v>31</v>
      </c>
      <c r="L188" s="188" t="s">
        <v>31</v>
      </c>
      <c r="M188" s="188" t="s">
        <v>31</v>
      </c>
      <c r="N188" s="188"/>
      <c r="O188" s="379" t="s">
        <v>857</v>
      </c>
      <c r="P188" s="392">
        <v>0.6</v>
      </c>
      <c r="Q188" s="188" t="s">
        <v>275</v>
      </c>
      <c r="R188" s="188">
        <f>P188*0.001</f>
        <v>5.9999999999999995E-4</v>
      </c>
      <c r="S188" s="188"/>
      <c r="T188" s="188"/>
      <c r="U188" s="188"/>
    </row>
    <row r="189" spans="1:21">
      <c r="A189" s="188" t="s">
        <v>829</v>
      </c>
      <c r="B189" s="188">
        <f>R189</f>
        <v>5.9999999999999995E-4</v>
      </c>
      <c r="C189" s="188" t="s">
        <v>37</v>
      </c>
      <c r="D189" s="386" t="s">
        <v>2</v>
      </c>
      <c r="E189" s="188" t="s">
        <v>29</v>
      </c>
      <c r="F189" s="37" t="s">
        <v>74</v>
      </c>
      <c r="G189" s="188" t="s">
        <v>33</v>
      </c>
      <c r="H189" s="188">
        <v>2</v>
      </c>
      <c r="I189" s="188">
        <f t="shared" ref="I189" si="21">LN(B189)</f>
        <v>-7.4185809027481282</v>
      </c>
      <c r="J189" s="188">
        <v>0.20928449536456342</v>
      </c>
      <c r="K189" s="188" t="s">
        <v>31</v>
      </c>
      <c r="L189" s="188" t="s">
        <v>31</v>
      </c>
      <c r="M189" s="188" t="s">
        <v>31</v>
      </c>
      <c r="N189" s="188"/>
      <c r="O189" s="425" t="s">
        <v>857</v>
      </c>
      <c r="P189" s="397">
        <v>0.6</v>
      </c>
      <c r="Q189" s="188" t="s">
        <v>275</v>
      </c>
      <c r="R189" s="188">
        <f t="shared" ref="R189" si="22">0.001*P189</f>
        <v>5.9999999999999995E-4</v>
      </c>
      <c r="S189" s="188"/>
      <c r="T189" s="188"/>
      <c r="U189" s="188"/>
    </row>
    <row r="190" spans="1:21" s="73" customFormat="1">
      <c r="A190" s="347" t="s">
        <v>5</v>
      </c>
      <c r="B190" s="348" t="s">
        <v>1095</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1096</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321" t="s">
        <v>937</v>
      </c>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t="s">
        <v>938</v>
      </c>
      <c r="R194" s="188">
        <v>8900</v>
      </c>
      <c r="S194" s="188" t="s">
        <v>939</v>
      </c>
      <c r="T194" s="188"/>
      <c r="U194" s="188"/>
    </row>
    <row r="195" spans="1:21">
      <c r="A195" s="323" t="s">
        <v>15</v>
      </c>
      <c r="B195" s="403">
        <f>B200</f>
        <v>0.05</v>
      </c>
      <c r="C195" s="188"/>
      <c r="D195" s="188"/>
      <c r="E195" s="188"/>
      <c r="F195" s="188"/>
      <c r="G195" s="188"/>
      <c r="H195" s="188"/>
      <c r="I195" s="188"/>
      <c r="J195" s="188"/>
      <c r="K195" s="188"/>
      <c r="L195" s="188"/>
      <c r="M195" s="188"/>
      <c r="N195" s="188"/>
      <c r="O195" s="188"/>
      <c r="P195" s="188"/>
      <c r="Q195" s="188" t="s">
        <v>940</v>
      </c>
      <c r="R195" s="188">
        <f>5*10^-6</f>
        <v>4.9999999999999996E-6</v>
      </c>
      <c r="S195" s="188" t="s">
        <v>941</v>
      </c>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405" t="s">
        <v>942</v>
      </c>
      <c r="R196" s="406">
        <f>R195*R194</f>
        <v>4.4499999999999998E-2</v>
      </c>
      <c r="S196" s="407" t="s">
        <v>943</v>
      </c>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c r="S197" s="188"/>
      <c r="T197" s="188"/>
      <c r="U197" s="188"/>
    </row>
    <row r="198" spans="1:21">
      <c r="A198" s="320" t="s">
        <v>19</v>
      </c>
      <c r="B198" s="188"/>
      <c r="C198" s="188"/>
      <c r="D198" s="188"/>
      <c r="E198" s="188"/>
      <c r="F198" s="188"/>
      <c r="G198" s="188"/>
      <c r="H198" s="188"/>
      <c r="I198" s="188"/>
      <c r="J198" s="188"/>
      <c r="K198" s="188"/>
      <c r="L198" s="188"/>
      <c r="M198" s="188"/>
      <c r="N198" s="188"/>
      <c r="O198" s="188"/>
      <c r="P198" s="188"/>
      <c r="Q198" s="188" t="s">
        <v>945</v>
      </c>
      <c r="R198" s="188"/>
      <c r="S198" s="188"/>
      <c r="T198" s="388"/>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408">
        <v>0.1</v>
      </c>
      <c r="R199" s="409" t="s">
        <v>855</v>
      </c>
      <c r="S199" s="408">
        <f>Q199*R196</f>
        <v>4.45E-3</v>
      </c>
      <c r="T199" s="409" t="s">
        <v>275</v>
      </c>
      <c r="U199" s="188"/>
    </row>
    <row r="200" spans="1:21">
      <c r="A200" s="188" t="s">
        <v>1095</v>
      </c>
      <c r="B200" s="451">
        <v>0.05</v>
      </c>
      <c r="C200" s="188" t="s">
        <v>853</v>
      </c>
      <c r="D200" s="386" t="s">
        <v>2</v>
      </c>
      <c r="E200" s="188" t="s">
        <v>29</v>
      </c>
      <c r="F200" s="188" t="s">
        <v>14</v>
      </c>
      <c r="G200" s="188" t="s">
        <v>30</v>
      </c>
      <c r="H200" s="188">
        <v>1</v>
      </c>
      <c r="I200" s="393">
        <f t="shared" ref="I200:I202" si="23">B200</f>
        <v>0.05</v>
      </c>
      <c r="J200" s="188" t="s">
        <v>31</v>
      </c>
      <c r="K200" s="188" t="s">
        <v>31</v>
      </c>
      <c r="L200" s="188" t="s">
        <v>31</v>
      </c>
      <c r="M200" s="188" t="s">
        <v>31</v>
      </c>
      <c r="N200" s="188"/>
      <c r="O200" s="427" t="s">
        <v>944</v>
      </c>
      <c r="P200" s="428">
        <f>B200*100</f>
        <v>5</v>
      </c>
      <c r="Q200" s="188"/>
      <c r="R200" s="188"/>
      <c r="S200" s="188"/>
      <c r="T200" s="188"/>
      <c r="U200" s="188"/>
    </row>
    <row r="201" spans="1:21">
      <c r="A201" s="188" t="s">
        <v>1097</v>
      </c>
      <c r="B201" s="451">
        <v>0.05</v>
      </c>
      <c r="C201" s="188" t="s">
        <v>853</v>
      </c>
      <c r="D201" s="386" t="s">
        <v>2</v>
      </c>
      <c r="E201" s="188" t="s">
        <v>29</v>
      </c>
      <c r="F201" s="188" t="s">
        <v>14</v>
      </c>
      <c r="G201" s="188" t="s">
        <v>33</v>
      </c>
      <c r="H201" s="188">
        <v>1</v>
      </c>
      <c r="I201" s="393">
        <f t="shared" si="23"/>
        <v>0.05</v>
      </c>
      <c r="J201" s="188">
        <v>7.2284161474004766E-2</v>
      </c>
      <c r="K201" s="188" t="s">
        <v>31</v>
      </c>
      <c r="L201" s="188" t="s">
        <v>31</v>
      </c>
      <c r="M201" s="188" t="s">
        <v>31</v>
      </c>
      <c r="N201" s="188"/>
      <c r="O201" s="379" t="s">
        <v>944</v>
      </c>
      <c r="P201" s="392">
        <f>B201*100</f>
        <v>5</v>
      </c>
      <c r="Q201" s="188"/>
      <c r="R201" s="188"/>
      <c r="S201" s="188"/>
      <c r="T201" s="188"/>
      <c r="U201" s="188"/>
    </row>
    <row r="202" spans="1:21">
      <c r="A202" s="192" t="s">
        <v>1051</v>
      </c>
      <c r="B202" s="398">
        <f>S199</f>
        <v>4.45E-3</v>
      </c>
      <c r="C202" s="188" t="s">
        <v>37</v>
      </c>
      <c r="D202" s="386" t="s">
        <v>2</v>
      </c>
      <c r="E202" s="188" t="s">
        <v>29</v>
      </c>
      <c r="F202" s="37" t="s">
        <v>14</v>
      </c>
      <c r="G202" s="188" t="s">
        <v>33</v>
      </c>
      <c r="H202" s="188">
        <v>1</v>
      </c>
      <c r="I202" s="393">
        <f t="shared" si="23"/>
        <v>4.45E-3</v>
      </c>
      <c r="J202" s="188">
        <v>7.2284161474004766E-2</v>
      </c>
      <c r="K202" s="188" t="s">
        <v>31</v>
      </c>
      <c r="L202" s="188" t="s">
        <v>31</v>
      </c>
      <c r="M202" s="188" t="s">
        <v>31</v>
      </c>
      <c r="N202" s="188"/>
      <c r="O202" s="192"/>
      <c r="P202" s="399"/>
      <c r="Q202" s="188"/>
      <c r="R202" s="188"/>
      <c r="S202" s="188"/>
      <c r="T202" s="188"/>
      <c r="U202" s="188"/>
    </row>
    <row r="203" spans="1:21">
      <c r="A203" s="323" t="s">
        <v>844</v>
      </c>
      <c r="B203" s="188">
        <v>0.8</v>
      </c>
      <c r="C203" s="188" t="s">
        <v>37</v>
      </c>
      <c r="D203" s="188" t="s">
        <v>40</v>
      </c>
      <c r="E203" s="188" t="s">
        <v>29</v>
      </c>
      <c r="F203" s="37" t="s">
        <v>74</v>
      </c>
      <c r="G203" s="188" t="s">
        <v>33</v>
      </c>
      <c r="H203" s="188">
        <v>2</v>
      </c>
      <c r="I203" s="188">
        <f t="shared" ref="I203:I204" si="24">LN(B203)</f>
        <v>-0.22314355131420971</v>
      </c>
      <c r="J203" s="188">
        <v>7.2284161474004766E-2</v>
      </c>
      <c r="K203" s="188" t="s">
        <v>31</v>
      </c>
      <c r="L203" s="188" t="s">
        <v>31</v>
      </c>
      <c r="M203" s="188" t="s">
        <v>31</v>
      </c>
      <c r="N203" s="188"/>
      <c r="O203" s="192" t="s">
        <v>1098</v>
      </c>
      <c r="P203" s="399"/>
      <c r="Q203" s="188"/>
      <c r="R203" s="188"/>
      <c r="S203" s="188"/>
      <c r="T203" s="188"/>
      <c r="U203" s="188"/>
    </row>
    <row r="204" spans="1:21">
      <c r="A204" s="84" t="s">
        <v>76</v>
      </c>
      <c r="B204" s="188">
        <f>0.001*0.8</f>
        <v>8.0000000000000004E-4</v>
      </c>
      <c r="C204" s="188" t="s">
        <v>42</v>
      </c>
      <c r="D204" s="188" t="s">
        <v>40</v>
      </c>
      <c r="E204" s="188" t="s">
        <v>29</v>
      </c>
      <c r="F204" s="37" t="s">
        <v>74</v>
      </c>
      <c r="G204" s="188" t="s">
        <v>33</v>
      </c>
      <c r="H204" s="188">
        <v>2</v>
      </c>
      <c r="I204" s="188">
        <f t="shared" si="24"/>
        <v>-7.1308988302963465</v>
      </c>
      <c r="J204" s="188">
        <v>7.2284161474004766E-2</v>
      </c>
      <c r="K204" s="188" t="s">
        <v>31</v>
      </c>
      <c r="L204" s="188" t="s">
        <v>31</v>
      </c>
      <c r="M204" s="188" t="s">
        <v>31</v>
      </c>
      <c r="N204" s="188"/>
      <c r="O204" s="192"/>
      <c r="P204" s="399"/>
      <c r="Q204" s="413"/>
      <c r="R204" s="188"/>
      <c r="S204" s="188"/>
      <c r="T204" s="188"/>
      <c r="U204" s="188"/>
    </row>
    <row r="205" spans="1:21" s="73" customFormat="1">
      <c r="A205" s="347" t="s">
        <v>5</v>
      </c>
      <c r="B205" s="348" t="s">
        <v>1097</v>
      </c>
      <c r="C205" s="349"/>
      <c r="D205" s="330"/>
      <c r="E205" s="330"/>
      <c r="F205" s="330"/>
      <c r="G205" s="330"/>
      <c r="H205" s="330"/>
      <c r="I205" s="330"/>
      <c r="J205" s="330"/>
      <c r="K205" s="330"/>
      <c r="L205" s="330"/>
      <c r="M205" s="330"/>
      <c r="N205" s="330"/>
      <c r="O205" s="330"/>
      <c r="P205" s="330"/>
      <c r="Q205" s="330"/>
      <c r="R205" s="330"/>
      <c r="S205" s="330"/>
      <c r="T205" s="330"/>
      <c r="U205" s="330"/>
    </row>
    <row r="206" spans="1:21">
      <c r="A206" s="323" t="s">
        <v>7</v>
      </c>
      <c r="B206" s="188" t="s">
        <v>831</v>
      </c>
      <c r="C206" s="322"/>
      <c r="D206" s="188"/>
      <c r="E206" s="188"/>
      <c r="F206" s="188"/>
      <c r="G206" s="188"/>
      <c r="H206" s="188"/>
      <c r="I206" s="188"/>
      <c r="J206" s="188"/>
      <c r="K206" s="188"/>
      <c r="L206" s="188"/>
      <c r="M206" s="188"/>
      <c r="N206" s="188"/>
      <c r="O206" s="188"/>
      <c r="P206" s="188"/>
      <c r="Q206" s="188"/>
      <c r="R206" s="188"/>
      <c r="S206" s="188"/>
      <c r="T206" s="188"/>
      <c r="U206" s="188"/>
    </row>
    <row r="207" spans="1:21">
      <c r="A207" s="402" t="s">
        <v>9</v>
      </c>
      <c r="B207" s="188" t="s">
        <v>1099</v>
      </c>
      <c r="C207" s="322"/>
      <c r="D207" s="188"/>
      <c r="E207" s="188"/>
      <c r="F207" s="188"/>
      <c r="G207" s="188"/>
      <c r="H207" s="188"/>
      <c r="I207" s="188"/>
      <c r="J207" s="188"/>
      <c r="K207" s="188"/>
      <c r="L207" s="188"/>
      <c r="M207" s="188"/>
      <c r="N207" s="188"/>
      <c r="O207" s="188"/>
      <c r="P207" s="188"/>
      <c r="Q207" s="188"/>
      <c r="R207" s="188"/>
      <c r="S207" s="188"/>
      <c r="T207" s="188"/>
      <c r="U207" s="188"/>
    </row>
    <row r="208" spans="1:21" ht="15.75" customHeight="1">
      <c r="A208" s="323" t="s">
        <v>11</v>
      </c>
      <c r="B208" s="324" t="s">
        <v>841</v>
      </c>
      <c r="C208" s="188"/>
      <c r="D208" s="188"/>
      <c r="E208" s="188"/>
      <c r="F208" s="188"/>
      <c r="G208" s="188"/>
      <c r="H208" s="188"/>
      <c r="I208" s="188"/>
      <c r="J208" s="188"/>
      <c r="K208" s="188"/>
      <c r="L208" s="188"/>
      <c r="M208" s="188"/>
      <c r="N208" s="188"/>
      <c r="O208" s="188"/>
      <c r="P208" s="188"/>
      <c r="Q208" s="188"/>
      <c r="R208" s="188"/>
      <c r="S208" s="188"/>
      <c r="T208" s="188"/>
      <c r="U208" s="188"/>
    </row>
    <row r="209" spans="1:21">
      <c r="A209" s="323" t="s">
        <v>13</v>
      </c>
      <c r="B209" s="188" t="s">
        <v>14</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15</v>
      </c>
      <c r="B210" s="403">
        <f>B215</f>
        <v>0.05</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16</v>
      </c>
      <c r="B211" s="188" t="s">
        <v>17</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18</v>
      </c>
      <c r="B212" s="188" t="s">
        <v>853</v>
      </c>
      <c r="C212" s="188"/>
      <c r="D212" s="188"/>
      <c r="E212" s="188"/>
      <c r="F212" s="188"/>
      <c r="G212" s="188"/>
      <c r="H212" s="188"/>
      <c r="I212" s="188"/>
      <c r="J212" s="188"/>
      <c r="K212" s="188"/>
      <c r="L212" s="188"/>
      <c r="M212" s="188"/>
      <c r="N212" s="188"/>
      <c r="O212" s="188"/>
      <c r="P212" s="188"/>
      <c r="Q212" s="188"/>
      <c r="R212" s="188"/>
      <c r="S212" s="393"/>
      <c r="T212" s="188"/>
      <c r="U212" s="188"/>
    </row>
    <row r="213" spans="1:21">
      <c r="A213" s="320" t="s">
        <v>19</v>
      </c>
      <c r="B213" s="188"/>
      <c r="C213" s="188"/>
      <c r="D213" s="188"/>
      <c r="E213" s="188"/>
      <c r="F213" s="188"/>
      <c r="G213" s="188"/>
      <c r="H213" s="188"/>
      <c r="I213" s="188"/>
      <c r="J213" s="188"/>
      <c r="K213" s="188"/>
      <c r="L213" s="188"/>
      <c r="M213" s="188"/>
      <c r="N213" s="188"/>
      <c r="O213" s="188"/>
      <c r="P213" s="188"/>
      <c r="Q213" s="188"/>
      <c r="R213" s="188"/>
      <c r="S213" s="188"/>
      <c r="T213" s="188"/>
      <c r="U213" s="188"/>
    </row>
    <row r="214" spans="1:21">
      <c r="A214" s="321" t="s">
        <v>20</v>
      </c>
      <c r="B214" s="321" t="s">
        <v>21</v>
      </c>
      <c r="C214" s="321" t="s">
        <v>18</v>
      </c>
      <c r="D214" s="321" t="s">
        <v>22</v>
      </c>
      <c r="E214" s="321" t="s">
        <v>7</v>
      </c>
      <c r="F214" s="321" t="s">
        <v>13</v>
      </c>
      <c r="G214" s="321" t="s">
        <v>16</v>
      </c>
      <c r="H214" s="321" t="s">
        <v>23</v>
      </c>
      <c r="I214" s="321" t="s">
        <v>24</v>
      </c>
      <c r="J214" s="321" t="s">
        <v>25</v>
      </c>
      <c r="K214" s="321" t="s">
        <v>26</v>
      </c>
      <c r="L214" s="321" t="s">
        <v>27</v>
      </c>
      <c r="M214" s="321" t="s">
        <v>28</v>
      </c>
      <c r="N214" s="321" t="s">
        <v>11</v>
      </c>
      <c r="O214" s="188"/>
      <c r="P214" s="188"/>
      <c r="Q214" s="188"/>
      <c r="R214" s="188"/>
      <c r="S214" s="188"/>
      <c r="T214" s="188"/>
      <c r="U214" s="188"/>
    </row>
    <row r="215" spans="1:21">
      <c r="A215" s="188" t="s">
        <v>1097</v>
      </c>
      <c r="B215" s="393">
        <v>0.05</v>
      </c>
      <c r="C215" s="188" t="s">
        <v>853</v>
      </c>
      <c r="D215" s="386" t="s">
        <v>2</v>
      </c>
      <c r="E215" s="188" t="s">
        <v>29</v>
      </c>
      <c r="F215" s="188" t="s">
        <v>14</v>
      </c>
      <c r="G215" s="188" t="s">
        <v>30</v>
      </c>
      <c r="H215" s="188">
        <v>1</v>
      </c>
      <c r="I215" s="393">
        <f t="shared" ref="I215:I216" si="25">B215</f>
        <v>0.05</v>
      </c>
      <c r="J215" s="188" t="s">
        <v>31</v>
      </c>
      <c r="K215" s="188" t="s">
        <v>31</v>
      </c>
      <c r="L215" s="188" t="s">
        <v>31</v>
      </c>
      <c r="M215" s="188" t="s">
        <v>31</v>
      </c>
      <c r="N215" s="188"/>
      <c r="O215" s="379" t="s">
        <v>944</v>
      </c>
      <c r="P215" s="392">
        <f>B215*100</f>
        <v>5</v>
      </c>
      <c r="Q215" s="188"/>
      <c r="R215" s="188"/>
      <c r="S215" s="188"/>
      <c r="T215" s="188"/>
      <c r="U215" s="188"/>
    </row>
    <row r="216" spans="1:21">
      <c r="A216" s="188" t="s">
        <v>1054</v>
      </c>
      <c r="B216" s="393">
        <f>'[1]Same processes'!B46</f>
        <v>0.25</v>
      </c>
      <c r="C216" s="188" t="s">
        <v>37</v>
      </c>
      <c r="D216" s="386" t="s">
        <v>2</v>
      </c>
      <c r="E216" s="188" t="s">
        <v>29</v>
      </c>
      <c r="F216" s="188" t="s">
        <v>14</v>
      </c>
      <c r="G216" s="188" t="s">
        <v>33</v>
      </c>
      <c r="H216" s="188">
        <v>1</v>
      </c>
      <c r="I216" s="393">
        <f t="shared" si="25"/>
        <v>0.25</v>
      </c>
      <c r="J216" s="188" t="s">
        <v>31</v>
      </c>
      <c r="K216" s="188" t="s">
        <v>31</v>
      </c>
      <c r="L216" s="188" t="s">
        <v>31</v>
      </c>
      <c r="M216" s="188" t="s">
        <v>31</v>
      </c>
      <c r="N216" s="188"/>
      <c r="O216" s="410"/>
      <c r="P216" s="433">
        <v>0.93</v>
      </c>
      <c r="Q216" s="188" t="s">
        <v>1100</v>
      </c>
      <c r="R216" s="188"/>
      <c r="S216" s="188"/>
      <c r="T216" s="188"/>
      <c r="U216" s="188"/>
    </row>
    <row r="217" spans="1:21">
      <c r="A217" s="323" t="s">
        <v>265</v>
      </c>
      <c r="B217" s="327">
        <f>P217</f>
        <v>0.06</v>
      </c>
      <c r="C217" s="188" t="s">
        <v>39</v>
      </c>
      <c r="D217" s="188" t="s">
        <v>40</v>
      </c>
      <c r="E217" s="188" t="s">
        <v>29</v>
      </c>
      <c r="F217" s="37" t="s">
        <v>35</v>
      </c>
      <c r="G217" s="188" t="s">
        <v>33</v>
      </c>
      <c r="H217" s="188">
        <v>2</v>
      </c>
      <c r="I217" s="188">
        <f t="shared" ref="I217:I218" si="26">LN(B217)</f>
        <v>-2.8134107167600364</v>
      </c>
      <c r="J217" s="188">
        <v>7.2284161474004766E-2</v>
      </c>
      <c r="K217" s="188" t="s">
        <v>31</v>
      </c>
      <c r="L217" s="188" t="s">
        <v>31</v>
      </c>
      <c r="M217" s="188" t="s">
        <v>31</v>
      </c>
      <c r="N217" s="188"/>
      <c r="O217" s="379" t="s">
        <v>271</v>
      </c>
      <c r="P217" s="392">
        <v>0.06</v>
      </c>
      <c r="Q217" s="188"/>
      <c r="R217" s="188"/>
      <c r="S217" s="188"/>
      <c r="T217" s="188"/>
      <c r="U217" s="188"/>
    </row>
    <row r="218" spans="1:21">
      <c r="A218" s="84" t="s">
        <v>491</v>
      </c>
      <c r="B218" s="188">
        <f>R218</f>
        <v>1E-3</v>
      </c>
      <c r="C218" s="393" t="s">
        <v>37</v>
      </c>
      <c r="D218" s="188" t="s">
        <v>40</v>
      </c>
      <c r="E218" s="188" t="s">
        <v>29</v>
      </c>
      <c r="F218" s="188" t="s">
        <v>59</v>
      </c>
      <c r="G218" s="188" t="s">
        <v>33</v>
      </c>
      <c r="H218" s="188">
        <v>2</v>
      </c>
      <c r="I218" s="188">
        <f t="shared" si="26"/>
        <v>-6.9077552789821368</v>
      </c>
      <c r="J218" s="188">
        <v>7.2284161474004766E-2</v>
      </c>
      <c r="K218" s="188" t="s">
        <v>31</v>
      </c>
      <c r="L218" s="188" t="s">
        <v>31</v>
      </c>
      <c r="M218" s="188" t="s">
        <v>31</v>
      </c>
      <c r="N218" s="188"/>
      <c r="O218" s="379" t="s">
        <v>857</v>
      </c>
      <c r="P218" s="392">
        <v>1</v>
      </c>
      <c r="Q218" s="188" t="s">
        <v>275</v>
      </c>
      <c r="R218" s="188">
        <f>P218*0.001</f>
        <v>1E-3</v>
      </c>
      <c r="S218" s="188"/>
      <c r="T218" s="188"/>
      <c r="U218" s="188"/>
    </row>
    <row r="219" spans="1:21">
      <c r="A219" s="116" t="s">
        <v>921</v>
      </c>
      <c r="B219" s="188">
        <f t="shared" ref="B219:B220" si="27">R219</f>
        <v>2E-3</v>
      </c>
      <c r="C219" s="188" t="s">
        <v>37</v>
      </c>
      <c r="D219" s="188" t="s">
        <v>40</v>
      </c>
      <c r="E219" s="188" t="s">
        <v>29</v>
      </c>
      <c r="F219" s="37" t="s">
        <v>35</v>
      </c>
      <c r="G219" s="188" t="s">
        <v>33</v>
      </c>
      <c r="H219" s="188">
        <v>2</v>
      </c>
      <c r="I219" s="188">
        <f>LN(B219)</f>
        <v>-6.2146080984221914</v>
      </c>
      <c r="J219" s="188">
        <v>7.2284161474004766E-2</v>
      </c>
      <c r="K219" s="188" t="s">
        <v>31</v>
      </c>
      <c r="L219" s="188" t="s">
        <v>31</v>
      </c>
      <c r="M219" s="188" t="s">
        <v>31</v>
      </c>
      <c r="N219" s="188"/>
      <c r="O219" s="379" t="s">
        <v>857</v>
      </c>
      <c r="P219" s="392">
        <v>2</v>
      </c>
      <c r="Q219" s="188" t="s">
        <v>275</v>
      </c>
      <c r="R219" s="188">
        <f>P219*0.001</f>
        <v>2E-3</v>
      </c>
      <c r="S219" s="188"/>
      <c r="T219" s="188"/>
      <c r="U219" s="188"/>
    </row>
    <row r="220" spans="1:21">
      <c r="A220" s="323" t="s">
        <v>844</v>
      </c>
      <c r="B220" s="188">
        <f t="shared" si="27"/>
        <v>2.1</v>
      </c>
      <c r="C220" s="188" t="s">
        <v>37</v>
      </c>
      <c r="D220" s="188" t="s">
        <v>40</v>
      </c>
      <c r="E220" s="188" t="s">
        <v>29</v>
      </c>
      <c r="F220" s="37" t="s">
        <v>74</v>
      </c>
      <c r="G220" s="188" t="s">
        <v>33</v>
      </c>
      <c r="H220" s="188">
        <v>2</v>
      </c>
      <c r="I220" s="188">
        <f t="shared" ref="I220:I221" si="28">LN(B220)</f>
        <v>0.74193734472937733</v>
      </c>
      <c r="J220" s="188">
        <v>7.2284161474004766E-2</v>
      </c>
      <c r="K220" s="188" t="s">
        <v>31</v>
      </c>
      <c r="L220" s="188" t="s">
        <v>31</v>
      </c>
      <c r="M220" s="188" t="s">
        <v>31</v>
      </c>
      <c r="N220" s="188"/>
      <c r="O220" s="379" t="s">
        <v>275</v>
      </c>
      <c r="P220" s="392">
        <v>2.1</v>
      </c>
      <c r="Q220" s="188" t="s">
        <v>275</v>
      </c>
      <c r="R220" s="188">
        <f>P220</f>
        <v>2.1</v>
      </c>
      <c r="S220" s="188"/>
      <c r="T220" s="188"/>
      <c r="U220" s="188"/>
    </row>
    <row r="221" spans="1:21">
      <c r="A221" s="84" t="s">
        <v>76</v>
      </c>
      <c r="B221" s="188">
        <f>R221</f>
        <v>2.1000000000000003E-3</v>
      </c>
      <c r="C221" s="188" t="s">
        <v>42</v>
      </c>
      <c r="D221" s="188" t="s">
        <v>40</v>
      </c>
      <c r="E221" s="188" t="s">
        <v>29</v>
      </c>
      <c r="F221" s="37" t="s">
        <v>74</v>
      </c>
      <c r="G221" s="188" t="s">
        <v>33</v>
      </c>
      <c r="H221" s="188">
        <v>2</v>
      </c>
      <c r="I221" s="188">
        <f t="shared" si="28"/>
        <v>-6.1658179342527593</v>
      </c>
      <c r="J221" s="188">
        <v>7.2284161474004766E-2</v>
      </c>
      <c r="K221" s="188" t="s">
        <v>31</v>
      </c>
      <c r="L221" s="188" t="s">
        <v>31</v>
      </c>
      <c r="M221" s="188" t="s">
        <v>31</v>
      </c>
      <c r="N221" s="188"/>
      <c r="O221" s="396" t="s">
        <v>913</v>
      </c>
      <c r="P221" s="397">
        <v>2.1</v>
      </c>
      <c r="Q221" s="188" t="s">
        <v>274</v>
      </c>
      <c r="R221" s="188">
        <f>0.001*P221</f>
        <v>2.1000000000000003E-3</v>
      </c>
      <c r="S221" s="188"/>
      <c r="T221" s="188"/>
      <c r="U221" s="188"/>
    </row>
    <row r="222" spans="1:21" s="73" customFormat="1">
      <c r="A222" s="347" t="s">
        <v>5</v>
      </c>
      <c r="B222" s="424" t="s">
        <v>1090</v>
      </c>
      <c r="C222" s="349"/>
      <c r="D222" s="330"/>
      <c r="E222" s="330"/>
      <c r="F222" s="330"/>
      <c r="G222" s="330"/>
      <c r="H222" s="330"/>
      <c r="I222" s="330"/>
      <c r="J222" s="330"/>
      <c r="K222" s="330"/>
      <c r="L222" s="330"/>
      <c r="M222" s="330"/>
      <c r="N222" s="330"/>
      <c r="O222" s="330"/>
      <c r="P222" s="188"/>
      <c r="Q222" s="330"/>
      <c r="R222" s="330"/>
      <c r="S222" s="330"/>
      <c r="T222" s="330"/>
      <c r="U222" s="330"/>
    </row>
    <row r="223" spans="1:21">
      <c r="A223" s="323" t="s">
        <v>7</v>
      </c>
      <c r="B223" s="188" t="s">
        <v>831</v>
      </c>
      <c r="C223" s="322"/>
      <c r="D223" s="188"/>
      <c r="E223" s="188"/>
      <c r="F223" s="188"/>
      <c r="G223" s="188"/>
      <c r="H223" s="188"/>
      <c r="I223" s="188"/>
      <c r="J223" s="188"/>
      <c r="K223" s="188"/>
      <c r="L223" s="188"/>
      <c r="M223" s="188"/>
      <c r="N223" s="188"/>
      <c r="O223" s="188"/>
      <c r="P223" s="188"/>
      <c r="Q223" s="188"/>
      <c r="R223" s="188"/>
      <c r="S223" s="188"/>
      <c r="T223" s="188"/>
      <c r="U223" s="188"/>
    </row>
    <row r="224" spans="1:21">
      <c r="A224" s="402" t="s">
        <v>9</v>
      </c>
      <c r="B224" s="188" t="s">
        <v>1101</v>
      </c>
      <c r="C224" s="322"/>
      <c r="D224" s="188"/>
      <c r="E224" s="188"/>
      <c r="F224" s="188"/>
      <c r="G224" s="188"/>
      <c r="H224" s="188"/>
      <c r="I224" s="188"/>
      <c r="J224" s="188"/>
      <c r="K224" s="188"/>
      <c r="L224" s="188"/>
      <c r="M224" s="188"/>
      <c r="N224" s="188"/>
      <c r="O224" s="188"/>
      <c r="P224" s="188"/>
      <c r="Q224" s="188"/>
      <c r="R224" s="188"/>
      <c r="S224" s="188"/>
      <c r="T224" s="188"/>
      <c r="U224" s="188"/>
    </row>
    <row r="225" spans="1:21" ht="15.75" customHeight="1">
      <c r="A225" s="323" t="s">
        <v>11</v>
      </c>
      <c r="B225" s="324" t="s">
        <v>841</v>
      </c>
      <c r="C225" s="188"/>
      <c r="D225" s="188"/>
      <c r="E225" s="188"/>
      <c r="F225" s="188"/>
      <c r="G225" s="188"/>
      <c r="H225" s="188"/>
      <c r="I225" s="188"/>
      <c r="J225" s="188"/>
      <c r="K225" s="188"/>
      <c r="L225" s="188"/>
      <c r="M225" s="188"/>
      <c r="N225" s="188"/>
      <c r="O225" s="188"/>
      <c r="P225" s="188"/>
      <c r="Q225" s="188"/>
      <c r="R225" s="188"/>
      <c r="S225" s="188"/>
      <c r="T225" s="188"/>
      <c r="U225" s="188"/>
    </row>
    <row r="226" spans="1:21">
      <c r="A226" s="323" t="s">
        <v>13</v>
      </c>
      <c r="B226" s="188" t="s">
        <v>14</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15</v>
      </c>
      <c r="B227" s="403">
        <f>B232</f>
        <v>1.4E-3</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16</v>
      </c>
      <c r="B228" s="188" t="s">
        <v>17</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18</v>
      </c>
      <c r="B229" s="188" t="s">
        <v>853</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0" t="s">
        <v>19</v>
      </c>
      <c r="B230" s="188"/>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1" t="s">
        <v>20</v>
      </c>
      <c r="B231" s="321" t="s">
        <v>21</v>
      </c>
      <c r="C231" s="321" t="s">
        <v>18</v>
      </c>
      <c r="D231" s="321" t="s">
        <v>22</v>
      </c>
      <c r="E231" s="321" t="s">
        <v>7</v>
      </c>
      <c r="F231" s="321" t="s">
        <v>13</v>
      </c>
      <c r="G231" s="321" t="s">
        <v>16</v>
      </c>
      <c r="H231" s="321" t="s">
        <v>23</v>
      </c>
      <c r="I231" s="321" t="s">
        <v>24</v>
      </c>
      <c r="J231" s="321" t="s">
        <v>25</v>
      </c>
      <c r="K231" s="321" t="s">
        <v>26</v>
      </c>
      <c r="L231" s="321" t="s">
        <v>27</v>
      </c>
      <c r="M231" s="321" t="s">
        <v>28</v>
      </c>
      <c r="N231" s="321" t="s">
        <v>11</v>
      </c>
      <c r="O231" s="188"/>
      <c r="P231" s="188"/>
      <c r="Q231" s="188"/>
      <c r="R231" s="188"/>
      <c r="S231" s="188"/>
      <c r="T231" s="188"/>
      <c r="U231" s="188"/>
    </row>
    <row r="232" spans="1:21">
      <c r="A232" s="188" t="s">
        <v>1090</v>
      </c>
      <c r="B232" s="393">
        <v>1.4E-3</v>
      </c>
      <c r="C232" s="188" t="s">
        <v>853</v>
      </c>
      <c r="D232" s="386" t="s">
        <v>2</v>
      </c>
      <c r="E232" s="188" t="s">
        <v>29</v>
      </c>
      <c r="F232" s="37" t="s">
        <v>14</v>
      </c>
      <c r="G232" s="188" t="s">
        <v>30</v>
      </c>
      <c r="H232" s="188">
        <v>1</v>
      </c>
      <c r="I232" s="393">
        <f t="shared" ref="I232:I234" si="29">B232</f>
        <v>1.4E-3</v>
      </c>
      <c r="J232" s="188" t="s">
        <v>31</v>
      </c>
      <c r="K232" s="188" t="s">
        <v>31</v>
      </c>
      <c r="L232" s="188" t="s">
        <v>31</v>
      </c>
      <c r="M232" s="188" t="s">
        <v>31</v>
      </c>
      <c r="N232" s="188"/>
      <c r="O232" s="452"/>
      <c r="P232" s="453"/>
      <c r="Q232" s="188"/>
      <c r="R232" s="188"/>
      <c r="S232" s="188"/>
      <c r="T232" s="188"/>
      <c r="U232" s="188"/>
    </row>
    <row r="233" spans="1:21">
      <c r="A233" s="188" t="s">
        <v>1102</v>
      </c>
      <c r="B233" s="393">
        <f>B253</f>
        <v>1.4E-3</v>
      </c>
      <c r="C233" s="188" t="s">
        <v>853</v>
      </c>
      <c r="D233" s="386" t="s">
        <v>2</v>
      </c>
      <c r="E233" s="188" t="s">
        <v>29</v>
      </c>
      <c r="F233" s="37" t="s">
        <v>14</v>
      </c>
      <c r="G233" s="188" t="s">
        <v>33</v>
      </c>
      <c r="H233" s="188">
        <v>1</v>
      </c>
      <c r="I233" s="393">
        <f t="shared" si="29"/>
        <v>1.4E-3</v>
      </c>
      <c r="J233" s="188" t="s">
        <v>31</v>
      </c>
      <c r="K233" s="188" t="s">
        <v>31</v>
      </c>
      <c r="L233" s="188" t="s">
        <v>31</v>
      </c>
      <c r="M233" s="188" t="s">
        <v>31</v>
      </c>
      <c r="N233" s="188"/>
      <c r="O233" s="452"/>
      <c r="P233" s="453"/>
      <c r="Q233" s="188"/>
      <c r="R233" s="188"/>
      <c r="S233" s="188"/>
      <c r="T233" s="188"/>
      <c r="U233" s="188"/>
    </row>
    <row r="234" spans="1:21">
      <c r="A234" s="188" t="s">
        <v>1103</v>
      </c>
      <c r="B234" s="393">
        <f>B241</f>
        <v>2.7000000000000006E-4</v>
      </c>
      <c r="C234" s="188" t="s">
        <v>853</v>
      </c>
      <c r="D234" s="386" t="s">
        <v>2</v>
      </c>
      <c r="E234" s="188" t="s">
        <v>29</v>
      </c>
      <c r="F234" s="37" t="s">
        <v>14</v>
      </c>
      <c r="G234" s="188" t="s">
        <v>33</v>
      </c>
      <c r="H234" s="188">
        <v>1</v>
      </c>
      <c r="I234" s="393">
        <f t="shared" si="29"/>
        <v>2.7000000000000006E-4</v>
      </c>
      <c r="J234" s="188" t="s">
        <v>31</v>
      </c>
      <c r="K234" s="188" t="s">
        <v>31</v>
      </c>
      <c r="L234" s="188" t="s">
        <v>31</v>
      </c>
      <c r="M234" s="188" t="s">
        <v>31</v>
      </c>
      <c r="N234" s="188"/>
      <c r="O234" s="387"/>
      <c r="P234" s="454"/>
      <c r="Q234" s="188"/>
      <c r="R234" s="188"/>
      <c r="S234" s="188"/>
      <c r="T234" s="188"/>
      <c r="U234" s="188"/>
    </row>
    <row r="235" spans="1:21">
      <c r="A235" s="323" t="s">
        <v>265</v>
      </c>
      <c r="B235" s="393">
        <f>P235</f>
        <v>0.03</v>
      </c>
      <c r="C235" s="188" t="s">
        <v>39</v>
      </c>
      <c r="D235" s="188" t="s">
        <v>40</v>
      </c>
      <c r="E235" s="188" t="s">
        <v>29</v>
      </c>
      <c r="F235" s="37" t="s">
        <v>35</v>
      </c>
      <c r="G235" s="188" t="s">
        <v>33</v>
      </c>
      <c r="H235" s="188">
        <v>2</v>
      </c>
      <c r="I235" s="188">
        <f t="shared" ref="I235" si="30">LN(B235)</f>
        <v>-3.5065578973199818</v>
      </c>
      <c r="J235" s="188">
        <v>0.20928449536456342</v>
      </c>
      <c r="K235" s="188" t="s">
        <v>31</v>
      </c>
      <c r="L235" s="188" t="s">
        <v>31</v>
      </c>
      <c r="M235" s="188" t="s">
        <v>31</v>
      </c>
      <c r="N235" s="188"/>
      <c r="O235" s="455" t="s">
        <v>271</v>
      </c>
      <c r="P235" s="456">
        <v>0.03</v>
      </c>
      <c r="Q235" s="188"/>
      <c r="R235" s="188"/>
      <c r="S235" s="188"/>
      <c r="T235" s="188"/>
      <c r="U235" s="188"/>
    </row>
    <row r="236" spans="1:21" s="73" customFormat="1">
      <c r="A236" s="347" t="s">
        <v>5</v>
      </c>
      <c r="B236" s="424" t="s">
        <v>1103</v>
      </c>
      <c r="C236" s="349"/>
      <c r="D236" s="330"/>
      <c r="E236" s="330"/>
      <c r="F236" s="330"/>
      <c r="G236" s="330"/>
      <c r="H236" s="330"/>
      <c r="I236" s="330"/>
      <c r="J236" s="330"/>
      <c r="K236" s="330"/>
      <c r="L236" s="330"/>
      <c r="M236" s="330"/>
      <c r="N236" s="330"/>
      <c r="O236" s="330"/>
      <c r="P236" s="330"/>
      <c r="Q236" s="330"/>
      <c r="R236" s="330"/>
      <c r="S236" s="330"/>
      <c r="T236" s="330"/>
      <c r="U236" s="330"/>
    </row>
    <row r="237" spans="1:21">
      <c r="A237" s="323" t="s">
        <v>7</v>
      </c>
      <c r="B237" s="188" t="s">
        <v>831</v>
      </c>
      <c r="C237" s="322"/>
      <c r="D237" s="188"/>
      <c r="E237" s="188"/>
      <c r="F237" s="188"/>
      <c r="G237" s="188"/>
      <c r="H237" s="188"/>
      <c r="I237" s="188"/>
      <c r="J237" s="188"/>
      <c r="K237" s="188"/>
      <c r="L237" s="188"/>
      <c r="M237" s="188"/>
      <c r="N237" s="188"/>
      <c r="O237" s="188"/>
      <c r="P237" s="188"/>
      <c r="Q237" s="188"/>
      <c r="R237" s="188"/>
      <c r="S237" s="188"/>
      <c r="T237" s="188"/>
      <c r="U237" s="188"/>
    </row>
    <row r="238" spans="1:21">
      <c r="A238" s="402" t="s">
        <v>9</v>
      </c>
      <c r="B238" s="188" t="s">
        <v>1104</v>
      </c>
      <c r="C238" s="322"/>
      <c r="D238" s="188"/>
      <c r="E238" s="188"/>
      <c r="F238" s="188"/>
      <c r="G238" s="188"/>
      <c r="H238" s="188"/>
      <c r="I238" s="188"/>
      <c r="J238" s="188"/>
      <c r="K238" s="188"/>
      <c r="L238" s="188"/>
      <c r="M238" s="188"/>
      <c r="N238" s="188"/>
      <c r="O238" s="188"/>
      <c r="P238" s="188"/>
      <c r="Q238" s="188"/>
      <c r="R238" s="188"/>
      <c r="S238" s="188"/>
      <c r="T238" s="188"/>
      <c r="U238" s="188"/>
    </row>
    <row r="239" spans="1:21" ht="15.75" customHeight="1">
      <c r="A239" s="323" t="s">
        <v>11</v>
      </c>
      <c r="B239" s="324" t="s">
        <v>841</v>
      </c>
      <c r="C239" s="188"/>
      <c r="D239" s="188"/>
      <c r="E239" s="188"/>
      <c r="F239" s="188"/>
      <c r="G239" s="188"/>
      <c r="H239" s="188"/>
      <c r="I239" s="188"/>
      <c r="J239" s="188"/>
      <c r="K239" s="188"/>
      <c r="L239" s="188"/>
      <c r="M239" s="188"/>
      <c r="N239" s="188"/>
      <c r="O239" s="188"/>
      <c r="P239" s="188"/>
      <c r="Q239" s="188"/>
      <c r="R239" s="188"/>
      <c r="S239" s="188"/>
      <c r="T239" s="188"/>
      <c r="U239" s="188"/>
    </row>
    <row r="240" spans="1:21">
      <c r="A240" s="323" t="s">
        <v>13</v>
      </c>
      <c r="B240" s="188" t="s">
        <v>14</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15</v>
      </c>
      <c r="B241" s="393">
        <f>B247</f>
        <v>2.7000000000000006E-4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16</v>
      </c>
      <c r="B242" s="188" t="s">
        <v>17</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18</v>
      </c>
      <c r="B243" s="188" t="s">
        <v>853</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0" t="s">
        <v>19</v>
      </c>
      <c r="B244" s="188"/>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1" t="s">
        <v>20</v>
      </c>
      <c r="B245" s="321" t="s">
        <v>21</v>
      </c>
      <c r="C245" s="321" t="s">
        <v>18</v>
      </c>
      <c r="D245" s="321" t="s">
        <v>22</v>
      </c>
      <c r="E245" s="321" t="s">
        <v>7</v>
      </c>
      <c r="F245" s="321" t="s">
        <v>13</v>
      </c>
      <c r="G245" s="321" t="s">
        <v>16</v>
      </c>
      <c r="H245" s="321" t="s">
        <v>23</v>
      </c>
      <c r="I245" s="321" t="s">
        <v>24</v>
      </c>
      <c r="J245" s="321" t="s">
        <v>25</v>
      </c>
      <c r="K245" s="321" t="s">
        <v>26</v>
      </c>
      <c r="L245" s="321" t="s">
        <v>27</v>
      </c>
      <c r="M245" s="321" t="s">
        <v>28</v>
      </c>
      <c r="N245" s="321" t="s">
        <v>11</v>
      </c>
      <c r="O245" s="188"/>
      <c r="P245" s="188"/>
      <c r="Q245" s="188"/>
      <c r="R245" s="188"/>
      <c r="S245" s="188"/>
      <c r="T245" s="188"/>
      <c r="U245" s="188"/>
    </row>
    <row r="246" spans="1:21">
      <c r="A246" s="188" t="s">
        <v>1103</v>
      </c>
      <c r="B246" s="393">
        <f>2.7*0.0001</f>
        <v>2.7000000000000006E-4</v>
      </c>
      <c r="C246" s="188" t="s">
        <v>853</v>
      </c>
      <c r="D246" s="386" t="s">
        <v>2</v>
      </c>
      <c r="E246" s="188" t="s">
        <v>29</v>
      </c>
      <c r="F246" s="37" t="s">
        <v>14</v>
      </c>
      <c r="G246" s="188" t="s">
        <v>30</v>
      </c>
      <c r="H246" s="188">
        <v>1</v>
      </c>
      <c r="I246" s="393">
        <f>B246</f>
        <v>2.7000000000000006E-4</v>
      </c>
      <c r="J246" s="188" t="s">
        <v>31</v>
      </c>
      <c r="K246" s="188" t="s">
        <v>31</v>
      </c>
      <c r="L246" s="188" t="s">
        <v>31</v>
      </c>
      <c r="M246" s="188" t="s">
        <v>31</v>
      </c>
      <c r="N246" s="188"/>
      <c r="O246" s="188"/>
      <c r="P246" s="188"/>
      <c r="Q246" s="188"/>
      <c r="R246" s="188"/>
      <c r="S246" s="188"/>
      <c r="T246" s="188"/>
      <c r="U246" s="188"/>
    </row>
    <row r="247" spans="1:21">
      <c r="A247" s="84" t="s">
        <v>1002</v>
      </c>
      <c r="B247" s="393">
        <f>2.7*0.0001</f>
        <v>2.7000000000000006E-4</v>
      </c>
      <c r="C247" s="188" t="s">
        <v>853</v>
      </c>
      <c r="D247" s="188" t="s">
        <v>40</v>
      </c>
      <c r="E247" s="188" t="s">
        <v>29</v>
      </c>
      <c r="F247" s="188" t="s">
        <v>59</v>
      </c>
      <c r="G247" s="188" t="s">
        <v>33</v>
      </c>
      <c r="H247" s="188">
        <v>2</v>
      </c>
      <c r="I247" s="188">
        <f>LN(B247)</f>
        <v>-8.2170885989658995</v>
      </c>
      <c r="J247" s="188">
        <v>3.7749172176353707E-2</v>
      </c>
      <c r="K247" s="188" t="s">
        <v>31</v>
      </c>
      <c r="L247" s="188" t="s">
        <v>31</v>
      </c>
      <c r="M247" s="188" t="s">
        <v>31</v>
      </c>
      <c r="N247" s="188"/>
      <c r="O247" s="188"/>
      <c r="P247" s="188"/>
      <c r="Q247" s="188"/>
      <c r="R247" s="188"/>
      <c r="S247" s="188"/>
      <c r="T247" s="188"/>
      <c r="U247" s="188"/>
    </row>
    <row r="248" spans="1:21" s="73" customFormat="1">
      <c r="A248" s="347" t="s">
        <v>5</v>
      </c>
      <c r="B248" s="348" t="s">
        <v>1102</v>
      </c>
      <c r="C248" s="330"/>
      <c r="D248" s="330"/>
      <c r="E248" s="330"/>
      <c r="F248" s="330"/>
      <c r="G248" s="330"/>
      <c r="H248" s="330"/>
      <c r="I248" s="330"/>
      <c r="J248" s="330"/>
      <c r="K248" s="330"/>
      <c r="L248" s="330"/>
      <c r="M248" s="330"/>
      <c r="N248" s="330"/>
      <c r="O248" s="330"/>
      <c r="P248" s="330"/>
      <c r="Q248" s="330"/>
      <c r="R248" s="330"/>
      <c r="S248" s="330"/>
      <c r="T248" s="330"/>
      <c r="U248" s="330"/>
    </row>
    <row r="249" spans="1:21">
      <c r="A249" s="323" t="s">
        <v>7</v>
      </c>
      <c r="B249" s="188" t="s">
        <v>831</v>
      </c>
      <c r="C249" s="322"/>
      <c r="D249" s="188"/>
      <c r="E249" s="188"/>
      <c r="F249" s="188"/>
      <c r="G249" s="188"/>
      <c r="H249" s="188"/>
      <c r="I249" s="188"/>
      <c r="J249" s="188"/>
      <c r="K249" s="188"/>
      <c r="L249" s="188"/>
      <c r="M249" s="188"/>
      <c r="N249" s="188"/>
      <c r="O249" s="188"/>
      <c r="P249" s="188"/>
      <c r="Q249" s="188"/>
      <c r="R249" s="188"/>
      <c r="S249" s="188"/>
      <c r="T249" s="188"/>
      <c r="U249" s="188"/>
    </row>
    <row r="250" spans="1:21">
      <c r="A250" s="402" t="s">
        <v>9</v>
      </c>
      <c r="B250" s="188" t="s">
        <v>1105</v>
      </c>
      <c r="C250" s="322"/>
      <c r="D250" s="188"/>
      <c r="E250" s="188"/>
      <c r="F250" s="188"/>
      <c r="G250" s="188"/>
      <c r="H250" s="188"/>
      <c r="I250" s="188"/>
      <c r="J250" s="188"/>
      <c r="K250" s="188"/>
      <c r="L250" s="188"/>
      <c r="M250" s="188"/>
      <c r="N250" s="188"/>
      <c r="O250" s="188"/>
      <c r="P250" s="188"/>
      <c r="Q250" s="188"/>
      <c r="R250" s="188"/>
      <c r="S250" s="188"/>
      <c r="T250" s="188"/>
      <c r="U250" s="188"/>
    </row>
    <row r="251" spans="1:21" ht="15.75" customHeight="1">
      <c r="A251" s="323" t="s">
        <v>11</v>
      </c>
      <c r="B251" s="324" t="s">
        <v>841</v>
      </c>
      <c r="C251" s="188"/>
      <c r="D251" s="188"/>
      <c r="E251" s="188"/>
      <c r="F251" s="188"/>
      <c r="G251" s="188"/>
      <c r="H251" s="188"/>
      <c r="I251" s="188"/>
      <c r="J251" s="188"/>
      <c r="K251" s="188"/>
      <c r="L251" s="188"/>
      <c r="M251" s="188"/>
      <c r="N251" s="188"/>
      <c r="O251" s="188"/>
      <c r="P251" s="188"/>
      <c r="Q251" s="188"/>
      <c r="R251" s="188"/>
      <c r="S251" s="188"/>
      <c r="T251" s="188"/>
      <c r="U251" s="188"/>
    </row>
    <row r="252" spans="1:21">
      <c r="A252" s="323" t="s">
        <v>13</v>
      </c>
      <c r="B252" s="188" t="s">
        <v>14</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15</v>
      </c>
      <c r="B253" s="393">
        <f>B258</f>
        <v>1.4E-3</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16</v>
      </c>
      <c r="B254" s="188" t="s">
        <v>17</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18</v>
      </c>
      <c r="B255" s="188" t="s">
        <v>853</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0" t="s">
        <v>19</v>
      </c>
      <c r="B256" s="188"/>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1" t="s">
        <v>20</v>
      </c>
      <c r="B257" s="321" t="s">
        <v>21</v>
      </c>
      <c r="C257" s="321" t="s">
        <v>18</v>
      </c>
      <c r="D257" s="321" t="s">
        <v>22</v>
      </c>
      <c r="E257" s="321" t="s">
        <v>7</v>
      </c>
      <c r="F257" s="321" t="s">
        <v>13</v>
      </c>
      <c r="G257" s="321" t="s">
        <v>16</v>
      </c>
      <c r="H257" s="321" t="s">
        <v>23</v>
      </c>
      <c r="I257" s="321" t="s">
        <v>24</v>
      </c>
      <c r="J257" s="321" t="s">
        <v>25</v>
      </c>
      <c r="K257" s="321" t="s">
        <v>26</v>
      </c>
      <c r="L257" s="321" t="s">
        <v>27</v>
      </c>
      <c r="M257" s="321" t="s">
        <v>28</v>
      </c>
      <c r="N257" s="321" t="s">
        <v>11</v>
      </c>
      <c r="O257" s="188"/>
      <c r="P257" s="188"/>
      <c r="Q257" s="188"/>
      <c r="R257" s="188"/>
      <c r="S257" s="188"/>
      <c r="T257" s="188"/>
      <c r="U257" s="188"/>
    </row>
    <row r="258" spans="1:21">
      <c r="A258" s="188" t="s">
        <v>1102</v>
      </c>
      <c r="B258" s="393">
        <f>B259</f>
        <v>1.4E-3</v>
      </c>
      <c r="C258" s="188" t="s">
        <v>853</v>
      </c>
      <c r="D258" s="386" t="s">
        <v>2</v>
      </c>
      <c r="E258" s="188" t="s">
        <v>29</v>
      </c>
      <c r="F258" s="37" t="s">
        <v>14</v>
      </c>
      <c r="G258" s="188" t="s">
        <v>30</v>
      </c>
      <c r="H258" s="188">
        <v>1</v>
      </c>
      <c r="I258" s="393">
        <f t="shared" ref="I258:I259" si="31">B258</f>
        <v>1.4E-3</v>
      </c>
      <c r="J258" s="188" t="s">
        <v>31</v>
      </c>
      <c r="K258" s="188" t="s">
        <v>31</v>
      </c>
      <c r="L258" s="188" t="s">
        <v>31</v>
      </c>
      <c r="M258" s="188" t="s">
        <v>31</v>
      </c>
      <c r="N258" s="188"/>
      <c r="O258" s="188"/>
      <c r="P258" s="188"/>
      <c r="Q258" s="188"/>
      <c r="R258" s="188"/>
      <c r="S258" s="188"/>
      <c r="T258" s="188"/>
      <c r="U258" s="188"/>
    </row>
    <row r="259" spans="1:21">
      <c r="A259" s="188" t="s">
        <v>1106</v>
      </c>
      <c r="B259" s="393">
        <f>P259</f>
        <v>1.4E-3</v>
      </c>
      <c r="C259" s="188" t="s">
        <v>853</v>
      </c>
      <c r="D259" s="386" t="s">
        <v>2</v>
      </c>
      <c r="E259" s="188" t="s">
        <v>29</v>
      </c>
      <c r="F259" s="188" t="s">
        <v>14</v>
      </c>
      <c r="G259" s="188" t="s">
        <v>33</v>
      </c>
      <c r="H259" s="188">
        <v>1</v>
      </c>
      <c r="I259" s="393">
        <f t="shared" si="31"/>
        <v>1.4E-3</v>
      </c>
      <c r="J259" s="188" t="s">
        <v>31</v>
      </c>
      <c r="K259" s="188" t="s">
        <v>31</v>
      </c>
      <c r="L259" s="188" t="s">
        <v>31</v>
      </c>
      <c r="M259" s="188" t="s">
        <v>31</v>
      </c>
      <c r="N259" s="188"/>
      <c r="O259" s="188"/>
      <c r="P259" s="448">
        <v>1.4E-3</v>
      </c>
      <c r="Q259" s="188"/>
      <c r="R259" s="188"/>
      <c r="S259" s="188"/>
      <c r="T259" s="188"/>
      <c r="U259" s="188"/>
    </row>
    <row r="260" spans="1:21">
      <c r="A260" s="323" t="s">
        <v>265</v>
      </c>
      <c r="B260" s="327">
        <f>R260</f>
        <v>0.01</v>
      </c>
      <c r="C260" s="188" t="s">
        <v>39</v>
      </c>
      <c r="D260" s="188" t="s">
        <v>40</v>
      </c>
      <c r="E260" s="188" t="s">
        <v>29</v>
      </c>
      <c r="F260" s="37" t="s">
        <v>35</v>
      </c>
      <c r="G260" s="188" t="s">
        <v>33</v>
      </c>
      <c r="H260" s="188">
        <v>2</v>
      </c>
      <c r="I260" s="188">
        <f t="shared" ref="I260:I264" si="32">LN(B260)</f>
        <v>-4.6051701859880909</v>
      </c>
      <c r="J260" s="188">
        <v>0.20928449536456342</v>
      </c>
      <c r="K260" s="188" t="s">
        <v>31</v>
      </c>
      <c r="L260" s="188" t="s">
        <v>31</v>
      </c>
      <c r="M260" s="188" t="s">
        <v>31</v>
      </c>
      <c r="N260" s="188"/>
      <c r="O260" s="361" t="s">
        <v>271</v>
      </c>
      <c r="P260" s="392">
        <v>0.01</v>
      </c>
      <c r="Q260" s="188" t="s">
        <v>271</v>
      </c>
      <c r="R260" s="327">
        <f>P260</f>
        <v>0.01</v>
      </c>
      <c r="S260" s="188"/>
      <c r="T260" s="188"/>
      <c r="U260" s="188"/>
    </row>
    <row r="261" spans="1:21">
      <c r="A261" s="84" t="s">
        <v>843</v>
      </c>
      <c r="B261" s="188">
        <f>R261</f>
        <v>2.9999999999999997E-4</v>
      </c>
      <c r="C261" s="188" t="s">
        <v>37</v>
      </c>
      <c r="D261" s="188" t="s">
        <v>40</v>
      </c>
      <c r="E261" s="188" t="s">
        <v>29</v>
      </c>
      <c r="F261" s="37" t="s">
        <v>35</v>
      </c>
      <c r="G261" s="188" t="s">
        <v>33</v>
      </c>
      <c r="H261" s="188">
        <v>2</v>
      </c>
      <c r="I261" s="188">
        <f t="shared" si="32"/>
        <v>-8.1117280833080727</v>
      </c>
      <c r="J261" s="188">
        <v>0.20928449536456342</v>
      </c>
      <c r="K261" s="188" t="s">
        <v>31</v>
      </c>
      <c r="L261" s="188" t="s">
        <v>31</v>
      </c>
      <c r="M261" s="188" t="s">
        <v>31</v>
      </c>
      <c r="N261" s="188"/>
      <c r="O261" s="379" t="s">
        <v>857</v>
      </c>
      <c r="P261" s="392">
        <v>0.3</v>
      </c>
      <c r="Q261" s="188" t="s">
        <v>275</v>
      </c>
      <c r="R261" s="188">
        <f>0.001*P261</f>
        <v>2.9999999999999997E-4</v>
      </c>
      <c r="S261" s="188"/>
      <c r="T261" s="188"/>
      <c r="U261" s="188"/>
    </row>
    <row r="262" spans="1:21">
      <c r="A262" s="84" t="s">
        <v>489</v>
      </c>
      <c r="B262" s="188">
        <f>R262</f>
        <v>1E-4</v>
      </c>
      <c r="C262" s="188" t="s">
        <v>37</v>
      </c>
      <c r="D262" s="188" t="s">
        <v>40</v>
      </c>
      <c r="E262" s="188" t="s">
        <v>29</v>
      </c>
      <c r="F262" s="37" t="s">
        <v>59</v>
      </c>
      <c r="G262" s="188" t="s">
        <v>33</v>
      </c>
      <c r="H262" s="188">
        <v>2</v>
      </c>
      <c r="I262" s="188">
        <f t="shared" si="32"/>
        <v>-9.2103403719761818</v>
      </c>
      <c r="J262" s="188">
        <v>0.20928449536456342</v>
      </c>
      <c r="K262" s="188" t="s">
        <v>31</v>
      </c>
      <c r="L262" s="188" t="s">
        <v>31</v>
      </c>
      <c r="M262" s="188" t="s">
        <v>31</v>
      </c>
      <c r="N262" s="188"/>
      <c r="O262" s="379" t="s">
        <v>857</v>
      </c>
      <c r="P262" s="392">
        <v>0.1</v>
      </c>
      <c r="Q262" s="188" t="s">
        <v>275</v>
      </c>
      <c r="R262" s="188">
        <f>0.001*P262</f>
        <v>1E-4</v>
      </c>
      <c r="S262" s="188"/>
      <c r="T262" s="188"/>
      <c r="U262" s="188"/>
    </row>
    <row r="263" spans="1:21">
      <c r="A263" s="323" t="s">
        <v>844</v>
      </c>
      <c r="B263" s="188">
        <f>R263</f>
        <v>1.6999999999999999E-3</v>
      </c>
      <c r="C263" s="188" t="s">
        <v>37</v>
      </c>
      <c r="D263" s="188" t="s">
        <v>40</v>
      </c>
      <c r="E263" s="188" t="s">
        <v>29</v>
      </c>
      <c r="F263" s="37" t="s">
        <v>74</v>
      </c>
      <c r="G263" s="188" t="s">
        <v>33</v>
      </c>
      <c r="H263" s="188">
        <v>2</v>
      </c>
      <c r="I263" s="188">
        <f t="shared" si="32"/>
        <v>-6.3771270279199666</v>
      </c>
      <c r="J263" s="188">
        <v>0.20928449536456342</v>
      </c>
      <c r="K263" s="188" t="s">
        <v>31</v>
      </c>
      <c r="L263" s="188" t="s">
        <v>31</v>
      </c>
      <c r="M263" s="188" t="s">
        <v>31</v>
      </c>
      <c r="N263" s="188"/>
      <c r="O263" s="379" t="s">
        <v>857</v>
      </c>
      <c r="P263" s="392">
        <v>1.7</v>
      </c>
      <c r="Q263" s="188" t="s">
        <v>275</v>
      </c>
      <c r="R263" s="188">
        <f>0.001*P263</f>
        <v>1.6999999999999999E-3</v>
      </c>
      <c r="S263" s="188"/>
      <c r="T263" s="188"/>
      <c r="U263" s="188"/>
    </row>
    <row r="264" spans="1:21">
      <c r="A264" s="188" t="s">
        <v>829</v>
      </c>
      <c r="B264" s="188">
        <f>R264</f>
        <v>4.0000000000000002E-4</v>
      </c>
      <c r="C264" s="188" t="s">
        <v>37</v>
      </c>
      <c r="D264" s="386" t="s">
        <v>2</v>
      </c>
      <c r="E264" s="188" t="s">
        <v>29</v>
      </c>
      <c r="F264" s="37" t="s">
        <v>74</v>
      </c>
      <c r="G264" s="188" t="s">
        <v>33</v>
      </c>
      <c r="H264" s="188">
        <v>2</v>
      </c>
      <c r="I264" s="188">
        <f t="shared" si="32"/>
        <v>-7.8240460108562919</v>
      </c>
      <c r="J264" s="188">
        <v>0.20928449536456342</v>
      </c>
      <c r="K264" s="188" t="s">
        <v>31</v>
      </c>
      <c r="L264" s="188" t="s">
        <v>31</v>
      </c>
      <c r="M264" s="188" t="s">
        <v>31</v>
      </c>
      <c r="N264" s="188"/>
      <c r="O264" s="425" t="s">
        <v>857</v>
      </c>
      <c r="P264" s="397">
        <v>0.4</v>
      </c>
      <c r="Q264" s="188" t="s">
        <v>275</v>
      </c>
      <c r="R264" s="188">
        <f>0.001*P264</f>
        <v>4.0000000000000002E-4</v>
      </c>
      <c r="S264" s="188"/>
      <c r="T264" s="188"/>
      <c r="U264" s="188"/>
    </row>
    <row r="265" spans="1:21" s="73" customFormat="1">
      <c r="A265" s="347" t="s">
        <v>5</v>
      </c>
      <c r="B265" s="348" t="s">
        <v>1106</v>
      </c>
      <c r="C265" s="330"/>
      <c r="D265" s="330"/>
      <c r="E265" s="330"/>
      <c r="F265" s="330"/>
      <c r="G265" s="330"/>
      <c r="H265" s="330"/>
      <c r="I265" s="330"/>
      <c r="J265" s="330"/>
      <c r="K265" s="330"/>
      <c r="L265" s="330"/>
      <c r="M265" s="330"/>
      <c r="N265" s="330"/>
      <c r="O265" s="330"/>
      <c r="P265" s="330"/>
      <c r="Q265" s="330"/>
      <c r="R265" s="330"/>
      <c r="S265" s="330"/>
      <c r="T265" s="330"/>
      <c r="U265" s="330"/>
    </row>
    <row r="266" spans="1:21">
      <c r="A266" s="323" t="s">
        <v>7</v>
      </c>
      <c r="B266" s="188" t="s">
        <v>831</v>
      </c>
      <c r="C266" s="322"/>
      <c r="D266" s="188"/>
      <c r="E266" s="188"/>
      <c r="F266" s="188"/>
      <c r="G266" s="188"/>
      <c r="H266" s="188"/>
      <c r="I266" s="188"/>
      <c r="J266" s="188"/>
      <c r="K266" s="188"/>
      <c r="L266" s="188"/>
      <c r="M266" s="188"/>
      <c r="N266" s="188"/>
      <c r="O266" s="188"/>
      <c r="P266" s="188"/>
      <c r="Q266" s="188"/>
      <c r="R266" s="188"/>
      <c r="S266" s="188"/>
      <c r="T266" s="188"/>
      <c r="U266" s="188"/>
    </row>
    <row r="267" spans="1:21">
      <c r="A267" s="402" t="s">
        <v>9</v>
      </c>
      <c r="B267" s="188" t="s">
        <v>1107</v>
      </c>
      <c r="C267" s="322"/>
      <c r="D267" s="188"/>
      <c r="E267" s="188"/>
      <c r="F267" s="188"/>
      <c r="G267" s="188"/>
      <c r="H267" s="188"/>
      <c r="I267" s="188"/>
      <c r="J267" s="188"/>
      <c r="K267" s="188"/>
      <c r="L267" s="188"/>
      <c r="M267" s="188"/>
      <c r="N267" s="188"/>
      <c r="O267" s="188"/>
      <c r="P267" s="188"/>
      <c r="Q267" s="188"/>
      <c r="R267" s="188"/>
      <c r="S267" s="188"/>
      <c r="T267" s="188"/>
      <c r="U267" s="188"/>
    </row>
    <row r="268" spans="1:21" ht="15.75" customHeight="1">
      <c r="A268" s="323" t="s">
        <v>11</v>
      </c>
      <c r="B268" s="324" t="s">
        <v>841</v>
      </c>
      <c r="C268" s="188"/>
      <c r="D268" s="188"/>
      <c r="E268" s="188"/>
      <c r="F268" s="188"/>
      <c r="G268" s="188"/>
      <c r="H268" s="188"/>
      <c r="I268" s="188"/>
      <c r="J268" s="188"/>
      <c r="K268" s="188"/>
      <c r="L268" s="188"/>
      <c r="M268" s="188"/>
      <c r="N268" s="188"/>
      <c r="O268" s="188"/>
      <c r="P268" s="188"/>
      <c r="Q268" s="188"/>
      <c r="R268" s="188"/>
      <c r="S268" s="188"/>
      <c r="T268" s="188"/>
      <c r="U268" s="188"/>
    </row>
    <row r="269" spans="1:21">
      <c r="A269" s="323" t="s">
        <v>13</v>
      </c>
      <c r="B269" s="188" t="s">
        <v>14</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15</v>
      </c>
      <c r="B270" s="393">
        <f>B275</f>
        <v>1.4E-3</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16</v>
      </c>
      <c r="B271" s="188" t="s">
        <v>17</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18</v>
      </c>
      <c r="B272" s="188" t="s">
        <v>853</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0" t="s">
        <v>19</v>
      </c>
      <c r="B273" s="188"/>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1" t="s">
        <v>20</v>
      </c>
      <c r="B274" s="321" t="s">
        <v>21</v>
      </c>
      <c r="C274" s="321" t="s">
        <v>18</v>
      </c>
      <c r="D274" s="321" t="s">
        <v>22</v>
      </c>
      <c r="E274" s="321" t="s">
        <v>7</v>
      </c>
      <c r="F274" s="321" t="s">
        <v>13</v>
      </c>
      <c r="G274" s="321" t="s">
        <v>16</v>
      </c>
      <c r="H274" s="321" t="s">
        <v>23</v>
      </c>
      <c r="I274" s="321" t="s">
        <v>24</v>
      </c>
      <c r="J274" s="321" t="s">
        <v>25</v>
      </c>
      <c r="K274" s="321" t="s">
        <v>26</v>
      </c>
      <c r="L274" s="321" t="s">
        <v>27</v>
      </c>
      <c r="M274" s="321" t="s">
        <v>28</v>
      </c>
      <c r="N274" s="321" t="s">
        <v>11</v>
      </c>
      <c r="O274" s="188"/>
      <c r="P274" s="188"/>
      <c r="Q274" s="188"/>
      <c r="R274" s="188"/>
      <c r="S274" s="188"/>
      <c r="T274" s="188"/>
      <c r="U274" s="188"/>
    </row>
    <row r="275" spans="1:21">
      <c r="A275" s="188" t="s">
        <v>1106</v>
      </c>
      <c r="B275" s="393">
        <v>1.4E-3</v>
      </c>
      <c r="C275" s="188" t="s">
        <v>853</v>
      </c>
      <c r="D275" s="386" t="s">
        <v>2</v>
      </c>
      <c r="E275" s="188" t="s">
        <v>29</v>
      </c>
      <c r="F275" s="188" t="s">
        <v>14</v>
      </c>
      <c r="G275" s="188" t="s">
        <v>30</v>
      </c>
      <c r="H275" s="188">
        <v>1</v>
      </c>
      <c r="I275" s="393">
        <f t="shared" ref="I275:I276" si="33">B275</f>
        <v>1.4E-3</v>
      </c>
      <c r="J275" s="188" t="s">
        <v>31</v>
      </c>
      <c r="K275" s="188" t="s">
        <v>31</v>
      </c>
      <c r="L275" s="188" t="s">
        <v>31</v>
      </c>
      <c r="M275" s="188" t="s">
        <v>31</v>
      </c>
      <c r="N275" s="188"/>
      <c r="O275" s="188"/>
      <c r="P275" s="188"/>
      <c r="Q275" s="188"/>
      <c r="R275" s="188"/>
      <c r="S275" s="188"/>
      <c r="T275" s="188"/>
      <c r="U275" s="188"/>
    </row>
    <row r="276" spans="1:21">
      <c r="A276" s="188" t="s">
        <v>1108</v>
      </c>
      <c r="B276" s="393">
        <f>P276</f>
        <v>1.4E-3</v>
      </c>
      <c r="C276" s="188" t="s">
        <v>853</v>
      </c>
      <c r="D276" s="386" t="s">
        <v>2</v>
      </c>
      <c r="E276" s="188" t="s">
        <v>29</v>
      </c>
      <c r="F276" s="188" t="s">
        <v>14</v>
      </c>
      <c r="G276" s="188" t="s">
        <v>33</v>
      </c>
      <c r="H276" s="188">
        <v>1</v>
      </c>
      <c r="I276" s="393">
        <f t="shared" si="33"/>
        <v>1.4E-3</v>
      </c>
      <c r="J276" s="188" t="s">
        <v>31</v>
      </c>
      <c r="K276" s="188" t="s">
        <v>31</v>
      </c>
      <c r="L276" s="188" t="s">
        <v>31</v>
      </c>
      <c r="M276" s="188" t="s">
        <v>31</v>
      </c>
      <c r="N276" s="188"/>
      <c r="O276" s="188"/>
      <c r="P276" s="448">
        <v>1.4E-3</v>
      </c>
      <c r="Q276" s="188"/>
      <c r="R276" s="188"/>
      <c r="S276" s="188"/>
      <c r="T276" s="188"/>
      <c r="U276" s="188"/>
    </row>
    <row r="277" spans="1:21">
      <c r="A277" s="323" t="s">
        <v>265</v>
      </c>
      <c r="B277" s="327">
        <f>P277</f>
        <v>0.23</v>
      </c>
      <c r="C277" s="188" t="s">
        <v>39</v>
      </c>
      <c r="D277" s="188" t="s">
        <v>40</v>
      </c>
      <c r="E277" s="188" t="s">
        <v>29</v>
      </c>
      <c r="F277" s="37" t="s">
        <v>35</v>
      </c>
      <c r="G277" s="188" t="s">
        <v>33</v>
      </c>
      <c r="H277" s="188">
        <v>2</v>
      </c>
      <c r="I277" s="188">
        <f t="shared" ref="I277:I278" si="34">LN(B277)</f>
        <v>-1.4696759700589417</v>
      </c>
      <c r="J277" s="188">
        <v>0.20928449536456342</v>
      </c>
      <c r="K277" s="188" t="s">
        <v>31</v>
      </c>
      <c r="L277" s="188" t="s">
        <v>31</v>
      </c>
      <c r="M277" s="188" t="s">
        <v>31</v>
      </c>
      <c r="N277" s="188"/>
      <c r="O277" s="379" t="s">
        <v>271</v>
      </c>
      <c r="P277" s="392">
        <f>0.16+0.07</f>
        <v>0.23</v>
      </c>
      <c r="Q277" s="188"/>
      <c r="R277" s="188"/>
      <c r="S277" s="188"/>
      <c r="T277" s="188"/>
      <c r="U277" s="188"/>
    </row>
    <row r="278" spans="1:21">
      <c r="A278" s="323" t="s">
        <v>844</v>
      </c>
      <c r="B278" s="327">
        <f>R278</f>
        <v>5.0000000000000001E-4</v>
      </c>
      <c r="C278" s="188" t="s">
        <v>37</v>
      </c>
      <c r="D278" s="188" t="s">
        <v>40</v>
      </c>
      <c r="E278" s="188" t="s">
        <v>29</v>
      </c>
      <c r="F278" s="37" t="s">
        <v>74</v>
      </c>
      <c r="G278" s="188" t="s">
        <v>33</v>
      </c>
      <c r="H278" s="188">
        <v>2</v>
      </c>
      <c r="I278" s="188">
        <f t="shared" si="34"/>
        <v>-7.6009024595420822</v>
      </c>
      <c r="J278" s="188">
        <v>0.20928449536456342</v>
      </c>
      <c r="K278" s="188" t="s">
        <v>31</v>
      </c>
      <c r="L278" s="188" t="s">
        <v>31</v>
      </c>
      <c r="M278" s="188" t="s">
        <v>31</v>
      </c>
      <c r="N278" s="188"/>
      <c r="O278" s="379" t="s">
        <v>857</v>
      </c>
      <c r="P278" s="392">
        <v>0.5</v>
      </c>
      <c r="Q278" s="188" t="s">
        <v>275</v>
      </c>
      <c r="R278" s="188">
        <f>P278*0.001</f>
        <v>5.0000000000000001E-4</v>
      </c>
      <c r="S278" s="188"/>
      <c r="T278" s="188"/>
      <c r="U278" s="188"/>
    </row>
    <row r="279" spans="1:21">
      <c r="A279" s="84" t="s">
        <v>987</v>
      </c>
      <c r="B279" s="327">
        <f t="shared" ref="B279:B280" si="35">R279</f>
        <v>5.0000000000000001E-4</v>
      </c>
      <c r="C279" s="188" t="s">
        <v>37</v>
      </c>
      <c r="D279" s="188" t="s">
        <v>40</v>
      </c>
      <c r="E279" s="188" t="s">
        <v>29</v>
      </c>
      <c r="F279" s="188" t="s">
        <v>35</v>
      </c>
      <c r="G279" s="188" t="s">
        <v>33</v>
      </c>
      <c r="H279" s="188">
        <v>2</v>
      </c>
      <c r="I279" s="188">
        <f>LN(B279)</f>
        <v>-7.6009024595420822</v>
      </c>
      <c r="J279" s="188">
        <v>0.20928449536456342</v>
      </c>
      <c r="K279" s="188" t="s">
        <v>31</v>
      </c>
      <c r="L279" s="188" t="s">
        <v>31</v>
      </c>
      <c r="M279" s="188" t="s">
        <v>31</v>
      </c>
      <c r="N279" s="188"/>
      <c r="O279" s="379" t="s">
        <v>857</v>
      </c>
      <c r="P279" s="392">
        <v>0.6</v>
      </c>
      <c r="Q279" s="188" t="s">
        <v>275</v>
      </c>
      <c r="R279" s="188">
        <f>P278*0.001</f>
        <v>5.0000000000000001E-4</v>
      </c>
      <c r="S279" s="188"/>
      <c r="T279" s="188"/>
      <c r="U279" s="188"/>
    </row>
    <row r="280" spans="1:21">
      <c r="A280" s="188" t="s">
        <v>829</v>
      </c>
      <c r="B280" s="327">
        <f t="shared" si="35"/>
        <v>5.9999999999999995E-4</v>
      </c>
      <c r="C280" s="188" t="s">
        <v>37</v>
      </c>
      <c r="D280" s="386" t="s">
        <v>2</v>
      </c>
      <c r="E280" s="188" t="s">
        <v>29</v>
      </c>
      <c r="F280" s="37" t="s">
        <v>74</v>
      </c>
      <c r="G280" s="188" t="s">
        <v>33</v>
      </c>
      <c r="H280" s="188">
        <v>2</v>
      </c>
      <c r="I280" s="188">
        <f t="shared" ref="I280" si="36">LN(B280)</f>
        <v>-7.4185809027481282</v>
      </c>
      <c r="J280" s="188">
        <v>0.20928449536456342</v>
      </c>
      <c r="K280" s="188" t="s">
        <v>31</v>
      </c>
      <c r="L280" s="188" t="s">
        <v>31</v>
      </c>
      <c r="M280" s="188" t="s">
        <v>31</v>
      </c>
      <c r="N280" s="188"/>
      <c r="O280" s="425" t="s">
        <v>857</v>
      </c>
      <c r="P280" s="397">
        <v>0.6</v>
      </c>
      <c r="Q280" s="188" t="s">
        <v>275</v>
      </c>
      <c r="R280" s="188">
        <f>0.001*P279</f>
        <v>5.9999999999999995E-4</v>
      </c>
      <c r="S280" s="188"/>
      <c r="T280" s="188"/>
      <c r="U280" s="188"/>
    </row>
    <row r="281" spans="1:21" s="73" customFormat="1">
      <c r="A281" s="347" t="s">
        <v>5</v>
      </c>
      <c r="B281" s="348" t="s">
        <v>1108</v>
      </c>
      <c r="C281" s="330"/>
      <c r="D281" s="330"/>
      <c r="E281" s="330"/>
      <c r="F281" s="330"/>
      <c r="G281" s="330"/>
      <c r="H281" s="330"/>
      <c r="I281" s="330"/>
      <c r="J281" s="330"/>
      <c r="K281" s="330"/>
      <c r="L281" s="330"/>
      <c r="M281" s="330"/>
      <c r="N281" s="330"/>
      <c r="O281" s="330"/>
      <c r="P281" s="330"/>
      <c r="Q281" s="330"/>
      <c r="R281" s="330"/>
      <c r="S281" s="330"/>
      <c r="T281" s="330"/>
      <c r="U281" s="330"/>
    </row>
    <row r="282" spans="1:21">
      <c r="A282" s="323" t="s">
        <v>7</v>
      </c>
      <c r="B282" s="188" t="s">
        <v>831</v>
      </c>
      <c r="C282" s="322"/>
      <c r="D282" s="188"/>
      <c r="E282" s="188"/>
      <c r="F282" s="188"/>
      <c r="G282" s="188"/>
      <c r="H282" s="188"/>
      <c r="I282" s="188"/>
      <c r="J282" s="188"/>
      <c r="K282" s="188"/>
      <c r="L282" s="188"/>
      <c r="M282" s="188"/>
      <c r="N282" s="188"/>
      <c r="O282" s="188"/>
      <c r="P282" s="188"/>
      <c r="Q282" s="188"/>
      <c r="R282" s="188"/>
      <c r="S282" s="188"/>
      <c r="T282" s="188"/>
      <c r="U282" s="188"/>
    </row>
    <row r="283" spans="1:21">
      <c r="A283" s="402" t="s">
        <v>9</v>
      </c>
      <c r="B283" s="188" t="s">
        <v>1109</v>
      </c>
      <c r="C283" s="322"/>
      <c r="D283" s="188"/>
      <c r="E283" s="188"/>
      <c r="F283" s="188"/>
      <c r="G283" s="188"/>
      <c r="H283" s="188"/>
      <c r="I283" s="188"/>
      <c r="J283" s="188"/>
      <c r="K283" s="188"/>
      <c r="L283" s="188"/>
      <c r="M283" s="188"/>
      <c r="N283" s="188"/>
      <c r="O283" s="188"/>
      <c r="P283" s="188"/>
      <c r="Q283" s="188"/>
      <c r="R283" s="188"/>
      <c r="S283" s="188"/>
      <c r="T283" s="188"/>
      <c r="U283" s="188"/>
    </row>
    <row r="284" spans="1:21" ht="15.75" customHeight="1">
      <c r="A284" s="323" t="s">
        <v>11</v>
      </c>
      <c r="B284" s="324" t="s">
        <v>841</v>
      </c>
      <c r="C284" s="188"/>
      <c r="D284" s="188"/>
      <c r="E284" s="188"/>
      <c r="F284" s="188"/>
      <c r="G284" s="188"/>
      <c r="H284" s="188"/>
      <c r="I284" s="188"/>
      <c r="J284" s="188"/>
      <c r="K284" s="188"/>
      <c r="L284" s="188"/>
      <c r="M284" s="188"/>
      <c r="N284" s="188"/>
      <c r="O284" s="188"/>
      <c r="P284" s="188"/>
      <c r="Q284" s="188"/>
      <c r="R284" s="188"/>
      <c r="S284" s="188"/>
      <c r="T284" s="188"/>
      <c r="U284" s="188"/>
    </row>
    <row r="285" spans="1:21">
      <c r="A285" s="323" t="s">
        <v>13</v>
      </c>
      <c r="B285" s="188" t="s">
        <v>14</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15</v>
      </c>
      <c r="B286" s="393">
        <f>B291</f>
        <v>2.47E-3</v>
      </c>
      <c r="C286" s="188"/>
      <c r="D286" s="188"/>
      <c r="E286" s="188"/>
      <c r="F286" s="188"/>
      <c r="G286" s="188"/>
      <c r="H286" s="188"/>
      <c r="I286" s="188"/>
      <c r="J286" s="188"/>
      <c r="K286" s="188"/>
      <c r="L286" s="188"/>
      <c r="M286" s="188"/>
      <c r="N286" s="188"/>
      <c r="O286" s="188"/>
      <c r="P286" s="188"/>
      <c r="Q286" s="188"/>
      <c r="R286" s="321" t="s">
        <v>937</v>
      </c>
      <c r="S286" s="188"/>
      <c r="T286" s="188"/>
      <c r="U286" s="188"/>
    </row>
    <row r="287" spans="1:21">
      <c r="A287" s="323" t="s">
        <v>16</v>
      </c>
      <c r="B287" s="188" t="s">
        <v>17</v>
      </c>
      <c r="C287" s="188"/>
      <c r="D287" s="188"/>
      <c r="E287" s="188"/>
      <c r="F287" s="188"/>
      <c r="G287" s="188"/>
      <c r="H287" s="188"/>
      <c r="I287" s="188"/>
      <c r="J287" s="188"/>
      <c r="K287" s="188"/>
      <c r="L287" s="188"/>
      <c r="M287" s="188"/>
      <c r="N287" s="188"/>
      <c r="O287" s="188"/>
      <c r="P287" s="188"/>
      <c r="Q287" s="188"/>
      <c r="R287" s="188" t="s">
        <v>938</v>
      </c>
      <c r="S287" s="188">
        <v>8900</v>
      </c>
      <c r="T287" s="188" t="s">
        <v>939</v>
      </c>
      <c r="U287" s="188"/>
    </row>
    <row r="288" spans="1:21">
      <c r="A288" s="323" t="s">
        <v>18</v>
      </c>
      <c r="B288" s="188" t="s">
        <v>853</v>
      </c>
      <c r="C288" s="188"/>
      <c r="D288" s="188"/>
      <c r="E288" s="188"/>
      <c r="F288" s="188"/>
      <c r="G288" s="188"/>
      <c r="H288" s="188"/>
      <c r="I288" s="188"/>
      <c r="J288" s="188"/>
      <c r="K288" s="188"/>
      <c r="L288" s="188"/>
      <c r="M288" s="188"/>
      <c r="N288" s="188"/>
      <c r="O288" s="188"/>
      <c r="P288" s="188"/>
      <c r="Q288" s="188"/>
      <c r="R288" s="188" t="s">
        <v>940</v>
      </c>
      <c r="S288" s="188">
        <f>5*10^-6</f>
        <v>4.9999999999999996E-6</v>
      </c>
      <c r="T288" s="188" t="s">
        <v>941</v>
      </c>
      <c r="U288" s="188"/>
    </row>
    <row r="289" spans="1:21">
      <c r="A289" s="320" t="s">
        <v>19</v>
      </c>
      <c r="B289" s="188"/>
      <c r="C289" s="188"/>
      <c r="D289" s="188"/>
      <c r="E289" s="188"/>
      <c r="F289" s="188"/>
      <c r="G289" s="188"/>
      <c r="H289" s="188"/>
      <c r="I289" s="188"/>
      <c r="J289" s="188"/>
      <c r="K289" s="188"/>
      <c r="L289" s="188"/>
      <c r="M289" s="188"/>
      <c r="N289" s="188"/>
      <c r="O289" s="188"/>
      <c r="P289" s="188"/>
      <c r="Q289" s="188"/>
      <c r="R289" s="405" t="s">
        <v>942</v>
      </c>
      <c r="S289" s="406">
        <f>S288*S287</f>
        <v>4.4499999999999998E-2</v>
      </c>
      <c r="T289" s="407" t="s">
        <v>943</v>
      </c>
      <c r="U289" s="188"/>
    </row>
    <row r="290" spans="1:21">
      <c r="A290" s="321" t="s">
        <v>20</v>
      </c>
      <c r="B290" s="321" t="s">
        <v>21</v>
      </c>
      <c r="C290" s="321" t="s">
        <v>18</v>
      </c>
      <c r="D290" s="321" t="s">
        <v>22</v>
      </c>
      <c r="E290" s="321" t="s">
        <v>7</v>
      </c>
      <c r="F290" s="321" t="s">
        <v>13</v>
      </c>
      <c r="G290" s="321" t="s">
        <v>16</v>
      </c>
      <c r="H290" s="321" t="s">
        <v>23</v>
      </c>
      <c r="I290" s="321" t="s">
        <v>24</v>
      </c>
      <c r="J290" s="321" t="s">
        <v>25</v>
      </c>
      <c r="K290" s="321" t="s">
        <v>26</v>
      </c>
      <c r="L290" s="321" t="s">
        <v>27</v>
      </c>
      <c r="M290" s="321" t="s">
        <v>28</v>
      </c>
      <c r="N290" s="321" t="s">
        <v>11</v>
      </c>
      <c r="O290" s="188"/>
      <c r="P290" s="188"/>
      <c r="Q290" s="188"/>
      <c r="R290" s="188"/>
      <c r="S290" s="188"/>
      <c r="T290" s="188"/>
      <c r="U290" s="188"/>
    </row>
    <row r="291" spans="1:21">
      <c r="A291" s="188" t="s">
        <v>1108</v>
      </c>
      <c r="B291" s="433">
        <v>2.47E-3</v>
      </c>
      <c r="C291" s="188" t="s">
        <v>853</v>
      </c>
      <c r="D291" s="386" t="s">
        <v>2</v>
      </c>
      <c r="E291" s="188" t="s">
        <v>29</v>
      </c>
      <c r="F291" s="188" t="s">
        <v>14</v>
      </c>
      <c r="G291" s="188" t="s">
        <v>30</v>
      </c>
      <c r="H291" s="188">
        <v>1</v>
      </c>
      <c r="I291" s="393">
        <f t="shared" ref="I291:I293" si="37">B291</f>
        <v>2.47E-3</v>
      </c>
      <c r="J291" s="188" t="s">
        <v>31</v>
      </c>
      <c r="K291" s="188" t="s">
        <v>31</v>
      </c>
      <c r="L291" s="188" t="s">
        <v>31</v>
      </c>
      <c r="M291" s="188" t="s">
        <v>31</v>
      </c>
      <c r="N291" s="188"/>
      <c r="O291" s="379" t="s">
        <v>944</v>
      </c>
      <c r="P291" s="392">
        <f>B291*100</f>
        <v>0.247</v>
      </c>
      <c r="Q291" s="188"/>
      <c r="R291" s="188" t="s">
        <v>945</v>
      </c>
      <c r="S291" s="188"/>
      <c r="T291" s="188"/>
      <c r="U291" s="388"/>
    </row>
    <row r="292" spans="1:21">
      <c r="A292" s="188" t="s">
        <v>1110</v>
      </c>
      <c r="B292" s="433">
        <v>2.47E-3</v>
      </c>
      <c r="C292" s="188" t="s">
        <v>853</v>
      </c>
      <c r="D292" s="386" t="s">
        <v>2</v>
      </c>
      <c r="E292" s="188" t="s">
        <v>29</v>
      </c>
      <c r="F292" s="188" t="s">
        <v>14</v>
      </c>
      <c r="G292" s="188" t="s">
        <v>33</v>
      </c>
      <c r="H292" s="188">
        <v>1</v>
      </c>
      <c r="I292" s="393">
        <f t="shared" si="37"/>
        <v>2.47E-3</v>
      </c>
      <c r="J292" s="188">
        <v>7.2284161474004766E-2</v>
      </c>
      <c r="K292" s="188" t="s">
        <v>31</v>
      </c>
      <c r="L292" s="188" t="s">
        <v>31</v>
      </c>
      <c r="M292" s="188" t="s">
        <v>31</v>
      </c>
      <c r="N292" s="188"/>
      <c r="O292" s="379" t="s">
        <v>944</v>
      </c>
      <c r="P292" s="392">
        <f>B292*100</f>
        <v>0.247</v>
      </c>
      <c r="Q292" s="188"/>
      <c r="R292" s="408">
        <v>0.1</v>
      </c>
      <c r="S292" s="409" t="s">
        <v>855</v>
      </c>
      <c r="T292" s="408">
        <f>R292*S289</f>
        <v>4.45E-3</v>
      </c>
      <c r="U292" s="409" t="s">
        <v>275</v>
      </c>
    </row>
    <row r="293" spans="1:21">
      <c r="A293" s="192" t="s">
        <v>1051</v>
      </c>
      <c r="B293" s="398">
        <f>T292</f>
        <v>4.45E-3</v>
      </c>
      <c r="C293" s="188" t="s">
        <v>37</v>
      </c>
      <c r="D293" s="386" t="s">
        <v>2</v>
      </c>
      <c r="E293" s="188" t="s">
        <v>29</v>
      </c>
      <c r="F293" s="37" t="s">
        <v>14</v>
      </c>
      <c r="G293" s="188" t="s">
        <v>33</v>
      </c>
      <c r="H293" s="188">
        <v>1</v>
      </c>
      <c r="I293" s="393">
        <f t="shared" si="37"/>
        <v>4.45E-3</v>
      </c>
      <c r="J293" s="188">
        <v>7.2284161474004766E-2</v>
      </c>
      <c r="K293" s="188" t="s">
        <v>31</v>
      </c>
      <c r="L293" s="188" t="s">
        <v>31</v>
      </c>
      <c r="M293" s="188" t="s">
        <v>31</v>
      </c>
      <c r="N293" s="188"/>
      <c r="O293" s="410"/>
      <c r="P293" s="411"/>
      <c r="Q293" s="188"/>
      <c r="R293" s="188"/>
      <c r="S293" s="188"/>
      <c r="T293" s="188"/>
      <c r="U293" s="188"/>
    </row>
    <row r="294" spans="1:21">
      <c r="A294" s="323" t="s">
        <v>844</v>
      </c>
      <c r="B294" s="188">
        <f>P294</f>
        <v>0.8</v>
      </c>
      <c r="C294" s="188" t="s">
        <v>37</v>
      </c>
      <c r="D294" s="188" t="s">
        <v>40</v>
      </c>
      <c r="E294" s="188" t="s">
        <v>29</v>
      </c>
      <c r="F294" s="37" t="s">
        <v>74</v>
      </c>
      <c r="G294" s="188" t="s">
        <v>33</v>
      </c>
      <c r="H294" s="188">
        <v>2</v>
      </c>
      <c r="I294" s="188">
        <f t="shared" ref="I294" si="38">LN(B294)</f>
        <v>-0.22314355131420971</v>
      </c>
      <c r="J294" s="188">
        <v>7.2284161474004766E-2</v>
      </c>
      <c r="K294" s="188" t="s">
        <v>31</v>
      </c>
      <c r="L294" s="188" t="s">
        <v>31</v>
      </c>
      <c r="M294" s="188" t="s">
        <v>31</v>
      </c>
      <c r="N294" s="188"/>
      <c r="O294" s="379" t="s">
        <v>275</v>
      </c>
      <c r="P294" s="392">
        <v>0.8</v>
      </c>
      <c r="Q294" s="188"/>
      <c r="R294" s="188"/>
      <c r="S294" s="188"/>
      <c r="T294" s="188"/>
      <c r="U294" s="188"/>
    </row>
    <row r="295" spans="1:21">
      <c r="A295" s="84" t="s">
        <v>924</v>
      </c>
      <c r="B295" s="327">
        <f>R295</f>
        <v>1E-8</v>
      </c>
      <c r="C295" s="188" t="s">
        <v>37</v>
      </c>
      <c r="D295" s="188" t="s">
        <v>40</v>
      </c>
      <c r="E295" s="188" t="s">
        <v>29</v>
      </c>
      <c r="F295" s="37" t="s">
        <v>59</v>
      </c>
      <c r="G295" s="188" t="s">
        <v>33</v>
      </c>
      <c r="H295" s="188">
        <v>2</v>
      </c>
      <c r="I295" s="188">
        <f>LN(B295)</f>
        <v>-18.420680743952367</v>
      </c>
      <c r="J295" s="188">
        <v>7.2284161474004766E-2</v>
      </c>
      <c r="K295" s="188" t="s">
        <v>31</v>
      </c>
      <c r="L295" s="188" t="s">
        <v>31</v>
      </c>
      <c r="M295" s="188" t="s">
        <v>31</v>
      </c>
      <c r="N295" s="188"/>
      <c r="O295" s="394" t="s">
        <v>862</v>
      </c>
      <c r="P295" s="417">
        <v>1.0000000000000001E-5</v>
      </c>
      <c r="Q295" s="379" t="s">
        <v>275</v>
      </c>
      <c r="R295" s="188">
        <f>P295*0.001</f>
        <v>1E-8</v>
      </c>
      <c r="S295" s="188"/>
      <c r="T295" s="188"/>
      <c r="U295" s="188"/>
    </row>
    <row r="296" spans="1:21">
      <c r="A296" s="84" t="s">
        <v>76</v>
      </c>
      <c r="B296" s="188">
        <f>R296</f>
        <v>8.0000000000000004E-4</v>
      </c>
      <c r="C296" s="188" t="s">
        <v>42</v>
      </c>
      <c r="D296" s="188" t="s">
        <v>40</v>
      </c>
      <c r="E296" s="188" t="s">
        <v>29</v>
      </c>
      <c r="F296" s="37" t="s">
        <v>74</v>
      </c>
      <c r="G296" s="188" t="s">
        <v>33</v>
      </c>
      <c r="H296" s="188">
        <v>2</v>
      </c>
      <c r="I296" s="188">
        <f t="shared" ref="I296" si="39">LN(B296)</f>
        <v>-7.1308988302963465</v>
      </c>
      <c r="J296" s="188">
        <v>7.2284161474004766E-2</v>
      </c>
      <c r="K296" s="188" t="s">
        <v>31</v>
      </c>
      <c r="L296" s="188" t="s">
        <v>31</v>
      </c>
      <c r="M296" s="188" t="s">
        <v>31</v>
      </c>
      <c r="N296" s="188"/>
      <c r="O296" s="396" t="s">
        <v>913</v>
      </c>
      <c r="P296" s="397">
        <v>0.8</v>
      </c>
      <c r="Q296" s="188" t="s">
        <v>274</v>
      </c>
      <c r="R296" s="188">
        <f>P296*0.001</f>
        <v>8.0000000000000004E-4</v>
      </c>
      <c r="S296" s="188"/>
      <c r="T296" s="188"/>
      <c r="U296" s="188"/>
    </row>
    <row r="297" spans="1:21" s="73" customFormat="1">
      <c r="A297" s="347" t="s">
        <v>5</v>
      </c>
      <c r="B297" s="348" t="s">
        <v>1110</v>
      </c>
      <c r="C297" s="330"/>
      <c r="D297" s="330"/>
      <c r="E297" s="330"/>
      <c r="F297" s="330"/>
      <c r="G297" s="330"/>
      <c r="H297" s="330"/>
      <c r="I297" s="330"/>
      <c r="J297" s="330"/>
      <c r="K297" s="330"/>
      <c r="L297" s="330"/>
      <c r="M297" s="330"/>
      <c r="N297" s="330"/>
      <c r="O297" s="330"/>
      <c r="P297" s="330"/>
      <c r="Q297" s="330"/>
      <c r="R297" s="330"/>
      <c r="S297" s="330"/>
      <c r="T297" s="330"/>
      <c r="U297" s="330"/>
    </row>
    <row r="298" spans="1:21">
      <c r="A298" s="323" t="s">
        <v>7</v>
      </c>
      <c r="B298" s="188" t="s">
        <v>831</v>
      </c>
      <c r="C298" s="322"/>
      <c r="D298" s="188"/>
      <c r="E298" s="188"/>
      <c r="F298" s="188"/>
      <c r="G298" s="188"/>
      <c r="H298" s="188"/>
      <c r="I298" s="188"/>
      <c r="J298" s="188"/>
      <c r="K298" s="188"/>
      <c r="L298" s="188"/>
      <c r="M298" s="188"/>
      <c r="N298" s="188"/>
      <c r="O298" s="188"/>
      <c r="P298" s="188"/>
      <c r="Q298" s="188"/>
      <c r="R298" s="188"/>
      <c r="S298" s="188"/>
      <c r="T298" s="188"/>
      <c r="U298" s="188"/>
    </row>
    <row r="299" spans="1:21">
      <c r="A299" s="402" t="s">
        <v>9</v>
      </c>
      <c r="B299" s="188" t="s">
        <v>1111</v>
      </c>
      <c r="C299" s="322"/>
      <c r="D299" s="188"/>
      <c r="E299" s="188"/>
      <c r="F299" s="188"/>
      <c r="G299" s="188"/>
      <c r="H299" s="188"/>
      <c r="I299" s="188"/>
      <c r="J299" s="188"/>
      <c r="K299" s="188"/>
      <c r="L299" s="188"/>
      <c r="M299" s="188"/>
      <c r="N299" s="188"/>
      <c r="O299" s="188"/>
      <c r="P299" s="188"/>
      <c r="Q299" s="188"/>
      <c r="R299" s="188"/>
      <c r="S299" s="188"/>
      <c r="T299" s="188"/>
      <c r="U299" s="188"/>
    </row>
    <row r="300" spans="1:21" ht="15.75" customHeight="1">
      <c r="A300" s="323" t="s">
        <v>11</v>
      </c>
      <c r="B300" s="324" t="s">
        <v>841</v>
      </c>
      <c r="C300" s="188"/>
      <c r="D300" s="188"/>
      <c r="E300" s="188"/>
      <c r="F300" s="188"/>
      <c r="G300" s="188"/>
      <c r="H300" s="188"/>
      <c r="I300" s="188"/>
      <c r="J300" s="188"/>
      <c r="K300" s="188"/>
      <c r="L300" s="188"/>
      <c r="M300" s="188"/>
      <c r="N300" s="188"/>
      <c r="O300" s="188"/>
      <c r="P300" s="188"/>
      <c r="Q300" s="188"/>
      <c r="R300" s="188"/>
      <c r="S300" s="188"/>
      <c r="T300" s="188"/>
      <c r="U300" s="188"/>
    </row>
    <row r="301" spans="1:21">
      <c r="A301" s="323" t="s">
        <v>13</v>
      </c>
      <c r="B301" s="188" t="s">
        <v>14</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15</v>
      </c>
      <c r="B302" s="393">
        <f>B307</f>
        <v>1.4E-3</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16</v>
      </c>
      <c r="B303" s="188" t="s">
        <v>17</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18</v>
      </c>
      <c r="B304" s="188" t="s">
        <v>853</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0" t="s">
        <v>19</v>
      </c>
      <c r="B305" s="188"/>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1" t="s">
        <v>20</v>
      </c>
      <c r="B306" s="321" t="s">
        <v>21</v>
      </c>
      <c r="C306" s="321" t="s">
        <v>18</v>
      </c>
      <c r="D306" s="321" t="s">
        <v>22</v>
      </c>
      <c r="E306" s="321" t="s">
        <v>7</v>
      </c>
      <c r="F306" s="321" t="s">
        <v>13</v>
      </c>
      <c r="G306" s="321" t="s">
        <v>16</v>
      </c>
      <c r="H306" s="321" t="s">
        <v>23</v>
      </c>
      <c r="I306" s="321" t="s">
        <v>24</v>
      </c>
      <c r="J306" s="321" t="s">
        <v>25</v>
      </c>
      <c r="K306" s="321" t="s">
        <v>26</v>
      </c>
      <c r="L306" s="321" t="s">
        <v>27</v>
      </c>
      <c r="M306" s="321" t="s">
        <v>28</v>
      </c>
      <c r="N306" s="321" t="s">
        <v>11</v>
      </c>
      <c r="O306" s="188"/>
      <c r="P306" s="188"/>
      <c r="Q306" s="188"/>
      <c r="R306" s="188"/>
      <c r="S306" s="188"/>
      <c r="T306" s="393"/>
      <c r="U306" s="188"/>
    </row>
    <row r="307" spans="1:21">
      <c r="A307" s="188" t="s">
        <v>1110</v>
      </c>
      <c r="B307" s="393">
        <f t="shared" ref="B307:B317" si="40">P307</f>
        <v>1.4E-3</v>
      </c>
      <c r="C307" s="188" t="s">
        <v>853</v>
      </c>
      <c r="D307" s="386" t="s">
        <v>2</v>
      </c>
      <c r="E307" s="188" t="s">
        <v>29</v>
      </c>
      <c r="F307" s="188" t="s">
        <v>14</v>
      </c>
      <c r="G307" s="188" t="s">
        <v>30</v>
      </c>
      <c r="H307" s="188">
        <v>1</v>
      </c>
      <c r="I307" s="393">
        <f t="shared" ref="I307:I308" si="41">B307</f>
        <v>1.4E-3</v>
      </c>
      <c r="J307" s="188" t="s">
        <v>31</v>
      </c>
      <c r="K307" s="188" t="s">
        <v>31</v>
      </c>
      <c r="L307" s="188" t="s">
        <v>31</v>
      </c>
      <c r="M307" s="188" t="s">
        <v>31</v>
      </c>
      <c r="N307" s="188"/>
      <c r="O307" s="188"/>
      <c r="P307" s="447">
        <v>1.4E-3</v>
      </c>
      <c r="Q307" s="188"/>
      <c r="R307" s="188"/>
      <c r="S307" s="188"/>
      <c r="T307" s="188"/>
      <c r="U307" s="188"/>
    </row>
    <row r="308" spans="1:21">
      <c r="A308" s="188" t="s">
        <v>1112</v>
      </c>
      <c r="B308" s="393">
        <f t="shared" si="40"/>
        <v>1.4E-3</v>
      </c>
      <c r="C308" s="188" t="s">
        <v>853</v>
      </c>
      <c r="D308" s="386" t="s">
        <v>2</v>
      </c>
      <c r="E308" s="188" t="s">
        <v>29</v>
      </c>
      <c r="F308" s="188" t="s">
        <v>14</v>
      </c>
      <c r="G308" s="188" t="s">
        <v>33</v>
      </c>
      <c r="H308" s="188">
        <v>1</v>
      </c>
      <c r="I308" s="393">
        <f t="shared" si="41"/>
        <v>1.4E-3</v>
      </c>
      <c r="J308" s="188" t="s">
        <v>31</v>
      </c>
      <c r="K308" s="188" t="s">
        <v>31</v>
      </c>
      <c r="L308" s="188" t="s">
        <v>31</v>
      </c>
      <c r="M308" s="188" t="s">
        <v>31</v>
      </c>
      <c r="N308" s="188"/>
      <c r="O308" s="188"/>
      <c r="P308" s="432">
        <v>1.4E-3</v>
      </c>
      <c r="Q308" s="188"/>
      <c r="R308" s="188"/>
      <c r="S308" s="188"/>
      <c r="T308" s="188"/>
      <c r="U308" s="188"/>
    </row>
    <row r="309" spans="1:21">
      <c r="A309" s="323" t="s">
        <v>265</v>
      </c>
      <c r="B309" s="327">
        <f t="shared" si="40"/>
        <v>1.7999999999999999E-2</v>
      </c>
      <c r="C309" s="188" t="s">
        <v>39</v>
      </c>
      <c r="D309" s="188" t="s">
        <v>40</v>
      </c>
      <c r="E309" s="188" t="s">
        <v>29</v>
      </c>
      <c r="F309" s="37" t="s">
        <v>35</v>
      </c>
      <c r="G309" s="188" t="s">
        <v>33</v>
      </c>
      <c r="H309" s="188">
        <v>2</v>
      </c>
      <c r="I309" s="188">
        <f t="shared" ref="I309" si="42">LN(B309)</f>
        <v>-4.0173835210859723</v>
      </c>
      <c r="J309" s="188">
        <v>0.22500000000000006</v>
      </c>
      <c r="K309" s="188" t="s">
        <v>31</v>
      </c>
      <c r="L309" s="188" t="s">
        <v>31</v>
      </c>
      <c r="M309" s="188" t="s">
        <v>31</v>
      </c>
      <c r="N309" s="188"/>
      <c r="O309" s="379" t="s">
        <v>271</v>
      </c>
      <c r="P309" s="392">
        <v>1.7999999999999999E-2</v>
      </c>
      <c r="Q309" s="188"/>
      <c r="R309" s="188"/>
      <c r="S309" s="188"/>
      <c r="T309" s="188"/>
      <c r="U309" s="188"/>
    </row>
    <row r="310" spans="1:21">
      <c r="A310" s="84" t="s">
        <v>731</v>
      </c>
      <c r="B310" s="393">
        <f t="shared" si="40"/>
        <v>8.0000000000000004E-4</v>
      </c>
      <c r="C310" s="188" t="s">
        <v>37</v>
      </c>
      <c r="D310" s="188" t="s">
        <v>40</v>
      </c>
      <c r="E310" s="188" t="s">
        <v>29</v>
      </c>
      <c r="F310" s="188" t="s">
        <v>35</v>
      </c>
      <c r="G310" s="188" t="s">
        <v>33</v>
      </c>
      <c r="H310" s="188">
        <v>2</v>
      </c>
      <c r="I310" s="188">
        <f>LN(B310)</f>
        <v>-7.1308988302963465</v>
      </c>
      <c r="J310" s="188">
        <v>0.22500000000000006</v>
      </c>
      <c r="K310" s="188" t="s">
        <v>31</v>
      </c>
      <c r="L310" s="188" t="s">
        <v>31</v>
      </c>
      <c r="M310" s="188" t="s">
        <v>31</v>
      </c>
      <c r="N310" s="188"/>
      <c r="O310" s="379" t="s">
        <v>275</v>
      </c>
      <c r="P310" s="430">
        <v>8.0000000000000004E-4</v>
      </c>
      <c r="Q310" s="188"/>
      <c r="R310" s="188"/>
      <c r="S310" s="188"/>
      <c r="T310" s="188"/>
      <c r="U310" s="188"/>
    </row>
    <row r="311" spans="1:21">
      <c r="A311" s="188" t="s">
        <v>1012</v>
      </c>
      <c r="B311" s="393">
        <f t="shared" si="40"/>
        <v>1.8E-3</v>
      </c>
      <c r="C311" s="188" t="s">
        <v>37</v>
      </c>
      <c r="D311" s="188" t="s">
        <v>40</v>
      </c>
      <c r="E311" s="188" t="s">
        <v>29</v>
      </c>
      <c r="F311" s="188" t="s">
        <v>59</v>
      </c>
      <c r="G311" s="188" t="s">
        <v>33</v>
      </c>
      <c r="H311" s="188">
        <v>2</v>
      </c>
      <c r="I311" s="188">
        <f t="shared" ref="I311:I317" si="43">LN(B311)</f>
        <v>-6.3199686140800182</v>
      </c>
      <c r="J311" s="188">
        <v>0.22500000000000006</v>
      </c>
      <c r="K311" s="188" t="s">
        <v>31</v>
      </c>
      <c r="L311" s="188" t="s">
        <v>31</v>
      </c>
      <c r="M311" s="188" t="s">
        <v>31</v>
      </c>
      <c r="N311" s="188"/>
      <c r="O311" s="379" t="s">
        <v>275</v>
      </c>
      <c r="P311" s="430">
        <v>1.8E-3</v>
      </c>
      <c r="Q311" s="188"/>
      <c r="R311" s="188"/>
      <c r="S311" s="188"/>
      <c r="T311" s="188"/>
      <c r="U311" s="188"/>
    </row>
    <row r="312" spans="1:21">
      <c r="A312" s="84" t="s">
        <v>987</v>
      </c>
      <c r="B312" s="393">
        <f t="shared" si="40"/>
        <v>8.0000000000000004E-4</v>
      </c>
      <c r="C312" s="188" t="s">
        <v>37</v>
      </c>
      <c r="D312" s="188" t="s">
        <v>40</v>
      </c>
      <c r="E312" s="188" t="s">
        <v>29</v>
      </c>
      <c r="F312" s="188" t="s">
        <v>35</v>
      </c>
      <c r="G312" s="188" t="s">
        <v>33</v>
      </c>
      <c r="H312" s="188">
        <v>2</v>
      </c>
      <c r="I312" s="188">
        <f t="shared" si="43"/>
        <v>-7.1308988302963465</v>
      </c>
      <c r="J312" s="188">
        <v>0.22500000000000006</v>
      </c>
      <c r="K312" s="188" t="s">
        <v>31</v>
      </c>
      <c r="L312" s="188" t="s">
        <v>31</v>
      </c>
      <c r="M312" s="188" t="s">
        <v>31</v>
      </c>
      <c r="N312" s="188"/>
      <c r="O312" s="379" t="s">
        <v>275</v>
      </c>
      <c r="P312" s="430">
        <v>8.0000000000000004E-4</v>
      </c>
      <c r="Q312" s="188"/>
      <c r="R312" s="188"/>
      <c r="S312" s="188"/>
      <c r="T312" s="188"/>
      <c r="U312" s="188"/>
    </row>
    <row r="313" spans="1:21">
      <c r="A313" s="84" t="s">
        <v>1013</v>
      </c>
      <c r="B313" s="393">
        <f t="shared" si="40"/>
        <v>5.9999999999999995E-4</v>
      </c>
      <c r="C313" s="188" t="s">
        <v>37</v>
      </c>
      <c r="D313" s="188" t="s">
        <v>40</v>
      </c>
      <c r="E313" s="188" t="s">
        <v>29</v>
      </c>
      <c r="F313" s="188" t="s">
        <v>59</v>
      </c>
      <c r="G313" s="188" t="s">
        <v>33</v>
      </c>
      <c r="H313" s="188">
        <v>2</v>
      </c>
      <c r="I313" s="188">
        <f t="shared" si="43"/>
        <v>-7.4185809027481282</v>
      </c>
      <c r="J313" s="188">
        <v>0.22500000000000006</v>
      </c>
      <c r="K313" s="188" t="s">
        <v>31</v>
      </c>
      <c r="L313" s="188" t="s">
        <v>31</v>
      </c>
      <c r="M313" s="188" t="s">
        <v>31</v>
      </c>
      <c r="N313" s="188"/>
      <c r="O313" s="379" t="s">
        <v>275</v>
      </c>
      <c r="P313" s="430">
        <v>5.9999999999999995E-4</v>
      </c>
      <c r="Q313" s="188"/>
      <c r="R313" s="188"/>
      <c r="S313" s="188"/>
      <c r="T313" s="188"/>
      <c r="U313" s="188"/>
    </row>
    <row r="314" spans="1:21">
      <c r="A314" s="84" t="s">
        <v>1014</v>
      </c>
      <c r="B314" s="393">
        <f t="shared" si="40"/>
        <v>1.8E-3</v>
      </c>
      <c r="C314" s="188" t="s">
        <v>37</v>
      </c>
      <c r="D314" s="188" t="s">
        <v>40</v>
      </c>
      <c r="E314" s="188" t="s">
        <v>29</v>
      </c>
      <c r="F314" s="188" t="s">
        <v>59</v>
      </c>
      <c r="G314" s="188" t="s">
        <v>33</v>
      </c>
      <c r="H314" s="188">
        <v>2</v>
      </c>
      <c r="I314" s="188">
        <f t="shared" si="43"/>
        <v>-6.3199686140800182</v>
      </c>
      <c r="J314" s="188">
        <v>0.22500000000000006</v>
      </c>
      <c r="K314" s="188" t="s">
        <v>31</v>
      </c>
      <c r="L314" s="188" t="s">
        <v>31</v>
      </c>
      <c r="M314" s="188" t="s">
        <v>31</v>
      </c>
      <c r="N314" s="188"/>
      <c r="O314" s="379" t="s">
        <v>275</v>
      </c>
      <c r="P314" s="430">
        <v>1.8E-3</v>
      </c>
      <c r="Q314" s="188"/>
      <c r="R314" s="188"/>
      <c r="S314" s="188"/>
      <c r="T314" s="188"/>
      <c r="U314" s="188"/>
    </row>
    <row r="315" spans="1:21">
      <c r="A315" s="323" t="s">
        <v>844</v>
      </c>
      <c r="B315" s="393">
        <f t="shared" si="40"/>
        <v>3.2599999999999997E-2</v>
      </c>
      <c r="C315" s="188" t="s">
        <v>37</v>
      </c>
      <c r="D315" s="188" t="s">
        <v>40</v>
      </c>
      <c r="E315" s="188" t="s">
        <v>29</v>
      </c>
      <c r="F315" s="37" t="s">
        <v>74</v>
      </c>
      <c r="G315" s="188" t="s">
        <v>33</v>
      </c>
      <c r="H315" s="188">
        <v>2</v>
      </c>
      <c r="I315" s="188">
        <f t="shared" si="43"/>
        <v>-3.423442990609475</v>
      </c>
      <c r="J315" s="188">
        <v>0.22500000000000006</v>
      </c>
      <c r="K315" s="188" t="s">
        <v>31</v>
      </c>
      <c r="L315" s="188" t="s">
        <v>31</v>
      </c>
      <c r="M315" s="188" t="s">
        <v>31</v>
      </c>
      <c r="N315" s="188"/>
      <c r="O315" s="379" t="s">
        <v>275</v>
      </c>
      <c r="P315" s="430">
        <v>3.2599999999999997E-2</v>
      </c>
      <c r="Q315" s="188"/>
      <c r="R315" s="188"/>
      <c r="S315" s="188"/>
      <c r="T315" s="188"/>
      <c r="U315" s="188"/>
    </row>
    <row r="316" spans="1:21">
      <c r="A316" s="84" t="s">
        <v>807</v>
      </c>
      <c r="B316" s="393">
        <f t="shared" si="40"/>
        <v>2.9999999999999997E-4</v>
      </c>
      <c r="C316" s="188" t="s">
        <v>37</v>
      </c>
      <c r="D316" s="188" t="s">
        <v>43</v>
      </c>
      <c r="E316" s="188" t="s">
        <v>44</v>
      </c>
      <c r="F316" s="188" t="s">
        <v>29</v>
      </c>
      <c r="G316" s="188" t="s">
        <v>45</v>
      </c>
      <c r="H316" s="188">
        <v>2</v>
      </c>
      <c r="I316" s="188">
        <f t="shared" si="43"/>
        <v>-8.1117280833080727</v>
      </c>
      <c r="J316" s="188">
        <v>0.22500000000000006</v>
      </c>
      <c r="K316" s="188" t="s">
        <v>31</v>
      </c>
      <c r="L316" s="188" t="s">
        <v>31</v>
      </c>
      <c r="M316" s="188" t="s">
        <v>31</v>
      </c>
      <c r="N316" s="188"/>
      <c r="O316" s="394" t="s">
        <v>275</v>
      </c>
      <c r="P316" s="395">
        <v>2.9999999999999997E-4</v>
      </c>
      <c r="Q316" s="188"/>
      <c r="R316" s="188"/>
      <c r="S316" s="188"/>
      <c r="T316" s="188"/>
      <c r="U316" s="188"/>
    </row>
    <row r="317" spans="1:21">
      <c r="A317" s="188" t="s">
        <v>829</v>
      </c>
      <c r="B317" s="393">
        <f t="shared" si="40"/>
        <v>5.7999999999999996E-3</v>
      </c>
      <c r="C317" s="188" t="s">
        <v>37</v>
      </c>
      <c r="D317" s="386" t="s">
        <v>2</v>
      </c>
      <c r="E317" s="188" t="s">
        <v>29</v>
      </c>
      <c r="F317" s="37" t="s">
        <v>74</v>
      </c>
      <c r="G317" s="188" t="s">
        <v>33</v>
      </c>
      <c r="H317" s="188">
        <v>2</v>
      </c>
      <c r="I317" s="188">
        <f t="shared" si="43"/>
        <v>-5.1498973614297636</v>
      </c>
      <c r="J317" s="188">
        <v>0.22500000000000006</v>
      </c>
      <c r="K317" s="188" t="s">
        <v>31</v>
      </c>
      <c r="L317" s="188" t="s">
        <v>31</v>
      </c>
      <c r="M317" s="188" t="s">
        <v>31</v>
      </c>
      <c r="N317" s="188"/>
      <c r="O317" s="396" t="s">
        <v>275</v>
      </c>
      <c r="P317" s="431">
        <v>5.7999999999999996E-3</v>
      </c>
      <c r="Q317" s="188"/>
      <c r="R317" s="188"/>
      <c r="S317" s="188"/>
      <c r="T317" s="188"/>
      <c r="U317" s="188"/>
    </row>
    <row r="318" spans="1:21" s="73" customFormat="1">
      <c r="A318" s="347" t="s">
        <v>5</v>
      </c>
      <c r="B318" s="348" t="s">
        <v>1112</v>
      </c>
      <c r="C318" s="330"/>
      <c r="D318" s="330"/>
      <c r="E318" s="330"/>
      <c r="F318" s="330"/>
      <c r="G318" s="330"/>
      <c r="H318" s="330"/>
      <c r="I318" s="330"/>
      <c r="J318" s="330"/>
      <c r="K318" s="330"/>
      <c r="L318" s="330"/>
      <c r="M318" s="330"/>
      <c r="N318" s="330"/>
      <c r="O318" s="330"/>
      <c r="P318" s="330"/>
      <c r="Q318" s="330"/>
      <c r="R318" s="330"/>
      <c r="S318" s="330"/>
      <c r="T318" s="330"/>
      <c r="U318" s="330"/>
    </row>
    <row r="319" spans="1:21">
      <c r="A319" s="323" t="s">
        <v>7</v>
      </c>
      <c r="B319" s="188" t="s">
        <v>831</v>
      </c>
      <c r="C319" s="322"/>
      <c r="D319" s="188"/>
      <c r="E319" s="188"/>
      <c r="F319" s="188"/>
      <c r="G319" s="188"/>
      <c r="H319" s="188"/>
      <c r="I319" s="188"/>
      <c r="J319" s="188"/>
      <c r="K319" s="188"/>
      <c r="L319" s="188"/>
      <c r="M319" s="188"/>
      <c r="N319" s="188"/>
      <c r="O319" s="188"/>
      <c r="P319" s="188"/>
      <c r="Q319" s="188"/>
      <c r="R319" s="188"/>
      <c r="S319" s="188"/>
      <c r="T319" s="188"/>
      <c r="U319" s="188"/>
    </row>
    <row r="320" spans="1:21">
      <c r="A320" s="402" t="s">
        <v>9</v>
      </c>
      <c r="B320" s="188" t="s">
        <v>1113</v>
      </c>
      <c r="C320" s="322"/>
      <c r="D320" s="188"/>
      <c r="E320" s="188"/>
      <c r="F320" s="188"/>
      <c r="G320" s="188"/>
      <c r="H320" s="188"/>
      <c r="I320" s="188"/>
      <c r="J320" s="188"/>
      <c r="K320" s="188"/>
      <c r="L320" s="188"/>
      <c r="M320" s="188"/>
      <c r="N320" s="188"/>
      <c r="O320" s="188"/>
      <c r="P320" s="188"/>
      <c r="Q320" s="188"/>
      <c r="R320" s="188"/>
      <c r="S320" s="188"/>
      <c r="T320" s="188"/>
      <c r="U320" s="188"/>
    </row>
    <row r="321" spans="1:21" ht="15.75" customHeight="1">
      <c r="A321" s="323" t="s">
        <v>11</v>
      </c>
      <c r="B321" s="324" t="s">
        <v>841</v>
      </c>
      <c r="C321" s="188"/>
      <c r="D321" s="188"/>
      <c r="E321" s="188"/>
      <c r="F321" s="188"/>
      <c r="G321" s="188"/>
      <c r="H321" s="188"/>
      <c r="I321" s="188"/>
      <c r="J321" s="188"/>
      <c r="K321" s="188"/>
      <c r="L321" s="188"/>
      <c r="M321" s="188"/>
      <c r="N321" s="188"/>
      <c r="O321" s="188"/>
      <c r="P321" s="188"/>
      <c r="Q321" s="188"/>
      <c r="R321" s="188"/>
      <c r="S321" s="188"/>
      <c r="T321" s="188"/>
      <c r="U321" s="188"/>
    </row>
    <row r="322" spans="1:21">
      <c r="A322" s="323" t="s">
        <v>13</v>
      </c>
      <c r="B322" s="188" t="s">
        <v>14</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15</v>
      </c>
      <c r="B323" s="393">
        <f>B328</f>
        <v>1.4E-3</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16</v>
      </c>
      <c r="B324" s="188" t="s">
        <v>17</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18</v>
      </c>
      <c r="B325" s="188" t="s">
        <v>853</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0" t="s">
        <v>19</v>
      </c>
      <c r="B326" s="188"/>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1" t="s">
        <v>20</v>
      </c>
      <c r="B327" s="321" t="s">
        <v>21</v>
      </c>
      <c r="C327" s="321" t="s">
        <v>18</v>
      </c>
      <c r="D327" s="321" t="s">
        <v>22</v>
      </c>
      <c r="E327" s="321" t="s">
        <v>7</v>
      </c>
      <c r="F327" s="321" t="s">
        <v>13</v>
      </c>
      <c r="G327" s="321" t="s">
        <v>16</v>
      </c>
      <c r="H327" s="321" t="s">
        <v>23</v>
      </c>
      <c r="I327" s="321" t="s">
        <v>24</v>
      </c>
      <c r="J327" s="321" t="s">
        <v>25</v>
      </c>
      <c r="K327" s="321" t="s">
        <v>26</v>
      </c>
      <c r="L327" s="321" t="s">
        <v>27</v>
      </c>
      <c r="M327" s="321" t="s">
        <v>28</v>
      </c>
      <c r="N327" s="321" t="s">
        <v>11</v>
      </c>
      <c r="O327" s="188"/>
      <c r="P327" s="188"/>
      <c r="Q327" s="188"/>
      <c r="R327" s="188"/>
      <c r="S327" s="188"/>
      <c r="T327" s="393"/>
      <c r="U327" s="188"/>
    </row>
    <row r="328" spans="1:21">
      <c r="A328" s="188" t="s">
        <v>1112</v>
      </c>
      <c r="B328" s="393">
        <f>P329</f>
        <v>1.4E-3</v>
      </c>
      <c r="C328" s="188" t="s">
        <v>853</v>
      </c>
      <c r="D328" s="386" t="s">
        <v>2</v>
      </c>
      <c r="E328" s="188" t="s">
        <v>29</v>
      </c>
      <c r="F328" s="188" t="s">
        <v>14</v>
      </c>
      <c r="G328" s="188" t="s">
        <v>30</v>
      </c>
      <c r="H328" s="188">
        <v>1</v>
      </c>
      <c r="I328" s="393">
        <f t="shared" ref="I328:I330" si="44">B328</f>
        <v>1.4E-3</v>
      </c>
      <c r="J328" s="188" t="s">
        <v>31</v>
      </c>
      <c r="K328" s="188" t="s">
        <v>31</v>
      </c>
      <c r="L328" s="188" t="s">
        <v>31</v>
      </c>
      <c r="M328" s="188" t="s">
        <v>31</v>
      </c>
      <c r="N328" s="188"/>
      <c r="O328" s="188"/>
      <c r="P328" s="188"/>
      <c r="Q328" s="188"/>
      <c r="R328" s="188"/>
      <c r="S328" s="188"/>
      <c r="T328" s="188"/>
      <c r="U328" s="188"/>
    </row>
    <row r="329" spans="1:21">
      <c r="A329" s="192" t="s">
        <v>1114</v>
      </c>
      <c r="B329" s="393">
        <f>P329</f>
        <v>1.4E-3</v>
      </c>
      <c r="C329" s="188" t="s">
        <v>853</v>
      </c>
      <c r="D329" s="386" t="s">
        <v>2</v>
      </c>
      <c r="E329" s="188" t="s">
        <v>29</v>
      </c>
      <c r="F329" s="188" t="s">
        <v>14</v>
      </c>
      <c r="G329" s="188" t="s">
        <v>33</v>
      </c>
      <c r="H329" s="188">
        <v>1</v>
      </c>
      <c r="I329" s="393">
        <f t="shared" si="44"/>
        <v>1.4E-3</v>
      </c>
      <c r="J329" s="188">
        <v>2.8722813232690055E-2</v>
      </c>
      <c r="K329" s="188" t="s">
        <v>31</v>
      </c>
      <c r="L329" s="188" t="s">
        <v>31</v>
      </c>
      <c r="M329" s="188" t="s">
        <v>31</v>
      </c>
      <c r="N329" s="188"/>
      <c r="O329" s="374" t="s">
        <v>873</v>
      </c>
      <c r="P329" s="432">
        <v>1.4E-3</v>
      </c>
      <c r="Q329" s="188"/>
      <c r="R329" s="188"/>
      <c r="S329" s="188"/>
      <c r="T329" s="188"/>
      <c r="U329" s="188"/>
    </row>
    <row r="330" spans="1:21">
      <c r="A330" s="188" t="s">
        <v>1054</v>
      </c>
      <c r="B330" s="188">
        <f>R330</f>
        <v>1.4E-2</v>
      </c>
      <c r="C330" s="188" t="s">
        <v>275</v>
      </c>
      <c r="D330" s="386" t="s">
        <v>2</v>
      </c>
      <c r="E330" s="188" t="s">
        <v>29</v>
      </c>
      <c r="F330" s="188" t="s">
        <v>14</v>
      </c>
      <c r="G330" s="188" t="s">
        <v>33</v>
      </c>
      <c r="H330" s="188">
        <v>1</v>
      </c>
      <c r="I330" s="393">
        <f t="shared" si="44"/>
        <v>1.4E-2</v>
      </c>
      <c r="J330" s="188">
        <v>2.8722813232690055E-2</v>
      </c>
      <c r="K330" s="188" t="s">
        <v>31</v>
      </c>
      <c r="L330" s="188" t="s">
        <v>31</v>
      </c>
      <c r="M330" s="188" t="s">
        <v>31</v>
      </c>
      <c r="N330" s="188"/>
      <c r="O330" s="374" t="s">
        <v>857</v>
      </c>
      <c r="P330" s="433">
        <v>14</v>
      </c>
      <c r="Q330" s="188" t="s">
        <v>275</v>
      </c>
      <c r="R330" s="188">
        <f>P330*0.001</f>
        <v>1.4E-2</v>
      </c>
      <c r="S330" s="188"/>
      <c r="T330" s="188"/>
      <c r="U330" s="188"/>
    </row>
    <row r="331" spans="1:21">
      <c r="A331" s="323" t="s">
        <v>265</v>
      </c>
      <c r="B331" s="327">
        <f>P331</f>
        <v>1E-3</v>
      </c>
      <c r="C331" s="188" t="s">
        <v>39</v>
      </c>
      <c r="D331" s="188" t="s">
        <v>40</v>
      </c>
      <c r="E331" s="188" t="s">
        <v>29</v>
      </c>
      <c r="F331" s="37" t="s">
        <v>35</v>
      </c>
      <c r="G331" s="188" t="s">
        <v>33</v>
      </c>
      <c r="H331" s="188">
        <v>2</v>
      </c>
      <c r="I331" s="188">
        <f t="shared" ref="I331:I333" si="45">LN(B331)</f>
        <v>-6.9077552789821368</v>
      </c>
      <c r="J331" s="188">
        <v>0.20928449536456342</v>
      </c>
      <c r="K331" s="188" t="s">
        <v>31</v>
      </c>
      <c r="L331" s="188" t="s">
        <v>31</v>
      </c>
      <c r="M331" s="188" t="s">
        <v>31</v>
      </c>
      <c r="N331" s="188"/>
      <c r="O331" s="379" t="s">
        <v>271</v>
      </c>
      <c r="P331" s="430">
        <v>1E-3</v>
      </c>
      <c r="Q331" s="188"/>
      <c r="R331" s="188"/>
      <c r="S331" s="188"/>
      <c r="T331" s="188"/>
      <c r="U331" s="188"/>
    </row>
    <row r="332" spans="1:21">
      <c r="A332" s="323" t="s">
        <v>265</v>
      </c>
      <c r="B332" s="327">
        <f>P332</f>
        <v>0.08</v>
      </c>
      <c r="C332" s="188" t="s">
        <v>39</v>
      </c>
      <c r="D332" s="188" t="s">
        <v>40</v>
      </c>
      <c r="E332" s="188" t="s">
        <v>29</v>
      </c>
      <c r="F332" s="37" t="s">
        <v>35</v>
      </c>
      <c r="G332" s="188" t="s">
        <v>33</v>
      </c>
      <c r="H332" s="188">
        <v>2</v>
      </c>
      <c r="I332" s="188">
        <f t="shared" si="45"/>
        <v>-2.5257286443082556</v>
      </c>
      <c r="J332" s="188">
        <v>0.20928449536456342</v>
      </c>
      <c r="K332" s="188" t="s">
        <v>31</v>
      </c>
      <c r="L332" s="188" t="s">
        <v>31</v>
      </c>
      <c r="M332" s="188" t="s">
        <v>31</v>
      </c>
      <c r="N332" s="188"/>
      <c r="O332" s="379" t="s">
        <v>271</v>
      </c>
      <c r="P332" s="392">
        <v>0.08</v>
      </c>
      <c r="Q332" s="188"/>
      <c r="R332" s="188"/>
      <c r="S332" s="188"/>
      <c r="T332" s="188"/>
      <c r="U332" s="188"/>
    </row>
    <row r="333" spans="1:21">
      <c r="A333" s="323" t="s">
        <v>265</v>
      </c>
      <c r="B333" s="327">
        <f>P333</f>
        <v>0.02</v>
      </c>
      <c r="C333" s="188" t="s">
        <v>39</v>
      </c>
      <c r="D333" s="188" t="s">
        <v>40</v>
      </c>
      <c r="E333" s="188" t="s">
        <v>29</v>
      </c>
      <c r="F333" s="37" t="s">
        <v>35</v>
      </c>
      <c r="G333" s="188" t="s">
        <v>33</v>
      </c>
      <c r="H333" s="188">
        <v>2</v>
      </c>
      <c r="I333" s="188">
        <f t="shared" si="45"/>
        <v>-3.912023005428146</v>
      </c>
      <c r="J333" s="188">
        <v>9.6436507609929598E-2</v>
      </c>
      <c r="K333" s="188" t="s">
        <v>31</v>
      </c>
      <c r="L333" s="188" t="s">
        <v>31</v>
      </c>
      <c r="M333" s="188" t="s">
        <v>31</v>
      </c>
      <c r="N333" s="188"/>
      <c r="O333" s="379" t="s">
        <v>271</v>
      </c>
      <c r="P333" s="392">
        <v>0.02</v>
      </c>
      <c r="Q333" s="188"/>
      <c r="R333" s="188"/>
      <c r="S333" s="188"/>
      <c r="T333" s="188"/>
      <c r="U333" s="188"/>
    </row>
    <row r="334" spans="1:21">
      <c r="A334" s="84" t="s">
        <v>731</v>
      </c>
      <c r="B334" s="393">
        <f>R334</f>
        <v>1E-4</v>
      </c>
      <c r="C334" s="188" t="s">
        <v>37</v>
      </c>
      <c r="D334" s="188" t="s">
        <v>40</v>
      </c>
      <c r="E334" s="188" t="s">
        <v>29</v>
      </c>
      <c r="F334" s="188" t="s">
        <v>35</v>
      </c>
      <c r="G334" s="188" t="s">
        <v>33</v>
      </c>
      <c r="H334" s="188">
        <v>2</v>
      </c>
      <c r="I334" s="188">
        <f>LN(B334)</f>
        <v>-9.2103403719761818</v>
      </c>
      <c r="J334" s="188">
        <v>0.20928449536456342</v>
      </c>
      <c r="K334" s="188" t="s">
        <v>31</v>
      </c>
      <c r="L334" s="188" t="s">
        <v>31</v>
      </c>
      <c r="M334" s="188" t="s">
        <v>31</v>
      </c>
      <c r="N334" s="188"/>
      <c r="O334" s="379" t="s">
        <v>857</v>
      </c>
      <c r="P334" s="392">
        <v>0.1</v>
      </c>
      <c r="Q334" s="188" t="s">
        <v>275</v>
      </c>
      <c r="R334" s="188">
        <f>P334*0.001</f>
        <v>1E-4</v>
      </c>
      <c r="S334" s="188"/>
      <c r="T334" s="188"/>
      <c r="U334" s="188"/>
    </row>
    <row r="335" spans="1:21">
      <c r="A335" s="323" t="s">
        <v>844</v>
      </c>
      <c r="B335" s="393">
        <f>P335</f>
        <v>1E-3</v>
      </c>
      <c r="C335" s="188" t="s">
        <v>37</v>
      </c>
      <c r="D335" s="188" t="s">
        <v>40</v>
      </c>
      <c r="E335" s="188" t="s">
        <v>29</v>
      </c>
      <c r="F335" s="37" t="s">
        <v>74</v>
      </c>
      <c r="G335" s="188" t="s">
        <v>33</v>
      </c>
      <c r="H335" s="188">
        <v>2</v>
      </c>
      <c r="I335" s="188">
        <f>LN(B335)</f>
        <v>-6.9077552789821368</v>
      </c>
      <c r="J335" s="188">
        <v>0.20928449536456342</v>
      </c>
      <c r="K335" s="188" t="s">
        <v>31</v>
      </c>
      <c r="L335" s="188" t="s">
        <v>31</v>
      </c>
      <c r="M335" s="188" t="s">
        <v>31</v>
      </c>
      <c r="N335" s="188"/>
      <c r="O335" s="379" t="s">
        <v>275</v>
      </c>
      <c r="P335" s="430">
        <v>1E-3</v>
      </c>
      <c r="Q335" s="188"/>
      <c r="R335" s="188"/>
      <c r="S335" s="188"/>
      <c r="T335" s="188"/>
      <c r="U335" s="188"/>
    </row>
    <row r="336" spans="1:21">
      <c r="A336" s="84" t="s">
        <v>481</v>
      </c>
      <c r="B336" s="419">
        <f>R336</f>
        <v>2.0000000000000001E-4</v>
      </c>
      <c r="C336" s="188" t="s">
        <v>37</v>
      </c>
      <c r="D336" s="188" t="s">
        <v>40</v>
      </c>
      <c r="E336" s="188" t="s">
        <v>29</v>
      </c>
      <c r="F336" s="37" t="s">
        <v>82</v>
      </c>
      <c r="G336" s="188" t="s">
        <v>33</v>
      </c>
      <c r="H336" s="188">
        <v>2</v>
      </c>
      <c r="I336" s="188">
        <f>LN(B336)</f>
        <v>-8.5171931914162382</v>
      </c>
      <c r="J336" s="188">
        <v>0.20928449536456342</v>
      </c>
      <c r="K336" s="188" t="s">
        <v>31</v>
      </c>
      <c r="L336" s="188" t="s">
        <v>31</v>
      </c>
      <c r="M336" s="188" t="s">
        <v>31</v>
      </c>
      <c r="N336" s="188"/>
      <c r="O336" s="379" t="s">
        <v>857</v>
      </c>
      <c r="P336" s="392">
        <v>0.2</v>
      </c>
      <c r="Q336" s="188" t="s">
        <v>275</v>
      </c>
      <c r="R336" s="188">
        <f>P336*0.001</f>
        <v>2.0000000000000001E-4</v>
      </c>
      <c r="S336" s="188"/>
      <c r="T336" s="188"/>
      <c r="U336" s="188"/>
    </row>
    <row r="337" spans="1:21">
      <c r="A337" s="84" t="s">
        <v>987</v>
      </c>
      <c r="B337" s="188">
        <f>R337</f>
        <v>4.0000000000000002E-4</v>
      </c>
      <c r="C337" s="188" t="s">
        <v>37</v>
      </c>
      <c r="D337" s="188" t="s">
        <v>40</v>
      </c>
      <c r="E337" s="188" t="s">
        <v>29</v>
      </c>
      <c r="F337" s="188" t="s">
        <v>35</v>
      </c>
      <c r="G337" s="188" t="s">
        <v>33</v>
      </c>
      <c r="H337" s="188">
        <v>2</v>
      </c>
      <c r="I337" s="188">
        <f>LN(B337)</f>
        <v>-7.8240460108562919</v>
      </c>
      <c r="J337" s="188">
        <v>0.20928449536456342</v>
      </c>
      <c r="K337" s="188" t="s">
        <v>31</v>
      </c>
      <c r="L337" s="188" t="s">
        <v>31</v>
      </c>
      <c r="M337" s="188" t="s">
        <v>31</v>
      </c>
      <c r="N337" s="188"/>
      <c r="O337" s="379" t="s">
        <v>857</v>
      </c>
      <c r="P337" s="392">
        <v>0.4</v>
      </c>
      <c r="Q337" s="188" t="s">
        <v>275</v>
      </c>
      <c r="R337" s="188">
        <f>P337*0.001</f>
        <v>4.0000000000000002E-4</v>
      </c>
      <c r="S337" s="188"/>
      <c r="T337" s="188"/>
      <c r="U337" s="188"/>
    </row>
    <row r="338" spans="1:21">
      <c r="A338" s="323" t="s">
        <v>845</v>
      </c>
      <c r="B338" s="188">
        <f>P338</f>
        <v>0.2</v>
      </c>
      <c r="C338" s="188" t="s">
        <v>37</v>
      </c>
      <c r="D338" s="188" t="s">
        <v>40</v>
      </c>
      <c r="E338" s="188" t="s">
        <v>29</v>
      </c>
      <c r="F338" s="37" t="s">
        <v>35</v>
      </c>
      <c r="G338" s="188" t="s">
        <v>33</v>
      </c>
      <c r="H338" s="188">
        <v>2</v>
      </c>
      <c r="I338" s="188">
        <f t="shared" ref="I338:I339" si="46">LN(B338)</f>
        <v>-1.6094379124341003</v>
      </c>
      <c r="J338" s="188">
        <v>0.20928449536456342</v>
      </c>
      <c r="K338" s="188" t="s">
        <v>31</v>
      </c>
      <c r="L338" s="188" t="s">
        <v>31</v>
      </c>
      <c r="M338" s="188" t="s">
        <v>31</v>
      </c>
      <c r="N338" s="188"/>
      <c r="O338" s="379" t="s">
        <v>275</v>
      </c>
      <c r="P338" s="392">
        <v>0.2</v>
      </c>
      <c r="Q338" s="188"/>
      <c r="R338" s="188"/>
      <c r="S338" s="188"/>
      <c r="T338" s="188"/>
      <c r="U338" s="188"/>
    </row>
    <row r="339" spans="1:21">
      <c r="A339" s="188" t="s">
        <v>829</v>
      </c>
      <c r="B339" s="393">
        <f>P339</f>
        <v>6.8000000000000005E-4</v>
      </c>
      <c r="C339" s="188" t="s">
        <v>37</v>
      </c>
      <c r="D339" s="386" t="s">
        <v>2</v>
      </c>
      <c r="E339" s="188" t="s">
        <v>29</v>
      </c>
      <c r="F339" s="37" t="s">
        <v>74</v>
      </c>
      <c r="G339" s="188" t="s">
        <v>33</v>
      </c>
      <c r="H339" s="188">
        <v>2</v>
      </c>
      <c r="I339" s="188">
        <f t="shared" si="46"/>
        <v>-7.2934177597941217</v>
      </c>
      <c r="J339" s="188">
        <v>0.20928449536456342</v>
      </c>
      <c r="K339" s="188" t="s">
        <v>31</v>
      </c>
      <c r="L339" s="188" t="s">
        <v>31</v>
      </c>
      <c r="M339" s="188" t="s">
        <v>31</v>
      </c>
      <c r="N339" s="188"/>
      <c r="O339" s="396" t="s">
        <v>275</v>
      </c>
      <c r="P339" s="431">
        <v>6.8000000000000005E-4</v>
      </c>
      <c r="Q339" s="188"/>
      <c r="R339" s="188"/>
      <c r="S339" s="188"/>
      <c r="T339" s="188"/>
      <c r="U339" s="188"/>
    </row>
    <row r="340" spans="1:21" s="73" customFormat="1">
      <c r="A340" s="347" t="s">
        <v>5</v>
      </c>
      <c r="B340" s="348" t="s">
        <v>1114</v>
      </c>
      <c r="C340" s="330"/>
      <c r="D340" s="330"/>
      <c r="E340" s="330"/>
      <c r="F340" s="330"/>
      <c r="G340" s="330"/>
      <c r="H340" s="330"/>
      <c r="I340" s="330"/>
      <c r="J340" s="330"/>
      <c r="K340" s="330"/>
      <c r="L340" s="330"/>
      <c r="M340" s="330"/>
      <c r="N340" s="330"/>
      <c r="O340" s="330"/>
      <c r="P340" s="447"/>
      <c r="Q340" s="330"/>
      <c r="R340" s="330"/>
      <c r="S340" s="330"/>
      <c r="T340" s="330"/>
      <c r="U340" s="330"/>
    </row>
    <row r="341" spans="1:21">
      <c r="A341" s="323" t="s">
        <v>7</v>
      </c>
      <c r="B341" s="188" t="s">
        <v>831</v>
      </c>
      <c r="C341" s="322"/>
      <c r="D341" s="188"/>
      <c r="E341" s="188"/>
      <c r="F341" s="188"/>
      <c r="G341" s="188"/>
      <c r="H341" s="188"/>
      <c r="I341" s="188"/>
      <c r="J341" s="188"/>
      <c r="K341" s="188"/>
      <c r="L341" s="188"/>
      <c r="M341" s="188"/>
      <c r="N341" s="188"/>
      <c r="O341" s="188"/>
      <c r="P341" s="188"/>
      <c r="Q341" s="188"/>
      <c r="R341" s="188"/>
      <c r="S341" s="188"/>
      <c r="T341" s="188"/>
      <c r="U341" s="188"/>
    </row>
    <row r="342" spans="1:21">
      <c r="A342" s="402" t="s">
        <v>9</v>
      </c>
      <c r="B342" s="188" t="s">
        <v>1115</v>
      </c>
      <c r="C342" s="322"/>
      <c r="D342" s="188"/>
      <c r="E342" s="188"/>
      <c r="F342" s="188"/>
      <c r="G342" s="188"/>
      <c r="H342" s="188"/>
      <c r="I342" s="188"/>
      <c r="J342" s="188"/>
      <c r="K342" s="188"/>
      <c r="L342" s="188"/>
      <c r="M342" s="188"/>
      <c r="N342" s="188"/>
      <c r="O342" s="188"/>
      <c r="P342" s="188"/>
      <c r="Q342" s="188"/>
      <c r="R342" s="188"/>
      <c r="S342" s="188"/>
      <c r="T342" s="188"/>
      <c r="U342" s="188"/>
    </row>
    <row r="343" spans="1:21" ht="15.75" customHeight="1">
      <c r="A343" s="323" t="s">
        <v>11</v>
      </c>
      <c r="B343" s="324" t="s">
        <v>841</v>
      </c>
      <c r="C343" s="188"/>
      <c r="D343" s="188"/>
      <c r="E343" s="188"/>
      <c r="F343" s="188"/>
      <c r="G343" s="188"/>
      <c r="H343" s="188"/>
      <c r="I343" s="188"/>
      <c r="J343" s="188"/>
      <c r="K343" s="188"/>
      <c r="L343" s="188"/>
      <c r="M343" s="188"/>
      <c r="N343" s="188"/>
      <c r="O343" s="188"/>
      <c r="P343" s="188"/>
      <c r="Q343" s="188"/>
      <c r="R343" s="188"/>
      <c r="S343" s="188"/>
      <c r="T343" s="188"/>
      <c r="U343" s="188"/>
    </row>
    <row r="344" spans="1:21">
      <c r="A344" s="323" t="s">
        <v>13</v>
      </c>
      <c r="B344" s="188" t="s">
        <v>14</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15</v>
      </c>
      <c r="B345" s="393">
        <v>1.4E-3</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16</v>
      </c>
      <c r="B346" s="188" t="s">
        <v>17</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18</v>
      </c>
      <c r="B347" s="188" t="s">
        <v>853</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0" t="s">
        <v>19</v>
      </c>
      <c r="B348" s="188"/>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1" t="s">
        <v>20</v>
      </c>
      <c r="B349" s="321" t="s">
        <v>21</v>
      </c>
      <c r="C349" s="321" t="s">
        <v>18</v>
      </c>
      <c r="D349" s="321" t="s">
        <v>22</v>
      </c>
      <c r="E349" s="321" t="s">
        <v>7</v>
      </c>
      <c r="F349" s="321" t="s">
        <v>13</v>
      </c>
      <c r="G349" s="321" t="s">
        <v>16</v>
      </c>
      <c r="H349" s="321" t="s">
        <v>23</v>
      </c>
      <c r="I349" s="321" t="s">
        <v>24</v>
      </c>
      <c r="J349" s="321" t="s">
        <v>25</v>
      </c>
      <c r="K349" s="321" t="s">
        <v>26</v>
      </c>
      <c r="L349" s="321" t="s">
        <v>27</v>
      </c>
      <c r="M349" s="321" t="s">
        <v>28</v>
      </c>
      <c r="N349" s="321" t="s">
        <v>11</v>
      </c>
      <c r="O349" s="188"/>
      <c r="P349" s="188"/>
      <c r="Q349" s="188"/>
      <c r="R349" s="188"/>
      <c r="S349" s="188"/>
      <c r="T349" s="393"/>
      <c r="U349" s="188"/>
    </row>
    <row r="350" spans="1:21">
      <c r="A350" s="192" t="s">
        <v>1114</v>
      </c>
      <c r="B350" s="393">
        <v>1.4E-3</v>
      </c>
      <c r="C350" s="188" t="s">
        <v>853</v>
      </c>
      <c r="D350" s="386" t="s">
        <v>2</v>
      </c>
      <c r="E350" s="188" t="s">
        <v>29</v>
      </c>
      <c r="F350" s="188" t="s">
        <v>14</v>
      </c>
      <c r="G350" s="188" t="s">
        <v>30</v>
      </c>
      <c r="H350" s="188">
        <v>1</v>
      </c>
      <c r="I350" s="393">
        <f>B350</f>
        <v>1.4E-3</v>
      </c>
      <c r="J350" s="188" t="s">
        <v>31</v>
      </c>
      <c r="K350" s="188" t="s">
        <v>31</v>
      </c>
      <c r="L350" s="188" t="s">
        <v>31</v>
      </c>
      <c r="M350" s="188" t="s">
        <v>31</v>
      </c>
      <c r="N350" s="188"/>
      <c r="O350" s="374" t="s">
        <v>873</v>
      </c>
      <c r="P350" s="432">
        <v>2E-3</v>
      </c>
      <c r="Q350" s="188"/>
      <c r="R350" s="188"/>
      <c r="S350" s="188"/>
      <c r="T350" s="188"/>
      <c r="U350" s="188"/>
    </row>
    <row r="351" spans="1:21">
      <c r="A351" s="84" t="s">
        <v>898</v>
      </c>
      <c r="B351" s="188">
        <f>P351</f>
        <v>3.0000000000000001E-3</v>
      </c>
      <c r="C351" s="188" t="s">
        <v>37</v>
      </c>
      <c r="D351" s="188" t="s">
        <v>40</v>
      </c>
      <c r="E351" s="188" t="s">
        <v>29</v>
      </c>
      <c r="F351" s="188" t="s">
        <v>82</v>
      </c>
      <c r="G351" s="188" t="s">
        <v>33</v>
      </c>
      <c r="H351" s="188">
        <v>2</v>
      </c>
      <c r="I351" s="188">
        <f t="shared" ref="I351:I361" si="47">LN(B351)</f>
        <v>-5.8091429903140277</v>
      </c>
      <c r="J351" s="442">
        <v>0.22516660498395411</v>
      </c>
      <c r="K351" s="188" t="s">
        <v>31</v>
      </c>
      <c r="L351" s="188" t="s">
        <v>31</v>
      </c>
      <c r="M351" s="188" t="s">
        <v>31</v>
      </c>
      <c r="N351" s="188"/>
      <c r="O351" s="379" t="s">
        <v>275</v>
      </c>
      <c r="P351" s="392">
        <v>3.0000000000000001E-3</v>
      </c>
      <c r="Q351" s="188"/>
      <c r="R351" s="188"/>
      <c r="S351" s="188"/>
      <c r="T351" s="188"/>
      <c r="U351" s="188"/>
    </row>
    <row r="352" spans="1:21">
      <c r="A352" s="323" t="s">
        <v>265</v>
      </c>
      <c r="B352" s="327">
        <f>P352</f>
        <v>2.8000000000000001E-2</v>
      </c>
      <c r="C352" s="188" t="s">
        <v>39</v>
      </c>
      <c r="D352" s="188" t="s">
        <v>40</v>
      </c>
      <c r="E352" s="188" t="s">
        <v>29</v>
      </c>
      <c r="F352" s="37" t="s">
        <v>35</v>
      </c>
      <c r="G352" s="188" t="s">
        <v>33</v>
      </c>
      <c r="H352" s="188">
        <v>2</v>
      </c>
      <c r="I352" s="188">
        <f t="shared" si="47"/>
        <v>-3.575550768806933</v>
      </c>
      <c r="J352" s="442">
        <v>0.22516660498395411</v>
      </c>
      <c r="K352" s="188" t="s">
        <v>31</v>
      </c>
      <c r="L352" s="188" t="s">
        <v>31</v>
      </c>
      <c r="M352" s="188" t="s">
        <v>31</v>
      </c>
      <c r="N352" s="188"/>
      <c r="O352" s="379" t="s">
        <v>271</v>
      </c>
      <c r="P352" s="392">
        <v>2.8000000000000001E-2</v>
      </c>
      <c r="Q352" s="188"/>
      <c r="R352" s="188"/>
      <c r="S352" s="188"/>
      <c r="T352" s="188"/>
      <c r="U352" s="188"/>
    </row>
    <row r="353" spans="1:21">
      <c r="A353" s="84" t="s">
        <v>1018</v>
      </c>
      <c r="B353" s="393">
        <f>R353</f>
        <v>4.7000000000000004E-5</v>
      </c>
      <c r="C353" s="188" t="s">
        <v>37</v>
      </c>
      <c r="D353" s="188" t="s">
        <v>40</v>
      </c>
      <c r="E353" s="188" t="s">
        <v>29</v>
      </c>
      <c r="F353" s="188" t="s">
        <v>35</v>
      </c>
      <c r="G353" s="188" t="s">
        <v>33</v>
      </c>
      <c r="H353" s="188">
        <v>2</v>
      </c>
      <c r="I353" s="188">
        <f t="shared" si="47"/>
        <v>-9.9653629562542161</v>
      </c>
      <c r="J353" s="442">
        <v>0.22516660498395411</v>
      </c>
      <c r="K353" s="188" t="s">
        <v>31</v>
      </c>
      <c r="L353" s="188" t="s">
        <v>31</v>
      </c>
      <c r="M353" s="188" t="s">
        <v>31</v>
      </c>
      <c r="N353" s="188"/>
      <c r="O353" s="379" t="s">
        <v>857</v>
      </c>
      <c r="P353" s="430">
        <v>4.7E-2</v>
      </c>
      <c r="Q353" s="188" t="s">
        <v>275</v>
      </c>
      <c r="R353" s="393">
        <f>0.001*P353</f>
        <v>4.7000000000000004E-5</v>
      </c>
      <c r="S353" s="188"/>
      <c r="T353" s="188"/>
      <c r="U353" s="188"/>
    </row>
    <row r="354" spans="1:21">
      <c r="A354" s="84" t="s">
        <v>1019</v>
      </c>
      <c r="B354" s="393">
        <f>P354</f>
        <v>2.0000000000000001E-4</v>
      </c>
      <c r="C354" s="188" t="s">
        <v>37</v>
      </c>
      <c r="D354" s="188" t="s">
        <v>40</v>
      </c>
      <c r="E354" s="188" t="s">
        <v>29</v>
      </c>
      <c r="F354" s="188" t="s">
        <v>35</v>
      </c>
      <c r="G354" s="188" t="s">
        <v>33</v>
      </c>
      <c r="H354" s="188">
        <v>2</v>
      </c>
      <c r="I354" s="188">
        <f t="shared" si="47"/>
        <v>-8.5171931914162382</v>
      </c>
      <c r="J354" s="442">
        <v>0.22516660498395411</v>
      </c>
      <c r="K354" s="188" t="s">
        <v>31</v>
      </c>
      <c r="L354" s="188" t="s">
        <v>31</v>
      </c>
      <c r="M354" s="188" t="s">
        <v>31</v>
      </c>
      <c r="N354" s="188"/>
      <c r="O354" s="379" t="s">
        <v>275</v>
      </c>
      <c r="P354" s="430">
        <v>2.0000000000000001E-4</v>
      </c>
      <c r="Q354" s="188"/>
      <c r="R354" s="188"/>
      <c r="S354" s="188"/>
      <c r="T354" s="188"/>
      <c r="U354" s="188"/>
    </row>
    <row r="355" spans="1:21">
      <c r="A355" s="84" t="s">
        <v>1020</v>
      </c>
      <c r="B355" s="393">
        <f>P355</f>
        <v>2.0000000000000001E-4</v>
      </c>
      <c r="C355" s="188" t="s">
        <v>37</v>
      </c>
      <c r="D355" s="188" t="s">
        <v>40</v>
      </c>
      <c r="E355" s="188" t="s">
        <v>29</v>
      </c>
      <c r="F355" s="188" t="s">
        <v>35</v>
      </c>
      <c r="G355" s="188" t="s">
        <v>33</v>
      </c>
      <c r="H355" s="188">
        <v>2</v>
      </c>
      <c r="I355" s="188">
        <f t="shared" si="47"/>
        <v>-8.5171931914162382</v>
      </c>
      <c r="J355" s="442">
        <v>0.22516660498395411</v>
      </c>
      <c r="K355" s="188" t="s">
        <v>31</v>
      </c>
      <c r="L355" s="188" t="s">
        <v>31</v>
      </c>
      <c r="M355" s="188" t="s">
        <v>31</v>
      </c>
      <c r="N355" s="188"/>
      <c r="O355" s="379" t="s">
        <v>275</v>
      </c>
      <c r="P355" s="430">
        <v>2.0000000000000001E-4</v>
      </c>
      <c r="Q355" s="188"/>
      <c r="R355" s="188"/>
      <c r="S355" s="188"/>
      <c r="T355" s="188"/>
      <c r="U355" s="188"/>
    </row>
    <row r="356" spans="1:21">
      <c r="A356" s="84" t="s">
        <v>1021</v>
      </c>
      <c r="B356" s="393">
        <f>P356</f>
        <v>1.6999999999999999E-3</v>
      </c>
      <c r="C356" s="188" t="s">
        <v>37</v>
      </c>
      <c r="D356" s="188" t="s">
        <v>40</v>
      </c>
      <c r="E356" s="188" t="s">
        <v>29</v>
      </c>
      <c r="F356" s="188" t="s">
        <v>35</v>
      </c>
      <c r="G356" s="188" t="s">
        <v>33</v>
      </c>
      <c r="H356" s="188">
        <v>2</v>
      </c>
      <c r="I356" s="188">
        <f t="shared" si="47"/>
        <v>-6.3771270279199666</v>
      </c>
      <c r="J356" s="442">
        <v>0.22516660498395411</v>
      </c>
      <c r="K356" s="188" t="s">
        <v>31</v>
      </c>
      <c r="L356" s="188" t="s">
        <v>31</v>
      </c>
      <c r="M356" s="188" t="s">
        <v>31</v>
      </c>
      <c r="N356" s="188"/>
      <c r="O356" s="379" t="s">
        <v>275</v>
      </c>
      <c r="P356" s="392">
        <v>1.6999999999999999E-3</v>
      </c>
      <c r="Q356" s="188"/>
      <c r="R356" s="188"/>
      <c r="S356" s="188"/>
      <c r="T356" s="188"/>
      <c r="U356" s="188"/>
    </row>
    <row r="357" spans="1:21">
      <c r="A357" s="84" t="s">
        <v>1022</v>
      </c>
      <c r="B357" s="393">
        <f>R357</f>
        <v>9.5000000000000005E-6</v>
      </c>
      <c r="C357" s="188" t="s">
        <v>37</v>
      </c>
      <c r="D357" s="188" t="s">
        <v>43</v>
      </c>
      <c r="E357" s="188" t="s">
        <v>44</v>
      </c>
      <c r="F357" s="188" t="s">
        <v>29</v>
      </c>
      <c r="G357" s="188" t="s">
        <v>45</v>
      </c>
      <c r="H357" s="188">
        <v>2</v>
      </c>
      <c r="I357" s="188">
        <f t="shared" si="47"/>
        <v>-11.564218759357779</v>
      </c>
      <c r="J357" s="442">
        <v>0.10344080432788608</v>
      </c>
      <c r="K357" s="188" t="s">
        <v>31</v>
      </c>
      <c r="L357" s="188" t="s">
        <v>31</v>
      </c>
      <c r="M357" s="188" t="s">
        <v>31</v>
      </c>
      <c r="N357" s="188"/>
      <c r="O357" s="394" t="s">
        <v>857</v>
      </c>
      <c r="P357" s="395">
        <v>9.4999999999999998E-3</v>
      </c>
      <c r="Q357" s="188" t="s">
        <v>275</v>
      </c>
      <c r="R357" s="393">
        <f>0.001*P357</f>
        <v>9.5000000000000005E-6</v>
      </c>
      <c r="S357" s="188"/>
      <c r="T357" s="188"/>
      <c r="U357" s="188"/>
    </row>
    <row r="358" spans="1:21">
      <c r="A358" s="84" t="s">
        <v>77</v>
      </c>
      <c r="B358" s="393">
        <f t="shared" ref="B358:B360" si="48">R358</f>
        <v>1E-4</v>
      </c>
      <c r="C358" s="188" t="s">
        <v>37</v>
      </c>
      <c r="D358" s="188" t="s">
        <v>43</v>
      </c>
      <c r="E358" s="188" t="s">
        <v>44</v>
      </c>
      <c r="F358" s="188" t="s">
        <v>29</v>
      </c>
      <c r="G358" s="188" t="s">
        <v>45</v>
      </c>
      <c r="H358" s="188">
        <v>2</v>
      </c>
      <c r="I358" s="188">
        <f t="shared" si="47"/>
        <v>-9.2103403719761818</v>
      </c>
      <c r="J358" s="442">
        <v>0.10344080432788608</v>
      </c>
      <c r="K358" s="188" t="s">
        <v>31</v>
      </c>
      <c r="L358" s="188" t="s">
        <v>31</v>
      </c>
      <c r="M358" s="188" t="s">
        <v>31</v>
      </c>
      <c r="N358" s="188"/>
      <c r="O358" s="394" t="s">
        <v>857</v>
      </c>
      <c r="P358" s="395">
        <v>0.1</v>
      </c>
      <c r="Q358" s="188" t="s">
        <v>275</v>
      </c>
      <c r="R358" s="393">
        <f>0.001*P358</f>
        <v>1E-4</v>
      </c>
      <c r="S358" s="188"/>
      <c r="T358" s="188"/>
      <c r="U358" s="188"/>
    </row>
    <row r="359" spans="1:21">
      <c r="A359" s="84" t="s">
        <v>1023</v>
      </c>
      <c r="B359" s="393">
        <f t="shared" si="48"/>
        <v>6.6000000000000005E-5</v>
      </c>
      <c r="C359" s="188" t="s">
        <v>37</v>
      </c>
      <c r="D359" s="188" t="s">
        <v>43</v>
      </c>
      <c r="E359" s="188" t="s">
        <v>44</v>
      </c>
      <c r="F359" s="188" t="s">
        <v>29</v>
      </c>
      <c r="G359" s="188" t="s">
        <v>45</v>
      </c>
      <c r="H359" s="188">
        <v>2</v>
      </c>
      <c r="I359" s="188">
        <f t="shared" si="47"/>
        <v>-9.6258558159378484</v>
      </c>
      <c r="J359" s="442">
        <v>0.10344080432788608</v>
      </c>
      <c r="K359" s="188" t="s">
        <v>31</v>
      </c>
      <c r="L359" s="188" t="s">
        <v>31</v>
      </c>
      <c r="M359" s="188" t="s">
        <v>31</v>
      </c>
      <c r="N359" s="188"/>
      <c r="O359" s="394" t="s">
        <v>857</v>
      </c>
      <c r="P359" s="395">
        <v>6.6000000000000003E-2</v>
      </c>
      <c r="Q359" s="188" t="s">
        <v>275</v>
      </c>
      <c r="R359" s="393">
        <f>0.001*P359</f>
        <v>6.6000000000000005E-5</v>
      </c>
      <c r="S359" s="188"/>
      <c r="T359" s="188"/>
      <c r="U359" s="188"/>
    </row>
    <row r="360" spans="1:21">
      <c r="A360" s="84" t="s">
        <v>807</v>
      </c>
      <c r="B360" s="393">
        <f t="shared" si="48"/>
        <v>3.8000000000000002E-5</v>
      </c>
      <c r="C360" s="188" t="s">
        <v>37</v>
      </c>
      <c r="D360" s="188" t="s">
        <v>43</v>
      </c>
      <c r="E360" s="188" t="s">
        <v>44</v>
      </c>
      <c r="F360" s="188" t="s">
        <v>29</v>
      </c>
      <c r="G360" s="188" t="s">
        <v>45</v>
      </c>
      <c r="H360" s="188">
        <v>2</v>
      </c>
      <c r="I360" s="188">
        <f t="shared" si="47"/>
        <v>-10.177924398237888</v>
      </c>
      <c r="J360" s="442">
        <v>0.10344080432788608</v>
      </c>
      <c r="K360" s="188" t="s">
        <v>31</v>
      </c>
      <c r="L360" s="188" t="s">
        <v>31</v>
      </c>
      <c r="M360" s="188" t="s">
        <v>31</v>
      </c>
      <c r="N360" s="188"/>
      <c r="O360" s="394" t="s">
        <v>857</v>
      </c>
      <c r="P360" s="395">
        <v>3.7999999999999999E-2</v>
      </c>
      <c r="Q360" s="188" t="s">
        <v>275</v>
      </c>
      <c r="R360" s="393">
        <f>0.001*P360</f>
        <v>3.8000000000000002E-5</v>
      </c>
      <c r="S360" s="188"/>
      <c r="T360" s="188"/>
      <c r="U360" s="188"/>
    </row>
    <row r="361" spans="1:21">
      <c r="A361" s="188" t="s">
        <v>835</v>
      </c>
      <c r="B361" s="393">
        <f>P361</f>
        <v>5.0000000000000001E-4</v>
      </c>
      <c r="C361" s="188" t="s">
        <v>37</v>
      </c>
      <c r="D361" s="386" t="s">
        <v>2</v>
      </c>
      <c r="E361" s="188" t="s">
        <v>29</v>
      </c>
      <c r="F361" s="37" t="s">
        <v>74</v>
      </c>
      <c r="G361" s="188" t="s">
        <v>33</v>
      </c>
      <c r="H361" s="188">
        <v>2</v>
      </c>
      <c r="I361" s="188">
        <f t="shared" si="47"/>
        <v>-7.6009024595420822</v>
      </c>
      <c r="J361" s="188">
        <v>0.11269427669584645</v>
      </c>
      <c r="K361" s="188" t="s">
        <v>31</v>
      </c>
      <c r="L361" s="188" t="s">
        <v>31</v>
      </c>
      <c r="M361" s="188" t="s">
        <v>31</v>
      </c>
      <c r="N361" s="188"/>
      <c r="O361" s="396" t="s">
        <v>275</v>
      </c>
      <c r="P361" s="431">
        <v>5.0000000000000001E-4</v>
      </c>
      <c r="Q361" s="188"/>
      <c r="R361" s="188"/>
      <c r="S361" s="188"/>
      <c r="T361" s="188"/>
      <c r="U361" s="188"/>
    </row>
    <row r="362" spans="1:21">
      <c r="P362" s="151"/>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4AD18-FBED-4914-8FD4-58AADC1FDD5A}">
  <sheetPr>
    <tabColor theme="7"/>
  </sheetPr>
  <dimension ref="A1:AC57"/>
  <sheetViews>
    <sheetView zoomScale="70" zoomScaleNormal="70" workbookViewId="0">
      <selection activeCell="I13" sqref="I13:I30"/>
    </sheetView>
  </sheetViews>
  <sheetFormatPr defaultColWidth="9.140625" defaultRowHeight="12.95"/>
  <cols>
    <col min="1" max="1" width="117.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6E2D627F058346B98F20D2670C468081</v>
      </c>
    </row>
    <row r="2" spans="1:26">
      <c r="A2" s="347" t="s">
        <v>5</v>
      </c>
      <c r="B2" s="348" t="s">
        <v>815</v>
      </c>
      <c r="C2" s="349"/>
      <c r="D2" s="330"/>
      <c r="E2" s="330"/>
      <c r="F2" s="330"/>
      <c r="G2" s="330"/>
      <c r="H2" s="330"/>
      <c r="I2" s="330"/>
      <c r="J2" s="330"/>
      <c r="K2" s="330"/>
      <c r="L2" s="330"/>
      <c r="M2" s="330"/>
    </row>
    <row r="3" spans="1:26">
      <c r="A3" s="323" t="s">
        <v>7</v>
      </c>
      <c r="B3" s="188" t="s">
        <v>831</v>
      </c>
      <c r="C3" s="322"/>
    </row>
    <row r="4" spans="1:26">
      <c r="A4" s="323" t="s">
        <v>9</v>
      </c>
      <c r="B4" s="188" t="s">
        <v>1116</v>
      </c>
      <c r="C4" s="322"/>
    </row>
    <row r="5" spans="1:26" ht="26.1">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815</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2.13</v>
      </c>
      <c r="C15" s="188" t="s">
        <v>37</v>
      </c>
      <c r="D15" s="188" t="s">
        <v>40</v>
      </c>
      <c r="E15" s="188" t="s">
        <v>29</v>
      </c>
      <c r="F15" s="37" t="s">
        <v>59</v>
      </c>
      <c r="G15" s="188" t="s">
        <v>33</v>
      </c>
      <c r="H15" s="188">
        <v>1</v>
      </c>
      <c r="I15" s="188">
        <f t="shared" si="1"/>
        <v>2.13</v>
      </c>
      <c r="J15" s="188" t="s">
        <v>31</v>
      </c>
      <c r="K15" s="188" t="s">
        <v>31</v>
      </c>
      <c r="L15" s="188" t="s">
        <v>31</v>
      </c>
      <c r="M15" s="188" t="s">
        <v>31</v>
      </c>
      <c r="U15" s="374" t="s">
        <v>1027</v>
      </c>
      <c r="V15" s="374" t="s">
        <v>275</v>
      </c>
      <c r="W15" s="375">
        <v>2.13</v>
      </c>
      <c r="Y15" s="188" t="s">
        <v>275</v>
      </c>
      <c r="Z15" s="188">
        <f>W15</f>
        <v>2.13</v>
      </c>
    </row>
    <row r="16" spans="1:26">
      <c r="A16" s="373" t="s">
        <v>1117</v>
      </c>
      <c r="B16" s="188">
        <f t="shared" si="0"/>
        <v>2</v>
      </c>
      <c r="C16" s="188" t="s">
        <v>37</v>
      </c>
      <c r="D16" s="188" t="s">
        <v>2</v>
      </c>
      <c r="E16" s="188" t="s">
        <v>29</v>
      </c>
      <c r="F16" s="37" t="s">
        <v>14</v>
      </c>
      <c r="G16" s="188" t="s">
        <v>33</v>
      </c>
      <c r="H16" s="188">
        <v>1</v>
      </c>
      <c r="I16" s="188">
        <f t="shared" si="1"/>
        <v>2</v>
      </c>
      <c r="J16" s="188" t="s">
        <v>31</v>
      </c>
      <c r="K16" s="188" t="s">
        <v>31</v>
      </c>
      <c r="L16" s="188" t="s">
        <v>31</v>
      </c>
      <c r="M16" s="188" t="s">
        <v>31</v>
      </c>
      <c r="U16" s="374" t="s">
        <v>1029</v>
      </c>
      <c r="V16" s="374" t="s">
        <v>275</v>
      </c>
      <c r="W16" s="375">
        <v>2</v>
      </c>
      <c r="Y16" s="188" t="s">
        <v>275</v>
      </c>
      <c r="Z16" s="188">
        <f>W16</f>
        <v>2</v>
      </c>
    </row>
    <row r="17" spans="1:29">
      <c r="A17" s="457" t="s">
        <v>1118</v>
      </c>
      <c r="B17" s="188">
        <f t="shared" si="0"/>
        <v>4.5370370370370366E-2</v>
      </c>
      <c r="C17" s="188" t="s">
        <v>853</v>
      </c>
      <c r="D17" s="188" t="s">
        <v>2</v>
      </c>
      <c r="E17" s="188" t="s">
        <v>29</v>
      </c>
      <c r="F17" s="37" t="s">
        <v>14</v>
      </c>
      <c r="G17" s="188" t="s">
        <v>33</v>
      </c>
      <c r="H17" s="188">
        <v>1</v>
      </c>
      <c r="I17" s="188">
        <f t="shared" si="1"/>
        <v>4.5370370370370366E-2</v>
      </c>
      <c r="J17" s="188" t="s">
        <v>31</v>
      </c>
      <c r="K17" s="188" t="s">
        <v>31</v>
      </c>
      <c r="L17" s="188" t="s">
        <v>31</v>
      </c>
      <c r="M17" s="188" t="s">
        <v>31</v>
      </c>
      <c r="O17" s="188" t="s">
        <v>1031</v>
      </c>
      <c r="U17" s="437" t="s">
        <v>1032</v>
      </c>
      <c r="V17" s="437" t="s">
        <v>857</v>
      </c>
      <c r="W17" s="375">
        <v>245</v>
      </c>
      <c r="Y17" s="188" t="s">
        <v>855</v>
      </c>
      <c r="Z17" s="188">
        <f>W17*0.001*AB17</f>
        <v>4.5370370370370366E-2</v>
      </c>
      <c r="AB17" s="188">
        <f>'2C. Reusable'!P38</f>
        <v>0.18518518518518517</v>
      </c>
      <c r="AC17" s="188" t="s">
        <v>888</v>
      </c>
    </row>
    <row r="18" spans="1:29">
      <c r="A18" s="373" t="s">
        <v>1119</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37" t="s">
        <v>1034</v>
      </c>
      <c r="V18" s="374" t="s">
        <v>857</v>
      </c>
      <c r="W18" s="375">
        <v>405</v>
      </c>
      <c r="Y18" s="188" t="s">
        <v>275</v>
      </c>
      <c r="Z18" s="188">
        <f>0.001*W18</f>
        <v>0.40500000000000003</v>
      </c>
    </row>
    <row r="19" spans="1:29">
      <c r="A19" s="105" t="s">
        <v>890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23" t="s">
        <v>891</v>
      </c>
      <c r="U19" s="374" t="s">
        <v>891</v>
      </c>
      <c r="V19" s="374" t="s">
        <v>857</v>
      </c>
      <c r="W19" s="375">
        <v>2</v>
      </c>
      <c r="Y19" s="188" t="s">
        <v>275</v>
      </c>
      <c r="Z19" s="188">
        <f>0.001*W19</f>
        <v>2E-3</v>
      </c>
    </row>
    <row r="20" spans="1:29">
      <c r="A20" s="105"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23" t="s">
        <v>892</v>
      </c>
      <c r="U20" s="437" t="s">
        <v>892</v>
      </c>
      <c r="V20" s="374" t="s">
        <v>857</v>
      </c>
      <c r="W20" s="375">
        <v>13</v>
      </c>
      <c r="Y20" s="188" t="s">
        <v>275</v>
      </c>
      <c r="Z20" s="188">
        <f t="shared" ref="Z20:Z22" si="2">0.001*W20</f>
        <v>1.3000000000000001E-2</v>
      </c>
    </row>
    <row r="21" spans="1:29">
      <c r="A21" s="10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100" t="s">
        <v>1120</v>
      </c>
      <c r="B23" s="188">
        <f t="shared" si="0"/>
        <v>3.19</v>
      </c>
      <c r="C23" s="188" t="s">
        <v>37</v>
      </c>
      <c r="D23" s="188" t="s">
        <v>2</v>
      </c>
      <c r="E23" s="188" t="s">
        <v>29</v>
      </c>
      <c r="F23" s="37" t="s">
        <v>14</v>
      </c>
      <c r="G23" s="188" t="s">
        <v>33</v>
      </c>
      <c r="H23" s="188">
        <v>1</v>
      </c>
      <c r="I23" s="188">
        <f t="shared" si="1"/>
        <v>3.19</v>
      </c>
      <c r="J23" s="188" t="s">
        <v>31</v>
      </c>
      <c r="K23" s="188" t="s">
        <v>31</v>
      </c>
      <c r="L23" s="188" t="s">
        <v>31</v>
      </c>
      <c r="M23" s="188" t="s">
        <v>31</v>
      </c>
      <c r="N23" s="323" t="s">
        <v>1037</v>
      </c>
      <c r="U23" s="374" t="s">
        <v>1037</v>
      </c>
      <c r="V23" s="374" t="s">
        <v>275</v>
      </c>
      <c r="W23" s="375">
        <v>3.19</v>
      </c>
      <c r="Y23" s="188" t="s">
        <v>275</v>
      </c>
      <c r="Z23" s="188">
        <f>W23</f>
        <v>3.19</v>
      </c>
    </row>
    <row r="24" spans="1:29">
      <c r="A24" s="373" t="s">
        <v>1121</v>
      </c>
      <c r="B24" s="335">
        <f>'2C. Machined casing'!B7</f>
        <v>5.71</v>
      </c>
      <c r="C24" s="188" t="s">
        <v>37</v>
      </c>
      <c r="D24" s="188" t="s">
        <v>2</v>
      </c>
      <c r="E24" s="188" t="s">
        <v>29</v>
      </c>
      <c r="F24" s="37" t="s">
        <v>14</v>
      </c>
      <c r="G24" s="188" t="s">
        <v>33</v>
      </c>
      <c r="H24" s="188">
        <v>1</v>
      </c>
      <c r="I24" s="188">
        <f t="shared" si="1"/>
        <v>5.71</v>
      </c>
      <c r="J24" s="188" t="s">
        <v>31</v>
      </c>
      <c r="K24" s="188" t="s">
        <v>31</v>
      </c>
      <c r="L24" s="188" t="s">
        <v>31</v>
      </c>
      <c r="M24" s="188" t="s">
        <v>31</v>
      </c>
      <c r="N24" s="323" t="s">
        <v>896</v>
      </c>
      <c r="U24" s="374" t="s">
        <v>1039</v>
      </c>
      <c r="V24" s="378" t="s">
        <v>275</v>
      </c>
      <c r="W24" s="375">
        <v>5.99</v>
      </c>
      <c r="Y24" s="188" t="s">
        <v>275</v>
      </c>
      <c r="Z24" s="188">
        <f>W24</f>
        <v>5.99</v>
      </c>
    </row>
    <row r="25" spans="1:29">
      <c r="A25" s="105" t="s">
        <v>898</v>
      </c>
      <c r="B25" s="188">
        <f t="shared" si="0"/>
        <v>6.6000000000000003E-2</v>
      </c>
      <c r="C25" s="188" t="s">
        <v>37</v>
      </c>
      <c r="D25" s="188" t="s">
        <v>40</v>
      </c>
      <c r="E25" s="188" t="s">
        <v>29</v>
      </c>
      <c r="F25" s="37" t="s">
        <v>82</v>
      </c>
      <c r="G25" s="188" t="s">
        <v>33</v>
      </c>
      <c r="H25" s="188">
        <v>1</v>
      </c>
      <c r="I25" s="188">
        <f t="shared" si="1"/>
        <v>6.6000000000000003E-2</v>
      </c>
      <c r="J25" s="188" t="s">
        <v>31</v>
      </c>
      <c r="K25" s="188" t="s">
        <v>31</v>
      </c>
      <c r="L25" s="188" t="s">
        <v>31</v>
      </c>
      <c r="M25" s="188" t="s">
        <v>31</v>
      </c>
      <c r="N25" s="323" t="s">
        <v>899</v>
      </c>
      <c r="U25" s="379" t="s">
        <v>899</v>
      </c>
      <c r="V25" s="379" t="s">
        <v>857</v>
      </c>
      <c r="W25" s="380">
        <v>66</v>
      </c>
      <c r="Y25" s="188" t="s">
        <v>275</v>
      </c>
      <c r="Z25" s="188">
        <f>0.001*W25</f>
        <v>6.6000000000000003E-2</v>
      </c>
    </row>
    <row r="26" spans="1:29">
      <c r="A26" s="105" t="s">
        <v>900</v>
      </c>
      <c r="B26" s="188">
        <f t="shared" si="0"/>
        <v>1.4E-2</v>
      </c>
      <c r="C26" s="188" t="s">
        <v>37</v>
      </c>
      <c r="D26" s="188" t="s">
        <v>40</v>
      </c>
      <c r="E26" s="188" t="s">
        <v>29</v>
      </c>
      <c r="F26" s="37" t="s">
        <v>59</v>
      </c>
      <c r="G26" s="188" t="s">
        <v>33</v>
      </c>
      <c r="H26" s="188">
        <v>1</v>
      </c>
      <c r="I26" s="188">
        <f t="shared" si="1"/>
        <v>1.4E-2</v>
      </c>
      <c r="J26" s="188" t="s">
        <v>31</v>
      </c>
      <c r="K26" s="188" t="s">
        <v>31</v>
      </c>
      <c r="L26" s="188" t="s">
        <v>31</v>
      </c>
      <c r="M26" s="188" t="s">
        <v>31</v>
      </c>
      <c r="N26" s="188" t="s">
        <v>901</v>
      </c>
      <c r="U26" s="379" t="s">
        <v>901</v>
      </c>
      <c r="V26" s="379" t="s">
        <v>857</v>
      </c>
      <c r="W26" s="380">
        <v>14</v>
      </c>
      <c r="Y26" s="188" t="s">
        <v>275</v>
      </c>
      <c r="Z26" s="188">
        <f t="shared" ref="Z26:Z27" si="3">0.001*W26</f>
        <v>1.4E-2</v>
      </c>
    </row>
    <row r="27" spans="1:29">
      <c r="A27" s="105" t="s">
        <v>179</v>
      </c>
      <c r="B27" s="188">
        <f t="shared" si="0"/>
        <v>1.4E-2</v>
      </c>
      <c r="C27" s="188" t="s">
        <v>37</v>
      </c>
      <c r="D27" s="188" t="s">
        <v>40</v>
      </c>
      <c r="E27" s="188" t="s">
        <v>29</v>
      </c>
      <c r="F27" s="37" t="s">
        <v>35</v>
      </c>
      <c r="G27" s="188" t="s">
        <v>33</v>
      </c>
      <c r="H27" s="188">
        <v>1</v>
      </c>
      <c r="I27" s="188">
        <f t="shared" si="1"/>
        <v>1.4E-2</v>
      </c>
      <c r="J27" s="188" t="s">
        <v>31</v>
      </c>
      <c r="K27" s="188" t="s">
        <v>31</v>
      </c>
      <c r="L27" s="188" t="s">
        <v>31</v>
      </c>
      <c r="M27" s="188" t="s">
        <v>31</v>
      </c>
      <c r="N27" s="188" t="s">
        <v>902</v>
      </c>
      <c r="U27" s="379" t="s">
        <v>902</v>
      </c>
      <c r="V27" s="379" t="s">
        <v>857</v>
      </c>
      <c r="W27" s="380">
        <v>14</v>
      </c>
      <c r="Y27" s="188" t="s">
        <v>275</v>
      </c>
      <c r="Z27" s="188">
        <f t="shared" si="3"/>
        <v>1.4E-2</v>
      </c>
    </row>
    <row r="28" spans="1:29">
      <c r="A28" s="438" t="s">
        <v>265</v>
      </c>
      <c r="B28" s="188">
        <f>0.6+0.8</f>
        <v>1.4</v>
      </c>
      <c r="C28" s="188" t="s">
        <v>39</v>
      </c>
      <c r="D28" s="188" t="s">
        <v>40</v>
      </c>
      <c r="E28" s="188" t="s">
        <v>29</v>
      </c>
      <c r="F28" s="188" t="s">
        <v>14</v>
      </c>
      <c r="G28" s="188" t="s">
        <v>33</v>
      </c>
      <c r="H28" s="188">
        <v>1</v>
      </c>
      <c r="I28" s="188">
        <f t="shared" si="1"/>
        <v>1.4</v>
      </c>
      <c r="J28" s="188" t="s">
        <v>31</v>
      </c>
      <c r="K28" s="188" t="s">
        <v>31</v>
      </c>
      <c r="L28" s="188" t="s">
        <v>31</v>
      </c>
      <c r="M28" s="188" t="s">
        <v>31</v>
      </c>
      <c r="N28" s="188" t="s">
        <v>1040</v>
      </c>
      <c r="U28" s="374"/>
      <c r="V28" s="378"/>
      <c r="W28" s="375"/>
    </row>
    <row r="29" spans="1:29">
      <c r="A29" s="438" t="s">
        <v>265</v>
      </c>
      <c r="B29" s="188">
        <v>3.1</v>
      </c>
      <c r="C29" s="188" t="s">
        <v>39</v>
      </c>
      <c r="D29" s="188" t="s">
        <v>40</v>
      </c>
      <c r="E29" s="188" t="s">
        <v>29</v>
      </c>
      <c r="F29" s="188" t="s">
        <v>14</v>
      </c>
      <c r="G29" s="188" t="s">
        <v>33</v>
      </c>
      <c r="H29" s="188">
        <v>1</v>
      </c>
      <c r="I29" s="188">
        <f t="shared" si="1"/>
        <v>3.1</v>
      </c>
      <c r="J29" s="188" t="s">
        <v>31</v>
      </c>
      <c r="K29" s="188" t="s">
        <v>31</v>
      </c>
      <c r="L29" s="188" t="s">
        <v>31</v>
      </c>
      <c r="M29" s="188" t="s">
        <v>31</v>
      </c>
      <c r="N29" s="188" t="s">
        <v>904</v>
      </c>
      <c r="W29" s="375"/>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c r="N31" s="188" t="s">
        <v>1122</v>
      </c>
    </row>
    <row r="32" spans="1:29">
      <c r="A32" s="323"/>
      <c r="C32" s="322"/>
      <c r="N32" s="188" t="s">
        <v>1123</v>
      </c>
      <c r="O32" s="386">
        <f>SUM(B13:B27)-B17+0.245</f>
        <v>13.968999999999998</v>
      </c>
      <c r="P32" s="188" t="s">
        <v>1124</v>
      </c>
    </row>
    <row r="33" spans="1:14">
      <c r="A33" s="323"/>
      <c r="C33" s="322"/>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44401-D617-4343-9EF8-C24230544AF2}">
  <sheetPr>
    <tabColor theme="7"/>
  </sheetPr>
  <dimension ref="A1:U104"/>
  <sheetViews>
    <sheetView topLeftCell="A61" zoomScale="85" zoomScaleNormal="85"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82" t="s">
        <v>5</v>
      </c>
      <c r="B2" s="126" t="s">
        <v>1118</v>
      </c>
      <c r="C2" s="349"/>
      <c r="D2" s="330"/>
      <c r="E2" s="330"/>
      <c r="F2" s="330"/>
      <c r="G2" s="330"/>
      <c r="H2" s="330"/>
      <c r="I2" s="330"/>
      <c r="J2" s="330"/>
      <c r="K2" s="330"/>
      <c r="L2" s="330"/>
      <c r="M2" s="330"/>
      <c r="N2" s="330"/>
      <c r="O2" s="330"/>
      <c r="P2" s="330"/>
      <c r="Q2" s="330"/>
      <c r="R2" s="330"/>
      <c r="S2" s="188"/>
      <c r="T2" s="188"/>
      <c r="U2" s="188"/>
    </row>
    <row r="3" spans="1:21">
      <c r="A3" s="384" t="s">
        <v>7</v>
      </c>
      <c r="B3" s="188" t="s">
        <v>831</v>
      </c>
      <c r="C3" s="322"/>
      <c r="D3" s="188"/>
      <c r="E3" s="188"/>
      <c r="F3" s="188"/>
      <c r="G3" s="188"/>
      <c r="H3" s="188"/>
      <c r="I3" s="188"/>
      <c r="J3" s="188"/>
      <c r="K3" s="188"/>
      <c r="L3" s="188"/>
      <c r="M3" s="188"/>
      <c r="N3" s="188"/>
      <c r="O3" s="188"/>
      <c r="P3" s="188"/>
      <c r="Q3" s="188"/>
      <c r="R3" s="188"/>
      <c r="S3" s="188"/>
      <c r="T3" s="188"/>
      <c r="U3" s="188"/>
    </row>
    <row r="4" spans="1:21">
      <c r="A4" s="384" t="s">
        <v>9</v>
      </c>
      <c r="B4" s="188" t="s">
        <v>1125</v>
      </c>
      <c r="C4" s="322"/>
      <c r="D4" s="188"/>
      <c r="E4" s="188"/>
      <c r="F4" s="188"/>
      <c r="G4" s="188"/>
      <c r="H4" s="188"/>
      <c r="I4" s="188"/>
      <c r="J4" s="188"/>
      <c r="K4" s="188"/>
      <c r="L4" s="188"/>
      <c r="M4" s="188"/>
      <c r="N4" s="188"/>
      <c r="O4" s="188"/>
      <c r="P4" s="188"/>
      <c r="Q4" s="188"/>
      <c r="R4" s="188"/>
      <c r="S4" s="188"/>
      <c r="T4" s="188"/>
      <c r="U4" s="367"/>
    </row>
    <row r="5" spans="1:21" ht="12.75" customHeight="1">
      <c r="A5" s="384" t="s">
        <v>11</v>
      </c>
      <c r="B5" s="324" t="s">
        <v>841</v>
      </c>
      <c r="C5" s="188"/>
      <c r="D5" s="188"/>
      <c r="E5" s="188"/>
      <c r="F5" s="188"/>
      <c r="G5" s="188"/>
      <c r="H5" s="188"/>
      <c r="I5" s="188"/>
      <c r="J5" s="188"/>
      <c r="K5" s="188"/>
      <c r="L5" s="188"/>
      <c r="M5" s="188"/>
      <c r="N5" s="188"/>
      <c r="O5" s="188"/>
      <c r="P5" s="188"/>
      <c r="Q5" s="188"/>
      <c r="R5" s="188"/>
      <c r="S5" s="188"/>
      <c r="T5" s="188"/>
      <c r="U5" s="188"/>
    </row>
    <row r="6" spans="1:21">
      <c r="A6" s="384" t="s">
        <v>13</v>
      </c>
      <c r="B6" s="188" t="s">
        <v>14</v>
      </c>
      <c r="C6" s="188"/>
      <c r="D6" s="188"/>
      <c r="E6" s="188"/>
      <c r="F6" s="188"/>
      <c r="G6" s="188"/>
      <c r="H6" s="188"/>
      <c r="I6" s="188"/>
      <c r="J6" s="188"/>
      <c r="K6" s="188"/>
      <c r="L6" s="188"/>
      <c r="M6" s="188"/>
      <c r="N6" s="188"/>
      <c r="O6" s="188"/>
      <c r="P6" s="188"/>
      <c r="Q6" s="188"/>
      <c r="R6" s="188"/>
      <c r="S6" s="188"/>
      <c r="T6" s="188"/>
      <c r="U6" s="188"/>
    </row>
    <row r="7" spans="1:21">
      <c r="A7" s="384" t="s">
        <v>15</v>
      </c>
      <c r="B7" s="188">
        <f>B12</f>
        <v>8.9999999999999993E-3</v>
      </c>
      <c r="C7" s="188"/>
      <c r="D7" s="188"/>
      <c r="E7" s="188"/>
      <c r="F7" s="188"/>
      <c r="G7" s="188"/>
      <c r="H7" s="188"/>
      <c r="I7" s="188"/>
      <c r="J7" s="188"/>
      <c r="K7" s="188"/>
      <c r="L7" s="188"/>
      <c r="M7" s="188"/>
      <c r="N7" s="188"/>
      <c r="O7" s="188"/>
      <c r="P7" s="188"/>
      <c r="Q7" s="188"/>
      <c r="R7" s="188"/>
      <c r="S7" s="188"/>
      <c r="T7" s="188"/>
      <c r="U7" s="188"/>
    </row>
    <row r="8" spans="1:21">
      <c r="A8" s="384" t="s">
        <v>16</v>
      </c>
      <c r="B8" s="188" t="s">
        <v>17</v>
      </c>
      <c r="C8" s="188"/>
      <c r="D8" s="188"/>
      <c r="E8" s="188"/>
      <c r="F8" s="188"/>
      <c r="G8" s="188"/>
      <c r="H8" s="188"/>
      <c r="I8" s="188"/>
      <c r="J8" s="188"/>
      <c r="K8" s="188"/>
      <c r="L8" s="188"/>
      <c r="M8" s="188"/>
      <c r="N8" s="188"/>
      <c r="O8" s="188"/>
      <c r="P8" s="188"/>
      <c r="Q8" s="188"/>
      <c r="R8" s="188"/>
      <c r="S8" s="188"/>
      <c r="T8" s="188"/>
      <c r="U8" s="188"/>
    </row>
    <row r="9" spans="1:21">
      <c r="A9" s="384" t="s">
        <v>18</v>
      </c>
      <c r="B9" s="188" t="s">
        <v>853</v>
      </c>
      <c r="C9" s="188"/>
      <c r="D9" s="188"/>
      <c r="E9" s="188"/>
      <c r="F9" s="188"/>
      <c r="G9" s="188"/>
      <c r="H9" s="188"/>
      <c r="I9" s="188"/>
      <c r="J9" s="188"/>
      <c r="K9" s="188"/>
      <c r="L9" s="188"/>
      <c r="M9" s="188"/>
      <c r="N9" s="188"/>
      <c r="O9" s="188"/>
      <c r="P9" s="188"/>
      <c r="Q9" s="188"/>
      <c r="R9" s="188"/>
      <c r="S9" s="188"/>
      <c r="T9" s="188"/>
      <c r="U9" s="188"/>
    </row>
    <row r="10" spans="1:21">
      <c r="A10" s="385"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59" t="s">
        <v>1118</v>
      </c>
      <c r="B12" s="188">
        <v>8.9999999999999993E-3</v>
      </c>
      <c r="C12" s="188" t="s">
        <v>853</v>
      </c>
      <c r="D12" s="386" t="s">
        <v>2</v>
      </c>
      <c r="E12" s="188" t="s">
        <v>29</v>
      </c>
      <c r="F12" s="37" t="s">
        <v>14</v>
      </c>
      <c r="G12" s="188" t="s">
        <v>30</v>
      </c>
      <c r="H12" s="188">
        <v>1</v>
      </c>
      <c r="I12" s="188">
        <f>B12</f>
        <v>8.9999999999999993E-3</v>
      </c>
      <c r="J12" s="188" t="s">
        <v>31</v>
      </c>
      <c r="K12" s="188" t="s">
        <v>31</v>
      </c>
      <c r="L12" s="188" t="s">
        <v>31</v>
      </c>
      <c r="M12" s="188" t="s">
        <v>31</v>
      </c>
      <c r="N12" s="188"/>
      <c r="O12" s="387" t="s">
        <v>911</v>
      </c>
      <c r="P12" s="388"/>
      <c r="Q12" s="188"/>
      <c r="R12" s="188"/>
      <c r="S12" s="188"/>
      <c r="T12" s="188"/>
      <c r="U12" s="188"/>
    </row>
    <row r="13" spans="1:21">
      <c r="A13" s="359" t="s">
        <v>1126</v>
      </c>
      <c r="B13" s="188">
        <f>Q13</f>
        <v>4.8599999999999997E-2</v>
      </c>
      <c r="C13" s="188" t="s">
        <v>37</v>
      </c>
      <c r="D13" s="386" t="s">
        <v>2</v>
      </c>
      <c r="E13" s="188" t="s">
        <v>29</v>
      </c>
      <c r="F13" s="37" t="s">
        <v>14</v>
      </c>
      <c r="G13" s="188" t="s">
        <v>33</v>
      </c>
      <c r="H13" s="188">
        <v>1</v>
      </c>
      <c r="I13" s="188">
        <f t="shared" ref="I13:I14" si="0">B13</f>
        <v>4.8599999999999997E-2</v>
      </c>
      <c r="J13" s="188" t="s">
        <v>31</v>
      </c>
      <c r="K13" s="188" t="s">
        <v>31</v>
      </c>
      <c r="L13" s="188" t="s">
        <v>31</v>
      </c>
      <c r="M13" s="188" t="s">
        <v>31</v>
      </c>
      <c r="N13" s="188"/>
      <c r="O13" s="188">
        <f>P38</f>
        <v>0.18518518518518517</v>
      </c>
      <c r="P13" s="188" t="s">
        <v>888</v>
      </c>
      <c r="Q13" s="188">
        <f>B12/O13</f>
        <v>4.8599999999999997E-2</v>
      </c>
      <c r="R13" s="188"/>
      <c r="S13" s="188"/>
      <c r="T13" s="188"/>
      <c r="U13" s="188"/>
    </row>
    <row r="14" spans="1:21">
      <c r="A14" s="359" t="s">
        <v>1127</v>
      </c>
      <c r="B14" s="188">
        <v>3.5999999999999997E-2</v>
      </c>
      <c r="C14" s="188" t="s">
        <v>853</v>
      </c>
      <c r="D14" s="386" t="s">
        <v>2</v>
      </c>
      <c r="E14" s="188" t="s">
        <v>29</v>
      </c>
      <c r="F14" s="37" t="s">
        <v>14</v>
      </c>
      <c r="G14" s="188" t="s">
        <v>33</v>
      </c>
      <c r="H14" s="188">
        <v>1</v>
      </c>
      <c r="I14" s="188">
        <f t="shared" si="0"/>
        <v>3.5999999999999997E-2</v>
      </c>
      <c r="J14" s="188" t="s">
        <v>31</v>
      </c>
      <c r="K14" s="188" t="s">
        <v>31</v>
      </c>
      <c r="L14" s="188" t="s">
        <v>31</v>
      </c>
      <c r="M14" s="188" t="s">
        <v>31</v>
      </c>
      <c r="N14" s="188"/>
      <c r="O14" s="188"/>
      <c r="P14" s="188"/>
      <c r="Q14" s="188"/>
      <c r="R14" s="188"/>
      <c r="S14" s="188"/>
      <c r="T14" s="188"/>
      <c r="U14" s="188"/>
    </row>
    <row r="15" spans="1:21">
      <c r="A15" s="116" t="s">
        <v>844</v>
      </c>
      <c r="B15" s="188">
        <f>P15</f>
        <v>7.0000000000000007E-2</v>
      </c>
      <c r="C15" s="188" t="s">
        <v>37</v>
      </c>
      <c r="D15" s="188" t="s">
        <v>40</v>
      </c>
      <c r="E15" s="188" t="s">
        <v>29</v>
      </c>
      <c r="F15" s="37" t="s">
        <v>74</v>
      </c>
      <c r="G15" s="188" t="s">
        <v>33</v>
      </c>
      <c r="H15" s="188">
        <v>2</v>
      </c>
      <c r="I15" s="188">
        <f>LN(B15)</f>
        <v>-2.6592600369327779</v>
      </c>
      <c r="J15" s="442">
        <v>0.11236102527122109</v>
      </c>
      <c r="K15" s="188" t="s">
        <v>31</v>
      </c>
      <c r="L15" s="188" t="s">
        <v>31</v>
      </c>
      <c r="M15" s="188" t="s">
        <v>31</v>
      </c>
      <c r="N15" s="188"/>
      <c r="O15" s="379" t="s">
        <v>275</v>
      </c>
      <c r="P15" s="107">
        <v>7.0000000000000007E-2</v>
      </c>
      <c r="Q15" s="188"/>
      <c r="R15" s="188"/>
      <c r="S15" s="188"/>
      <c r="T15" s="188"/>
      <c r="U15" s="188"/>
    </row>
    <row r="16" spans="1:21">
      <c r="A16" s="116" t="s">
        <v>912</v>
      </c>
      <c r="B16" s="393">
        <f>Q16</f>
        <v>3.7E-9</v>
      </c>
      <c r="C16" s="188" t="s">
        <v>37</v>
      </c>
      <c r="D16" s="188" t="s">
        <v>40</v>
      </c>
      <c r="E16" s="188" t="s">
        <v>29</v>
      </c>
      <c r="F16" s="37" t="s">
        <v>59</v>
      </c>
      <c r="G16" s="188" t="s">
        <v>33</v>
      </c>
      <c r="H16" s="188">
        <v>2</v>
      </c>
      <c r="I16" s="188">
        <f t="shared" ref="I16:I17" si="1">LN(B16)</f>
        <v>-19.414933017296232</v>
      </c>
      <c r="J16" s="442">
        <v>0.11236102527122109</v>
      </c>
      <c r="K16" s="188" t="s">
        <v>31</v>
      </c>
      <c r="L16" s="188" t="s">
        <v>31</v>
      </c>
      <c r="M16" s="188" t="s">
        <v>31</v>
      </c>
      <c r="N16" s="188"/>
      <c r="O16" s="394" t="s">
        <v>862</v>
      </c>
      <c r="P16" s="127">
        <v>3.7000000000000002E-3</v>
      </c>
      <c r="Q16" s="393">
        <f>P16*10^(-6)</f>
        <v>3.7E-9</v>
      </c>
      <c r="R16" s="188" t="s">
        <v>37</v>
      </c>
      <c r="S16" s="188"/>
      <c r="T16" s="188"/>
      <c r="U16" s="188"/>
    </row>
    <row r="17" spans="1:21">
      <c r="A17" s="116" t="s">
        <v>76</v>
      </c>
      <c r="B17" s="188">
        <f>Q17</f>
        <v>7.0000000000000007E-5</v>
      </c>
      <c r="C17" s="188" t="s">
        <v>42</v>
      </c>
      <c r="D17" s="188" t="s">
        <v>40</v>
      </c>
      <c r="E17" s="188" t="s">
        <v>29</v>
      </c>
      <c r="F17" s="37" t="s">
        <v>74</v>
      </c>
      <c r="G17" s="188" t="s">
        <v>33</v>
      </c>
      <c r="H17" s="188">
        <v>2</v>
      </c>
      <c r="I17" s="188">
        <f t="shared" si="1"/>
        <v>-9.5670153159149152</v>
      </c>
      <c r="J17" s="442">
        <v>0.11236102527122109</v>
      </c>
      <c r="K17" s="188" t="s">
        <v>31</v>
      </c>
      <c r="L17" s="188" t="s">
        <v>31</v>
      </c>
      <c r="M17" s="188" t="s">
        <v>31</v>
      </c>
      <c r="N17" s="188"/>
      <c r="O17" s="396" t="s">
        <v>913</v>
      </c>
      <c r="P17" s="123">
        <v>7.0000000000000007E-2</v>
      </c>
      <c r="Q17" s="188">
        <f>P17/1000</f>
        <v>7.0000000000000007E-5</v>
      </c>
      <c r="R17" s="188" t="s">
        <v>914</v>
      </c>
      <c r="S17" s="188"/>
      <c r="T17" s="188"/>
      <c r="U17" s="188"/>
    </row>
    <row r="18" spans="1:21">
      <c r="A18" s="382" t="s">
        <v>5</v>
      </c>
      <c r="B18" s="126" t="s">
        <v>1126</v>
      </c>
      <c r="C18" s="349"/>
      <c r="D18" s="330"/>
      <c r="E18" s="330"/>
      <c r="F18" s="330"/>
      <c r="G18" s="330"/>
      <c r="H18" s="330"/>
      <c r="I18" s="330"/>
      <c r="J18" s="330"/>
      <c r="K18" s="330"/>
      <c r="L18" s="330"/>
      <c r="M18" s="330"/>
      <c r="N18" s="330"/>
      <c r="O18" s="330"/>
      <c r="P18" s="330"/>
      <c r="Q18" s="330"/>
      <c r="R18" s="330"/>
      <c r="S18" s="188"/>
      <c r="T18" s="188"/>
      <c r="U18" s="188"/>
    </row>
    <row r="19" spans="1:21">
      <c r="A19" s="384"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384" t="s">
        <v>9</v>
      </c>
      <c r="B20" s="188" t="s">
        <v>1128</v>
      </c>
      <c r="C20" s="322"/>
      <c r="D20" s="188"/>
      <c r="E20" s="188"/>
      <c r="F20" s="188"/>
      <c r="G20" s="188"/>
      <c r="H20" s="188"/>
      <c r="I20" s="188"/>
      <c r="J20" s="188"/>
      <c r="K20" s="188"/>
      <c r="L20" s="188"/>
      <c r="M20" s="188"/>
      <c r="N20" s="188"/>
      <c r="O20" s="188"/>
      <c r="P20" s="188"/>
      <c r="Q20" s="188"/>
      <c r="R20" s="188"/>
      <c r="S20" s="188"/>
      <c r="T20" s="188"/>
      <c r="U20" s="188"/>
    </row>
    <row r="21" spans="1:21" ht="10.5" customHeight="1">
      <c r="A21" s="384" t="s">
        <v>11</v>
      </c>
      <c r="B21" s="324" t="s">
        <v>841</v>
      </c>
      <c r="C21" s="188"/>
      <c r="D21" s="188"/>
      <c r="E21" s="188"/>
      <c r="F21" s="188"/>
      <c r="G21" s="188"/>
      <c r="H21" s="188"/>
      <c r="I21" s="188"/>
      <c r="J21" s="188"/>
      <c r="K21" s="188"/>
      <c r="L21" s="188"/>
      <c r="M21" s="188"/>
      <c r="N21" s="188"/>
      <c r="O21" s="188"/>
      <c r="P21" s="399"/>
      <c r="Q21" s="188"/>
      <c r="R21" s="188"/>
      <c r="S21" s="188"/>
      <c r="T21" s="188"/>
      <c r="U21" s="188"/>
    </row>
    <row r="22" spans="1:21">
      <c r="A22" s="384" t="s">
        <v>13</v>
      </c>
      <c r="B22" s="188" t="s">
        <v>14</v>
      </c>
      <c r="C22" s="188"/>
      <c r="D22" s="188"/>
      <c r="E22" s="188"/>
      <c r="F22" s="188"/>
      <c r="G22" s="188"/>
      <c r="H22" s="188"/>
      <c r="I22" s="188"/>
      <c r="J22" s="188"/>
      <c r="K22" s="188"/>
      <c r="L22" s="188"/>
      <c r="M22" s="188"/>
      <c r="N22" s="188"/>
      <c r="O22" s="188"/>
      <c r="P22" s="399"/>
      <c r="Q22" s="188"/>
      <c r="R22" s="188"/>
      <c r="S22" s="188"/>
      <c r="T22" s="188"/>
      <c r="U22" s="188"/>
    </row>
    <row r="23" spans="1:21">
      <c r="A23" s="384" t="s">
        <v>15</v>
      </c>
      <c r="B23" s="188">
        <f>B28</f>
        <v>0.06</v>
      </c>
      <c r="C23" s="188"/>
      <c r="D23" s="188"/>
      <c r="E23" s="188"/>
      <c r="F23" s="188"/>
      <c r="G23" s="188"/>
      <c r="H23" s="188"/>
      <c r="I23" s="188"/>
      <c r="J23" s="188"/>
      <c r="K23" s="188"/>
      <c r="L23" s="188"/>
      <c r="M23" s="188"/>
      <c r="N23" s="188"/>
      <c r="O23" s="188"/>
      <c r="P23" s="399"/>
      <c r="Q23" s="188"/>
      <c r="R23" s="188"/>
      <c r="S23" s="188"/>
      <c r="T23" s="188"/>
      <c r="U23" s="188"/>
    </row>
    <row r="24" spans="1:21">
      <c r="A24" s="384"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84" t="s">
        <v>18</v>
      </c>
      <c r="B25" s="188" t="s">
        <v>37</v>
      </c>
      <c r="C25" s="188"/>
      <c r="D25" s="188"/>
      <c r="E25" s="188"/>
      <c r="F25" s="188"/>
      <c r="G25" s="188"/>
      <c r="H25" s="188"/>
      <c r="I25" s="188"/>
      <c r="J25" s="188"/>
      <c r="K25" s="188"/>
      <c r="L25" s="188"/>
      <c r="M25" s="188"/>
      <c r="N25" s="188"/>
      <c r="O25" s="188"/>
      <c r="P25" s="188"/>
      <c r="Q25" s="188"/>
      <c r="R25" s="188"/>
      <c r="S25" s="188"/>
      <c r="T25" s="188"/>
      <c r="U25" s="188"/>
    </row>
    <row r="26" spans="1:21">
      <c r="A26" s="385"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188"/>
      <c r="U27" s="188"/>
    </row>
    <row r="28" spans="1:21">
      <c r="A28" s="359" t="s">
        <v>1126</v>
      </c>
      <c r="B28" s="188">
        <v>0.06</v>
      </c>
      <c r="C28" s="188" t="s">
        <v>37</v>
      </c>
      <c r="D28" s="386" t="s">
        <v>2</v>
      </c>
      <c r="E28" s="188" t="s">
        <v>29</v>
      </c>
      <c r="F28" s="37" t="s">
        <v>14</v>
      </c>
      <c r="G28" s="188" t="s">
        <v>30</v>
      </c>
      <c r="H28" s="188">
        <v>1</v>
      </c>
      <c r="I28" s="188">
        <f>B28</f>
        <v>0.06</v>
      </c>
      <c r="J28" s="188" t="s">
        <v>31</v>
      </c>
      <c r="K28" s="188" t="s">
        <v>31</v>
      </c>
      <c r="L28" s="188" t="s">
        <v>31</v>
      </c>
      <c r="M28" s="188" t="s">
        <v>31</v>
      </c>
      <c r="N28" s="188"/>
      <c r="O28" s="188"/>
      <c r="Q28" s="188"/>
      <c r="R28" s="188"/>
      <c r="S28" s="188"/>
      <c r="T28" s="188"/>
      <c r="U28" s="188"/>
    </row>
    <row r="29" spans="1:21">
      <c r="A29" s="116" t="s">
        <v>912</v>
      </c>
      <c r="B29" s="393">
        <f>R29</f>
        <v>6.3E-3</v>
      </c>
      <c r="C29" s="188" t="s">
        <v>37</v>
      </c>
      <c r="D29" s="188" t="s">
        <v>40</v>
      </c>
      <c r="E29" s="188" t="s">
        <v>29</v>
      </c>
      <c r="F29" s="37" t="s">
        <v>59</v>
      </c>
      <c r="G29" s="188" t="s">
        <v>33</v>
      </c>
      <c r="H29" s="188">
        <v>2</v>
      </c>
      <c r="I29" s="188">
        <f t="shared" ref="I29:I31" si="2">LN(B29)</f>
        <v>-5.0672056455846501</v>
      </c>
      <c r="J29" s="442">
        <v>0.11236102527122109</v>
      </c>
      <c r="K29" s="188" t="s">
        <v>31</v>
      </c>
      <c r="L29" s="188" t="s">
        <v>31</v>
      </c>
      <c r="M29" s="188" t="s">
        <v>31</v>
      </c>
      <c r="N29" s="188"/>
      <c r="O29" s="379" t="s">
        <v>857</v>
      </c>
      <c r="P29" s="392">
        <v>6.3</v>
      </c>
      <c r="Q29" s="188" t="s">
        <v>275</v>
      </c>
      <c r="R29" s="188">
        <f>P29*0.001</f>
        <v>6.3E-3</v>
      </c>
      <c r="S29" s="188"/>
      <c r="T29" s="188"/>
      <c r="U29" s="188"/>
    </row>
    <row r="30" spans="1:21">
      <c r="A30" s="384" t="s">
        <v>265</v>
      </c>
      <c r="B30" s="327">
        <f>P30</f>
        <v>0.03</v>
      </c>
      <c r="C30" s="188" t="s">
        <v>39</v>
      </c>
      <c r="D30" s="188" t="s">
        <v>40</v>
      </c>
      <c r="E30" s="188" t="s">
        <v>29</v>
      </c>
      <c r="F30" s="37" t="s">
        <v>35</v>
      </c>
      <c r="G30" s="188" t="s">
        <v>33</v>
      </c>
      <c r="H30" s="188">
        <v>2</v>
      </c>
      <c r="I30" s="188">
        <f t="shared" si="2"/>
        <v>-3.5065578973199818</v>
      </c>
      <c r="J30" s="442">
        <v>0.11236102527122109</v>
      </c>
      <c r="K30" s="188" t="s">
        <v>31</v>
      </c>
      <c r="L30" s="188" t="s">
        <v>31</v>
      </c>
      <c r="M30" s="188" t="s">
        <v>31</v>
      </c>
      <c r="N30" s="188"/>
      <c r="O30" s="379" t="s">
        <v>271</v>
      </c>
      <c r="P30" s="392">
        <v>0.03</v>
      </c>
      <c r="Q30" s="188"/>
      <c r="R30" s="188"/>
      <c r="S30" s="188"/>
      <c r="T30" s="188"/>
      <c r="U30" s="188"/>
    </row>
    <row r="31" spans="1:21">
      <c r="A31" s="116" t="s">
        <v>916</v>
      </c>
      <c r="B31" s="188">
        <f>R31</f>
        <v>2.9999999999999997E-4</v>
      </c>
      <c r="C31" s="188" t="s">
        <v>37</v>
      </c>
      <c r="D31" s="188" t="s">
        <v>43</v>
      </c>
      <c r="E31" s="188" t="s">
        <v>917</v>
      </c>
      <c r="F31" s="37" t="s">
        <v>29</v>
      </c>
      <c r="G31" s="188" t="s">
        <v>45</v>
      </c>
      <c r="H31" s="188">
        <v>2</v>
      </c>
      <c r="I31" s="188">
        <f t="shared" si="2"/>
        <v>-8.1117280833080727</v>
      </c>
      <c r="J31" s="442">
        <v>0.11236102527122109</v>
      </c>
      <c r="K31" s="188" t="s">
        <v>31</v>
      </c>
      <c r="L31" s="188" t="s">
        <v>31</v>
      </c>
      <c r="M31" s="188" t="s">
        <v>31</v>
      </c>
      <c r="N31" s="188"/>
      <c r="O31" s="396" t="s">
        <v>857</v>
      </c>
      <c r="P31" s="397">
        <v>0.3</v>
      </c>
      <c r="Q31" s="188" t="s">
        <v>275</v>
      </c>
      <c r="R31" s="188">
        <f>P31*0.001</f>
        <v>2.9999999999999997E-4</v>
      </c>
      <c r="S31" s="188"/>
      <c r="T31" s="188"/>
      <c r="U31" s="188"/>
    </row>
    <row r="32" spans="1:21">
      <c r="A32" s="382" t="s">
        <v>5</v>
      </c>
      <c r="B32" s="348" t="s">
        <v>1127</v>
      </c>
      <c r="C32" s="349"/>
      <c r="D32" s="330"/>
      <c r="E32" s="330"/>
      <c r="F32" s="330"/>
      <c r="G32" s="330"/>
      <c r="H32" s="330"/>
      <c r="I32" s="330"/>
      <c r="J32" s="330"/>
      <c r="K32" s="330"/>
      <c r="L32" s="330"/>
      <c r="M32" s="330"/>
      <c r="N32" s="330"/>
      <c r="O32" s="330"/>
      <c r="P32" s="330"/>
      <c r="Q32" s="330"/>
      <c r="R32" s="330"/>
      <c r="S32" s="188"/>
      <c r="T32" s="188"/>
      <c r="U32" s="188"/>
    </row>
    <row r="33" spans="1:21">
      <c r="A33" s="384" t="s">
        <v>7</v>
      </c>
      <c r="B33" s="188" t="s">
        <v>831</v>
      </c>
      <c r="C33" s="322"/>
      <c r="D33" s="188"/>
      <c r="E33" s="188"/>
      <c r="F33" s="188"/>
      <c r="G33" s="188"/>
      <c r="H33" s="188"/>
      <c r="I33" s="188"/>
      <c r="J33" s="188"/>
      <c r="K33" s="188"/>
      <c r="L33" s="188"/>
      <c r="M33" s="188"/>
      <c r="N33" s="188"/>
      <c r="O33" s="188"/>
      <c r="P33" s="188"/>
      <c r="Q33" s="188"/>
      <c r="R33" s="188"/>
      <c r="S33" s="188"/>
      <c r="T33" s="188"/>
      <c r="U33" s="188"/>
    </row>
    <row r="34" spans="1:21">
      <c r="A34" s="384" t="s">
        <v>9</v>
      </c>
      <c r="B34" s="188" t="s">
        <v>1129</v>
      </c>
      <c r="C34" s="322"/>
      <c r="D34" s="188"/>
      <c r="E34" s="188"/>
      <c r="F34" s="188"/>
      <c r="G34" s="188"/>
      <c r="H34" s="188"/>
      <c r="I34" s="188"/>
      <c r="J34" s="188"/>
      <c r="K34" s="188"/>
      <c r="L34" s="188"/>
      <c r="M34" s="188"/>
      <c r="N34" s="188"/>
      <c r="O34" s="188"/>
      <c r="P34" s="188"/>
      <c r="Q34" s="188"/>
      <c r="R34" s="188"/>
      <c r="S34" s="188"/>
      <c r="T34" s="188"/>
      <c r="U34" s="188"/>
    </row>
    <row r="35" spans="1:21" ht="15.75" customHeight="1">
      <c r="A35" s="384" t="s">
        <v>11</v>
      </c>
      <c r="B35" s="324" t="s">
        <v>841</v>
      </c>
      <c r="C35" s="188"/>
      <c r="D35" s="188"/>
      <c r="E35" s="188"/>
      <c r="F35" s="188"/>
      <c r="G35" s="188"/>
      <c r="H35" s="188"/>
      <c r="I35" s="188"/>
      <c r="J35" s="188"/>
      <c r="K35" s="188"/>
      <c r="L35" s="188"/>
      <c r="M35" s="188"/>
      <c r="N35" s="188"/>
      <c r="O35" s="188"/>
      <c r="P35" s="188"/>
      <c r="Q35" s="188"/>
      <c r="R35" s="188"/>
      <c r="S35" s="188"/>
      <c r="T35" s="367"/>
      <c r="U35" s="188"/>
    </row>
    <row r="36" spans="1:21">
      <c r="A36" s="384" t="s">
        <v>13</v>
      </c>
      <c r="B36" s="188" t="s">
        <v>14</v>
      </c>
      <c r="C36" s="188"/>
      <c r="D36" s="188"/>
      <c r="E36" s="188"/>
      <c r="F36" s="188"/>
      <c r="G36" s="188"/>
      <c r="H36" s="188"/>
      <c r="I36" s="188"/>
      <c r="J36" s="188"/>
      <c r="K36" s="188"/>
      <c r="L36" s="188"/>
      <c r="M36" s="188"/>
      <c r="N36" s="188"/>
      <c r="O36" s="188"/>
      <c r="P36" s="188"/>
      <c r="Q36" s="188"/>
      <c r="R36" s="188"/>
      <c r="S36" s="188"/>
      <c r="T36" s="188"/>
      <c r="U36" s="188"/>
    </row>
    <row r="37" spans="1:21">
      <c r="A37" s="384" t="s">
        <v>15</v>
      </c>
      <c r="B37" s="188">
        <v>0.05</v>
      </c>
      <c r="C37" s="188"/>
      <c r="D37" s="188"/>
      <c r="E37" s="188"/>
      <c r="F37" s="188"/>
      <c r="G37" s="188"/>
      <c r="H37" s="188"/>
      <c r="I37" s="188"/>
      <c r="J37" s="188"/>
      <c r="K37" s="188"/>
      <c r="L37" s="188"/>
      <c r="M37" s="188"/>
      <c r="N37" s="188"/>
      <c r="O37" s="188"/>
      <c r="P37" s="188" t="s">
        <v>1130</v>
      </c>
      <c r="Q37" s="188"/>
      <c r="R37" s="188"/>
      <c r="S37" s="188"/>
      <c r="T37" s="188"/>
      <c r="U37" s="188"/>
    </row>
    <row r="38" spans="1:21">
      <c r="A38" s="384" t="s">
        <v>16</v>
      </c>
      <c r="B38" s="188" t="s">
        <v>17</v>
      </c>
      <c r="C38" s="188"/>
      <c r="D38" s="188"/>
      <c r="E38" s="188"/>
      <c r="F38" s="188"/>
      <c r="G38" s="188"/>
      <c r="H38" s="188"/>
      <c r="I38" s="188"/>
      <c r="J38" s="188"/>
      <c r="K38" s="188"/>
      <c r="L38" s="188"/>
      <c r="M38" s="188"/>
      <c r="N38" s="188"/>
      <c r="O38" s="188"/>
      <c r="P38" s="188">
        <f>0.05/0.27</f>
        <v>0.18518518518518517</v>
      </c>
      <c r="Q38" s="188" t="s">
        <v>888</v>
      </c>
      <c r="R38" s="188"/>
      <c r="S38" s="188"/>
      <c r="T38" s="188"/>
      <c r="U38" s="188"/>
    </row>
    <row r="39" spans="1:21">
      <c r="A39" s="384" t="s">
        <v>18</v>
      </c>
      <c r="B39" s="188" t="s">
        <v>853</v>
      </c>
      <c r="C39" s="188"/>
      <c r="D39" s="188"/>
      <c r="E39" s="188"/>
      <c r="F39" s="188"/>
      <c r="G39" s="188"/>
      <c r="H39" s="188"/>
      <c r="I39" s="188"/>
      <c r="J39" s="188"/>
      <c r="K39" s="188"/>
      <c r="L39" s="188"/>
      <c r="M39" s="188"/>
      <c r="N39" s="188"/>
      <c r="O39" s="188"/>
      <c r="P39" s="188"/>
      <c r="Q39" s="188"/>
      <c r="R39" s="188"/>
      <c r="S39" s="188"/>
      <c r="T39" s="188"/>
      <c r="U39" s="188"/>
    </row>
    <row r="40" spans="1:21">
      <c r="A40" s="385" t="s">
        <v>19</v>
      </c>
      <c r="B40" s="188"/>
      <c r="C40" s="188"/>
      <c r="D40" s="188"/>
      <c r="E40" s="188"/>
      <c r="F40" s="188"/>
      <c r="G40" s="188"/>
      <c r="H40" s="188"/>
      <c r="I40" s="188"/>
      <c r="J40" s="188"/>
      <c r="K40" s="188"/>
      <c r="L40" s="188"/>
      <c r="M40" s="188"/>
      <c r="N40" s="188"/>
      <c r="O40" s="188"/>
      <c r="P40" s="188"/>
      <c r="Q40" s="188"/>
      <c r="R40" s="188"/>
      <c r="S40" s="188"/>
      <c r="T40" s="188"/>
      <c r="U40" s="188"/>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c r="O41" s="188"/>
      <c r="P41" s="188"/>
      <c r="Q41" s="188"/>
      <c r="R41" s="188"/>
      <c r="S41" s="188"/>
      <c r="T41" s="188"/>
      <c r="U41" s="188"/>
    </row>
    <row r="42" spans="1:21">
      <c r="A42" s="359" t="s">
        <v>1127</v>
      </c>
      <c r="B42" s="188">
        <v>0.05</v>
      </c>
      <c r="C42" s="188" t="s">
        <v>853</v>
      </c>
      <c r="D42" s="386"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c r="U42" s="188"/>
    </row>
    <row r="43" spans="1:21">
      <c r="A43" s="188" t="s">
        <v>1131</v>
      </c>
      <c r="B43" s="398">
        <f>B68</f>
        <v>0.27</v>
      </c>
      <c r="C43" s="188" t="s">
        <v>37</v>
      </c>
      <c r="D43" s="386" t="s">
        <v>2</v>
      </c>
      <c r="E43" s="188" t="s">
        <v>29</v>
      </c>
      <c r="F43" s="37" t="s">
        <v>14</v>
      </c>
      <c r="G43" s="188" t="s">
        <v>33</v>
      </c>
      <c r="H43" s="188">
        <v>1</v>
      </c>
      <c r="I43" s="188">
        <f t="shared" si="3"/>
        <v>0.27</v>
      </c>
      <c r="J43" s="188" t="s">
        <v>31</v>
      </c>
      <c r="K43" s="188" t="s">
        <v>31</v>
      </c>
      <c r="L43" s="188" t="s">
        <v>31</v>
      </c>
      <c r="M43" s="188" t="s">
        <v>31</v>
      </c>
      <c r="N43" s="188"/>
      <c r="O43" s="379"/>
      <c r="P43" s="392"/>
      <c r="Q43" s="188"/>
      <c r="R43" s="188"/>
      <c r="S43" s="188"/>
      <c r="T43" s="188"/>
      <c r="U43" s="188"/>
    </row>
    <row r="44" spans="1:21">
      <c r="A44" s="384" t="s">
        <v>265</v>
      </c>
      <c r="B44" s="327">
        <f>P44</f>
        <v>0.36</v>
      </c>
      <c r="C44" s="188" t="s">
        <v>39</v>
      </c>
      <c r="D44" s="188" t="s">
        <v>40</v>
      </c>
      <c r="E44" s="188" t="s">
        <v>29</v>
      </c>
      <c r="F44" s="37" t="s">
        <v>35</v>
      </c>
      <c r="G44" s="188" t="s">
        <v>33</v>
      </c>
      <c r="H44" s="188">
        <v>2</v>
      </c>
      <c r="I44" s="188">
        <f t="shared" ref="I44" si="4">LN(B44)</f>
        <v>-1.0216512475319814</v>
      </c>
      <c r="J44" s="442">
        <v>7.2284161474004766E-2</v>
      </c>
      <c r="K44" s="188" t="s">
        <v>31</v>
      </c>
      <c r="L44" s="188" t="s">
        <v>31</v>
      </c>
      <c r="M44" s="188" t="s">
        <v>31</v>
      </c>
      <c r="N44" s="188"/>
      <c r="O44" s="379" t="s">
        <v>271</v>
      </c>
      <c r="P44" s="107">
        <v>0.36</v>
      </c>
      <c r="Q44" s="188"/>
      <c r="R44" s="188"/>
      <c r="S44" s="188"/>
      <c r="T44" s="188"/>
      <c r="U44" s="188"/>
    </row>
    <row r="45" spans="1:21">
      <c r="A45" s="116" t="s">
        <v>491</v>
      </c>
      <c r="B45" s="188">
        <f>R45</f>
        <v>9.0000000000000011E-3</v>
      </c>
      <c r="C45" s="188" t="s">
        <v>37</v>
      </c>
      <c r="D45" s="188" t="s">
        <v>40</v>
      </c>
      <c r="E45" s="188" t="s">
        <v>29</v>
      </c>
      <c r="F45" s="37" t="s">
        <v>59</v>
      </c>
      <c r="G45" s="188" t="s">
        <v>33</v>
      </c>
      <c r="H45" s="188">
        <v>2</v>
      </c>
      <c r="I45" s="188">
        <f>LN(B45)</f>
        <v>-4.7105307016459177</v>
      </c>
      <c r="J45" s="442">
        <v>7.2284161474004766E-2</v>
      </c>
      <c r="K45" s="188" t="s">
        <v>31</v>
      </c>
      <c r="L45" s="188" t="s">
        <v>31</v>
      </c>
      <c r="M45" s="188" t="s">
        <v>31</v>
      </c>
      <c r="N45" s="188"/>
      <c r="O45" s="379" t="s">
        <v>857</v>
      </c>
      <c r="P45" s="107">
        <v>9</v>
      </c>
      <c r="Q45" s="188" t="s">
        <v>275</v>
      </c>
      <c r="R45" s="188">
        <f>P45*0.001</f>
        <v>9.0000000000000011E-3</v>
      </c>
      <c r="S45" s="188"/>
      <c r="T45" s="188"/>
      <c r="U45" s="188"/>
    </row>
    <row r="46" spans="1:21">
      <c r="A46" s="116" t="s">
        <v>921</v>
      </c>
      <c r="B46" s="188">
        <f>R46</f>
        <v>1.4999999999999999E-2</v>
      </c>
      <c r="C46" s="188" t="s">
        <v>37</v>
      </c>
      <c r="D46" s="188" t="s">
        <v>40</v>
      </c>
      <c r="E46" s="188" t="s">
        <v>29</v>
      </c>
      <c r="F46" s="37" t="s">
        <v>35</v>
      </c>
      <c r="G46" s="188" t="s">
        <v>33</v>
      </c>
      <c r="H46" s="188">
        <v>2</v>
      </c>
      <c r="I46" s="188">
        <f>LN(B46)</f>
        <v>-4.1997050778799272</v>
      </c>
      <c r="J46" s="442">
        <v>7.2284161474004766E-2</v>
      </c>
      <c r="K46" s="188" t="s">
        <v>31</v>
      </c>
      <c r="L46" s="188" t="s">
        <v>31</v>
      </c>
      <c r="M46" s="188" t="s">
        <v>31</v>
      </c>
      <c r="N46" s="188"/>
      <c r="O46" s="379" t="s">
        <v>857</v>
      </c>
      <c r="P46" s="107">
        <v>15</v>
      </c>
      <c r="Q46" s="188" t="s">
        <v>275</v>
      </c>
      <c r="R46" s="188">
        <f>P46*0.001</f>
        <v>1.4999999999999999E-2</v>
      </c>
      <c r="S46" s="188"/>
      <c r="T46" s="188"/>
      <c r="U46" s="188"/>
    </row>
    <row r="47" spans="1:21">
      <c r="A47" s="116" t="s">
        <v>844</v>
      </c>
      <c r="B47" s="188">
        <f>P47</f>
        <v>13.7</v>
      </c>
      <c r="C47" s="188" t="s">
        <v>37</v>
      </c>
      <c r="D47" s="188" t="s">
        <v>40</v>
      </c>
      <c r="E47" s="188" t="s">
        <v>29</v>
      </c>
      <c r="F47" s="37" t="s">
        <v>74</v>
      </c>
      <c r="G47" s="188" t="s">
        <v>33</v>
      </c>
      <c r="H47" s="188">
        <v>2</v>
      </c>
      <c r="I47" s="188">
        <f>LN(B47)</f>
        <v>2.6173958328340792</v>
      </c>
      <c r="J47" s="442">
        <v>7.2284161474004766E-2</v>
      </c>
      <c r="K47" s="188" t="s">
        <v>31</v>
      </c>
      <c r="L47" s="188" t="s">
        <v>31</v>
      </c>
      <c r="M47" s="188" t="s">
        <v>31</v>
      </c>
      <c r="N47" s="188"/>
      <c r="O47" s="379" t="s">
        <v>275</v>
      </c>
      <c r="P47" s="107">
        <v>13.7</v>
      </c>
      <c r="Q47" s="188"/>
      <c r="R47" s="188"/>
      <c r="S47" s="188"/>
      <c r="T47" s="188"/>
      <c r="U47" s="188"/>
    </row>
    <row r="48" spans="1:21">
      <c r="A48" s="116" t="s">
        <v>76</v>
      </c>
      <c r="B48" s="188">
        <f>R48</f>
        <v>1.3699999999999999E-2</v>
      </c>
      <c r="C48" s="188" t="s">
        <v>42</v>
      </c>
      <c r="D48" s="188" t="s">
        <v>40</v>
      </c>
      <c r="E48" s="188" t="s">
        <v>29</v>
      </c>
      <c r="F48" s="37" t="s">
        <v>74</v>
      </c>
      <c r="G48" s="188" t="s">
        <v>33</v>
      </c>
      <c r="H48" s="188">
        <v>2</v>
      </c>
      <c r="I48" s="188">
        <f t="shared" ref="I48" si="5">LN(B48)</f>
        <v>-4.2903594461480576</v>
      </c>
      <c r="J48" s="442">
        <v>7.2284161474004766E-2</v>
      </c>
      <c r="K48" s="188" t="s">
        <v>31</v>
      </c>
      <c r="L48" s="188" t="s">
        <v>31</v>
      </c>
      <c r="M48" s="188" t="s">
        <v>31</v>
      </c>
      <c r="N48" s="188"/>
      <c r="O48" s="396" t="s">
        <v>913</v>
      </c>
      <c r="P48" s="123">
        <v>13.7</v>
      </c>
      <c r="Q48" s="188" t="s">
        <v>274</v>
      </c>
      <c r="R48" s="188">
        <f>P48/1000</f>
        <v>1.3699999999999999E-2</v>
      </c>
      <c r="S48" s="188"/>
      <c r="T48" s="188"/>
      <c r="U48" s="188"/>
    </row>
    <row r="49" spans="1:21">
      <c r="A49" s="382" t="s">
        <v>5</v>
      </c>
      <c r="B49" s="348" t="s">
        <v>1132</v>
      </c>
      <c r="C49" s="349"/>
      <c r="D49" s="330"/>
      <c r="E49" s="330"/>
      <c r="F49" s="330"/>
      <c r="G49" s="330"/>
      <c r="H49" s="330"/>
      <c r="I49" s="330"/>
      <c r="J49" s="330"/>
      <c r="K49" s="330"/>
      <c r="L49" s="330"/>
      <c r="M49" s="330"/>
      <c r="N49" s="330"/>
      <c r="O49" s="330"/>
      <c r="P49" s="330"/>
      <c r="Q49" s="330"/>
      <c r="R49" s="330"/>
      <c r="S49" s="188"/>
      <c r="T49" s="188"/>
      <c r="U49" s="188"/>
    </row>
    <row r="50" spans="1:21">
      <c r="A50" s="384" t="s">
        <v>7</v>
      </c>
      <c r="B50" s="188" t="s">
        <v>831</v>
      </c>
      <c r="C50" s="322"/>
      <c r="D50" s="188"/>
      <c r="E50" s="188"/>
      <c r="F50" s="188"/>
      <c r="G50" s="188"/>
      <c r="H50" s="188"/>
      <c r="I50" s="188"/>
      <c r="J50" s="188"/>
      <c r="K50" s="188"/>
      <c r="L50" s="188"/>
      <c r="M50" s="188"/>
      <c r="N50" s="188"/>
      <c r="O50" s="188"/>
      <c r="P50" s="188"/>
      <c r="Q50" s="188"/>
      <c r="R50" s="188"/>
      <c r="S50" s="188"/>
      <c r="T50" s="188"/>
      <c r="U50" s="188"/>
    </row>
    <row r="51" spans="1:21">
      <c r="A51" s="384" t="s">
        <v>9</v>
      </c>
      <c r="B51" s="188" t="s">
        <v>1133</v>
      </c>
      <c r="C51" s="322"/>
      <c r="D51" s="188"/>
      <c r="E51" s="188"/>
      <c r="F51" s="188"/>
      <c r="G51" s="188"/>
      <c r="H51" s="188"/>
      <c r="I51" s="188"/>
      <c r="J51" s="188"/>
      <c r="K51" s="188"/>
      <c r="L51" s="188"/>
      <c r="M51" s="188"/>
      <c r="N51" s="188"/>
      <c r="O51" s="188"/>
      <c r="P51" s="188"/>
      <c r="Q51" s="188"/>
      <c r="R51" s="188"/>
      <c r="S51" s="188"/>
      <c r="T51" s="188"/>
      <c r="U51" s="188"/>
    </row>
    <row r="52" spans="1:21" ht="10.5" customHeight="1">
      <c r="A52" s="384" t="s">
        <v>11</v>
      </c>
      <c r="B52" s="324" t="s">
        <v>841</v>
      </c>
      <c r="C52" s="188"/>
      <c r="D52" s="188"/>
      <c r="E52" s="188"/>
      <c r="F52" s="188"/>
      <c r="G52" s="188"/>
      <c r="H52" s="188"/>
      <c r="I52" s="188"/>
      <c r="J52" s="188"/>
      <c r="K52" s="188"/>
      <c r="L52" s="188"/>
      <c r="M52" s="188"/>
      <c r="N52" s="188"/>
      <c r="O52" s="188"/>
      <c r="P52" s="188"/>
      <c r="Q52" s="188"/>
      <c r="R52" s="188"/>
      <c r="S52" s="188"/>
      <c r="T52" s="188"/>
      <c r="U52" s="188"/>
    </row>
    <row r="53" spans="1:21">
      <c r="A53" s="384" t="s">
        <v>13</v>
      </c>
      <c r="B53" s="188" t="s">
        <v>14</v>
      </c>
      <c r="C53" s="188"/>
      <c r="D53" s="188"/>
      <c r="E53" s="188"/>
      <c r="F53" s="188"/>
      <c r="G53" s="188"/>
      <c r="H53" s="188"/>
      <c r="I53" s="188"/>
      <c r="J53" s="188"/>
      <c r="K53" s="188"/>
      <c r="L53" s="188"/>
      <c r="M53" s="188"/>
      <c r="N53" s="188"/>
      <c r="O53" s="188"/>
      <c r="P53" s="188"/>
      <c r="Q53" s="188"/>
      <c r="R53" s="188"/>
      <c r="S53" s="188"/>
      <c r="T53" s="188"/>
      <c r="U53" s="188"/>
    </row>
    <row r="54" spans="1:21">
      <c r="A54" s="384" t="s">
        <v>15</v>
      </c>
      <c r="B54" s="398">
        <f>B59</f>
        <v>1.7000000000000001E-2</v>
      </c>
      <c r="C54" s="188"/>
      <c r="D54" s="188"/>
      <c r="E54" s="188"/>
      <c r="F54" s="188"/>
      <c r="G54" s="188"/>
      <c r="H54" s="188"/>
      <c r="I54" s="188"/>
      <c r="J54" s="188"/>
      <c r="K54" s="188"/>
      <c r="L54" s="188"/>
      <c r="M54" s="188"/>
      <c r="N54" s="188"/>
      <c r="O54" s="188"/>
      <c r="P54" s="188"/>
      <c r="Q54" s="188"/>
      <c r="R54" s="188"/>
      <c r="S54" s="188"/>
      <c r="T54" s="188"/>
      <c r="U54" s="188"/>
    </row>
    <row r="55" spans="1:21">
      <c r="A55" s="384" t="s">
        <v>16</v>
      </c>
      <c r="B55" s="188" t="s">
        <v>17</v>
      </c>
      <c r="C55" s="188"/>
      <c r="D55" s="188"/>
      <c r="E55" s="188"/>
      <c r="F55" s="188"/>
      <c r="G55" s="188"/>
      <c r="H55" s="188"/>
      <c r="I55" s="188"/>
      <c r="J55" s="188"/>
      <c r="K55" s="188"/>
      <c r="L55" s="188"/>
      <c r="M55" s="188"/>
      <c r="N55" s="188"/>
      <c r="O55" s="188"/>
      <c r="P55" s="188"/>
      <c r="Q55" s="188"/>
      <c r="R55" s="188"/>
      <c r="S55" s="188"/>
      <c r="T55" s="188"/>
      <c r="U55" s="188"/>
    </row>
    <row r="56" spans="1:21">
      <c r="A56" s="384" t="s">
        <v>18</v>
      </c>
      <c r="B56" s="188" t="s">
        <v>37</v>
      </c>
      <c r="C56" s="188"/>
      <c r="D56" s="188"/>
      <c r="E56" s="188"/>
      <c r="F56" s="188"/>
      <c r="G56" s="188"/>
      <c r="H56" s="188"/>
      <c r="I56" s="188"/>
      <c r="J56" s="188"/>
      <c r="K56" s="188"/>
      <c r="L56" s="188"/>
      <c r="M56" s="188"/>
      <c r="N56" s="188"/>
      <c r="O56" s="188"/>
      <c r="P56" s="188"/>
      <c r="Q56" s="188"/>
      <c r="R56" s="188"/>
      <c r="S56" s="188"/>
      <c r="T56" s="188"/>
      <c r="U56" s="188"/>
    </row>
    <row r="57" spans="1:21">
      <c r="A57" s="385" t="s">
        <v>19</v>
      </c>
      <c r="B57" s="188"/>
      <c r="C57" s="188"/>
      <c r="D57" s="188"/>
      <c r="E57" s="188"/>
      <c r="F57" s="188"/>
      <c r="G57" s="188"/>
      <c r="H57" s="188"/>
      <c r="I57" s="188"/>
      <c r="J57" s="188"/>
      <c r="K57" s="188"/>
      <c r="L57" s="188"/>
      <c r="M57" s="188"/>
      <c r="N57" s="188"/>
      <c r="O57" s="188"/>
      <c r="P57" s="188"/>
      <c r="Q57" s="188"/>
      <c r="R57" s="188"/>
      <c r="S57" s="188"/>
      <c r="T57" s="188"/>
      <c r="U57" s="188"/>
    </row>
    <row r="58" spans="1:21">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c r="O58" s="188"/>
      <c r="P58" s="188"/>
      <c r="Q58" s="188"/>
      <c r="R58" s="188"/>
      <c r="S58" s="188"/>
      <c r="T58" s="188"/>
      <c r="U58" s="188"/>
    </row>
    <row r="59" spans="1:21">
      <c r="A59" s="359" t="s">
        <v>1132</v>
      </c>
      <c r="B59" s="398">
        <v>1.7000000000000001E-2</v>
      </c>
      <c r="C59" s="188" t="s">
        <v>37</v>
      </c>
      <c r="D59" s="386" t="s">
        <v>2</v>
      </c>
      <c r="E59" s="188" t="s">
        <v>29</v>
      </c>
      <c r="F59" s="37" t="s">
        <v>14</v>
      </c>
      <c r="G59" s="188" t="s">
        <v>30</v>
      </c>
      <c r="H59" s="188">
        <v>1</v>
      </c>
      <c r="I59" s="188">
        <f>B59</f>
        <v>1.7000000000000001E-2</v>
      </c>
      <c r="J59" s="188" t="s">
        <v>31</v>
      </c>
      <c r="K59" s="188" t="s">
        <v>31</v>
      </c>
      <c r="L59" s="188" t="s">
        <v>31</v>
      </c>
      <c r="M59" s="188" t="s">
        <v>31</v>
      </c>
      <c r="N59" s="188"/>
      <c r="O59" s="192"/>
      <c r="P59" s="399"/>
      <c r="Q59" s="188"/>
      <c r="R59" s="188"/>
      <c r="S59" s="188"/>
      <c r="T59" s="188"/>
      <c r="U59" s="188"/>
    </row>
    <row r="60" spans="1:21">
      <c r="A60" s="116" t="s">
        <v>924</v>
      </c>
      <c r="B60" s="327">
        <f>R60</f>
        <v>1.8000000000000002E-2</v>
      </c>
      <c r="C60" s="188" t="s">
        <v>37</v>
      </c>
      <c r="D60" s="188" t="s">
        <v>40</v>
      </c>
      <c r="E60" s="188" t="s">
        <v>29</v>
      </c>
      <c r="F60" s="37" t="s">
        <v>59</v>
      </c>
      <c r="G60" s="188" t="s">
        <v>33</v>
      </c>
      <c r="H60" s="188">
        <v>2</v>
      </c>
      <c r="I60" s="188">
        <f>LN(B60)</f>
        <v>-4.0173835210859723</v>
      </c>
      <c r="J60" s="188">
        <v>7.2284161474004766E-2</v>
      </c>
      <c r="K60" s="188" t="s">
        <v>31</v>
      </c>
      <c r="L60" s="188" t="s">
        <v>31</v>
      </c>
      <c r="M60" s="188" t="s">
        <v>31</v>
      </c>
      <c r="N60" s="188"/>
      <c r="O60" s="379" t="s">
        <v>857</v>
      </c>
      <c r="P60" s="107">
        <v>18</v>
      </c>
      <c r="Q60" s="188" t="s">
        <v>275</v>
      </c>
      <c r="R60" s="188">
        <f>P60*0.001</f>
        <v>1.8000000000000002E-2</v>
      </c>
      <c r="S60" s="188"/>
      <c r="T60" s="188"/>
      <c r="U60" s="188"/>
    </row>
    <row r="61" spans="1:21">
      <c r="A61" s="384" t="s">
        <v>265</v>
      </c>
      <c r="B61" s="327">
        <f>P61</f>
        <v>0.08</v>
      </c>
      <c r="C61" s="188" t="s">
        <v>39</v>
      </c>
      <c r="D61" s="188" t="s">
        <v>40</v>
      </c>
      <c r="E61" s="188" t="s">
        <v>29</v>
      </c>
      <c r="F61" s="37" t="s">
        <v>35</v>
      </c>
      <c r="G61" s="188" t="s">
        <v>33</v>
      </c>
      <c r="H61" s="188">
        <v>2</v>
      </c>
      <c r="I61" s="188">
        <f t="shared" ref="I61:I62" si="6">LN(B61)</f>
        <v>-2.5257286443082556</v>
      </c>
      <c r="J61" s="188">
        <v>7.2284161474004766E-2</v>
      </c>
      <c r="K61" s="188" t="s">
        <v>31</v>
      </c>
      <c r="L61" s="188" t="s">
        <v>31</v>
      </c>
      <c r="M61" s="188" t="s">
        <v>31</v>
      </c>
      <c r="N61" s="188"/>
      <c r="O61" s="379" t="s">
        <v>271</v>
      </c>
      <c r="P61" s="107">
        <v>0.08</v>
      </c>
      <c r="Q61" s="188"/>
      <c r="R61" s="188"/>
      <c r="S61" s="188"/>
      <c r="T61" s="188"/>
      <c r="U61" s="188"/>
    </row>
    <row r="62" spans="1:21">
      <c r="A62" s="359" t="s">
        <v>835</v>
      </c>
      <c r="B62" s="188">
        <v>8.9999999999999993E-3</v>
      </c>
      <c r="C62" s="188" t="s">
        <v>37</v>
      </c>
      <c r="D62" s="386" t="s">
        <v>2</v>
      </c>
      <c r="E62" s="188" t="s">
        <v>29</v>
      </c>
      <c r="F62" s="37" t="s">
        <v>74</v>
      </c>
      <c r="G62" s="188" t="s">
        <v>33</v>
      </c>
      <c r="H62" s="188">
        <v>2</v>
      </c>
      <c r="I62" s="188">
        <f t="shared" si="6"/>
        <v>-4.7105307016459177</v>
      </c>
      <c r="J62" s="188">
        <v>7.2284161474004766E-2</v>
      </c>
      <c r="K62" s="188" t="s">
        <v>31</v>
      </c>
      <c r="L62" s="188" t="s">
        <v>31</v>
      </c>
      <c r="M62" s="188" t="s">
        <v>31</v>
      </c>
      <c r="N62" s="188"/>
      <c r="O62" s="188"/>
      <c r="P62" s="188"/>
      <c r="Q62" s="188"/>
      <c r="R62" s="188"/>
      <c r="S62" s="188"/>
      <c r="T62" s="188"/>
      <c r="U62" s="188"/>
    </row>
    <row r="63" spans="1:21" s="17" customFormat="1" ht="15.6">
      <c r="A63" s="382" t="s">
        <v>5</v>
      </c>
      <c r="B63" s="348" t="s">
        <v>1131</v>
      </c>
      <c r="C63" s="349"/>
      <c r="D63" s="330"/>
      <c r="E63" s="330"/>
      <c r="F63" s="330"/>
      <c r="G63" s="330"/>
      <c r="H63" s="330"/>
      <c r="I63" s="330"/>
      <c r="J63" s="330"/>
      <c r="K63" s="330"/>
      <c r="L63" s="330"/>
      <c r="M63" s="330"/>
      <c r="N63" s="330"/>
      <c r="O63" s="400"/>
      <c r="P63" s="400"/>
      <c r="Q63" s="400"/>
      <c r="R63" s="400"/>
    </row>
    <row r="64" spans="1:21"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1134</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f>B73</f>
        <v>0.27</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1131</v>
      </c>
      <c r="B73" s="327">
        <v>0.27</v>
      </c>
      <c r="C73" s="188" t="s">
        <v>37</v>
      </c>
      <c r="D73" s="386" t="s">
        <v>2</v>
      </c>
      <c r="E73" s="188" t="s">
        <v>29</v>
      </c>
      <c r="F73" s="37" t="s">
        <v>14</v>
      </c>
      <c r="G73" s="188" t="s">
        <v>30</v>
      </c>
      <c r="H73" s="188">
        <v>1</v>
      </c>
      <c r="I73" s="335">
        <f>B73</f>
        <v>0.27</v>
      </c>
      <c r="J73" s="188" t="s">
        <v>31</v>
      </c>
      <c r="K73" s="188" t="s">
        <v>31</v>
      </c>
      <c r="L73" s="188" t="s">
        <v>31</v>
      </c>
      <c r="M73" s="188" t="s">
        <v>31</v>
      </c>
      <c r="N73" s="188"/>
      <c r="O73" s="180"/>
      <c r="P73" s="401"/>
    </row>
    <row r="74" spans="1:16" s="17" customFormat="1" ht="15.6">
      <c r="A74" s="116" t="s">
        <v>237</v>
      </c>
      <c r="B74" s="327">
        <v>0.27</v>
      </c>
      <c r="C74" s="188" t="s">
        <v>37</v>
      </c>
      <c r="D74" s="188" t="s">
        <v>40</v>
      </c>
      <c r="E74" s="188" t="s">
        <v>29</v>
      </c>
      <c r="F74" s="37" t="s">
        <v>59</v>
      </c>
      <c r="G74" s="188" t="s">
        <v>33</v>
      </c>
      <c r="H74" s="188">
        <v>1</v>
      </c>
      <c r="I74" s="335">
        <f t="shared" ref="I74:I75" si="7">B74</f>
        <v>0.27</v>
      </c>
      <c r="J74" s="188" t="s">
        <v>31</v>
      </c>
      <c r="K74" s="188" t="s">
        <v>31</v>
      </c>
      <c r="L74" s="188" t="s">
        <v>31</v>
      </c>
      <c r="M74" s="188" t="s">
        <v>31</v>
      </c>
      <c r="N74" s="188"/>
      <c r="O74" s="180"/>
      <c r="P74" s="401"/>
    </row>
    <row r="75" spans="1:16" s="17" customFormat="1" ht="15.6">
      <c r="A75" s="116" t="s">
        <v>926</v>
      </c>
      <c r="B75" s="327">
        <v>0.27</v>
      </c>
      <c r="C75" s="188" t="s">
        <v>37</v>
      </c>
      <c r="D75" s="188" t="s">
        <v>40</v>
      </c>
      <c r="E75" s="188" t="s">
        <v>29</v>
      </c>
      <c r="F75" s="37" t="s">
        <v>59</v>
      </c>
      <c r="G75" s="188" t="s">
        <v>33</v>
      </c>
      <c r="H75" s="188">
        <v>1</v>
      </c>
      <c r="I75" s="335">
        <f t="shared" si="7"/>
        <v>0.27</v>
      </c>
      <c r="J75" s="188" t="s">
        <v>31</v>
      </c>
      <c r="K75" s="188" t="s">
        <v>31</v>
      </c>
      <c r="L75" s="188" t="s">
        <v>31</v>
      </c>
      <c r="M75" s="188" t="s">
        <v>31</v>
      </c>
      <c r="N75" s="188"/>
      <c r="O75" s="180"/>
      <c r="P75" s="401"/>
    </row>
    <row r="76" spans="1:16" s="400" customFormat="1" ht="15.6">
      <c r="A76" s="347" t="s">
        <v>5</v>
      </c>
      <c r="B76" s="348" t="s">
        <v>1135</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1136</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03">
        <f>B86</f>
        <v>4.46</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1135</v>
      </c>
      <c r="B86" s="335">
        <v>4.46</v>
      </c>
      <c r="C86" s="188" t="s">
        <v>37</v>
      </c>
      <c r="D86" s="386" t="s">
        <v>2</v>
      </c>
      <c r="E86" s="188" t="s">
        <v>29</v>
      </c>
      <c r="F86" s="188" t="s">
        <v>14</v>
      </c>
      <c r="G86" s="188" t="s">
        <v>929</v>
      </c>
      <c r="H86" s="188">
        <v>1</v>
      </c>
      <c r="I86" s="335">
        <f>B86</f>
        <v>4.46</v>
      </c>
      <c r="J86" s="188" t="s">
        <v>31</v>
      </c>
      <c r="K86" s="188" t="s">
        <v>31</v>
      </c>
      <c r="L86" s="188" t="s">
        <v>31</v>
      </c>
      <c r="M86" s="188" t="s">
        <v>31</v>
      </c>
      <c r="N86" s="188"/>
      <c r="O86" s="180"/>
      <c r="P86" s="401"/>
    </row>
    <row r="87" spans="1:19" s="17" customFormat="1" ht="15.6">
      <c r="A87" s="84" t="s">
        <v>755</v>
      </c>
      <c r="B87" s="335">
        <v>4.46</v>
      </c>
      <c r="C87" s="188" t="s">
        <v>37</v>
      </c>
      <c r="D87" s="188" t="s">
        <v>40</v>
      </c>
      <c r="E87" s="188" t="s">
        <v>29</v>
      </c>
      <c r="F87" s="37" t="s">
        <v>59</v>
      </c>
      <c r="G87" s="188" t="s">
        <v>33</v>
      </c>
      <c r="H87" s="188">
        <v>1</v>
      </c>
      <c r="I87" s="335">
        <f t="shared" ref="I87:I89" si="8">B87</f>
        <v>4.46</v>
      </c>
      <c r="J87" s="188" t="s">
        <v>31</v>
      </c>
      <c r="K87" s="188" t="s">
        <v>31</v>
      </c>
      <c r="L87" s="188" t="s">
        <v>31</v>
      </c>
      <c r="M87" s="188" t="s">
        <v>31</v>
      </c>
      <c r="N87" s="188"/>
      <c r="O87" s="180"/>
      <c r="P87" s="401"/>
    </row>
    <row r="88" spans="1:19" s="17" customFormat="1" ht="15.6">
      <c r="A88" s="84" t="s">
        <v>930</v>
      </c>
      <c r="B88" s="335">
        <v>4.46</v>
      </c>
      <c r="C88" s="188" t="s">
        <v>37</v>
      </c>
      <c r="D88" s="188" t="s">
        <v>40</v>
      </c>
      <c r="E88" s="188" t="s">
        <v>29</v>
      </c>
      <c r="F88" s="37" t="s">
        <v>59</v>
      </c>
      <c r="G88" s="188" t="s">
        <v>33</v>
      </c>
      <c r="H88" s="188">
        <v>1</v>
      </c>
      <c r="I88" s="335">
        <f t="shared" si="8"/>
        <v>4.46</v>
      </c>
      <c r="J88" s="188" t="s">
        <v>31</v>
      </c>
      <c r="K88" s="188" t="s">
        <v>31</v>
      </c>
      <c r="L88" s="188" t="s">
        <v>31</v>
      </c>
      <c r="M88" s="188" t="s">
        <v>31</v>
      </c>
      <c r="N88" s="188"/>
      <c r="O88" s="180"/>
      <c r="P88" s="401"/>
    </row>
    <row r="89" spans="1:19" s="17" customFormat="1" ht="15.6">
      <c r="A89" s="84" t="s">
        <v>931</v>
      </c>
      <c r="B89" s="335">
        <v>4.46</v>
      </c>
      <c r="C89" s="188" t="s">
        <v>37</v>
      </c>
      <c r="D89" s="188" t="s">
        <v>40</v>
      </c>
      <c r="E89" s="188" t="s">
        <v>29</v>
      </c>
      <c r="F89" s="37" t="s">
        <v>35</v>
      </c>
      <c r="G89" s="188" t="s">
        <v>33</v>
      </c>
      <c r="H89" s="188">
        <v>1</v>
      </c>
      <c r="I89" s="335">
        <f t="shared" si="8"/>
        <v>4.46</v>
      </c>
      <c r="J89" s="188" t="s">
        <v>31</v>
      </c>
      <c r="K89" s="188" t="s">
        <v>31</v>
      </c>
      <c r="L89" s="188" t="s">
        <v>31</v>
      </c>
      <c r="M89" s="188" t="s">
        <v>31</v>
      </c>
      <c r="N89" s="188"/>
      <c r="O89" s="180"/>
      <c r="P89" s="401"/>
    </row>
    <row r="90" spans="1:19" s="17" customFormat="1" ht="15.6">
      <c r="A90" s="347" t="s">
        <v>5</v>
      </c>
      <c r="B90" s="348" t="s">
        <v>1120</v>
      </c>
      <c r="C90" s="349"/>
      <c r="D90" s="33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1137</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188">
        <f>B100</f>
        <v>4.46</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192" t="s">
        <v>1120</v>
      </c>
      <c r="B100" s="458">
        <f>B81</f>
        <v>4.46</v>
      </c>
      <c r="C100" s="188" t="s">
        <v>37</v>
      </c>
      <c r="D100" s="188" t="s">
        <v>2</v>
      </c>
      <c r="E100" s="188" t="s">
        <v>29</v>
      </c>
      <c r="F100" s="37" t="s">
        <v>14</v>
      </c>
      <c r="G100" s="188" t="s">
        <v>30</v>
      </c>
      <c r="H100" s="188">
        <v>1</v>
      </c>
      <c r="I100" s="188">
        <f>B100</f>
        <v>4.46</v>
      </c>
      <c r="J100" s="188" t="s">
        <v>31</v>
      </c>
      <c r="K100" s="188" t="s">
        <v>31</v>
      </c>
      <c r="L100" s="188" t="s">
        <v>31</v>
      </c>
      <c r="M100" s="188" t="s">
        <v>31</v>
      </c>
      <c r="N100" s="188"/>
    </row>
    <row r="101" spans="1:14" s="17" customFormat="1" ht="15.6">
      <c r="A101" s="348" t="s">
        <v>1135</v>
      </c>
      <c r="B101" s="458">
        <f>B81</f>
        <v>4.46</v>
      </c>
      <c r="C101" s="188" t="s">
        <v>37</v>
      </c>
      <c r="D101" s="188" t="s">
        <v>2</v>
      </c>
      <c r="E101" s="188" t="s">
        <v>29</v>
      </c>
      <c r="F101" s="37" t="s">
        <v>14</v>
      </c>
      <c r="G101" s="188" t="s">
        <v>33</v>
      </c>
      <c r="H101" s="188">
        <v>1</v>
      </c>
      <c r="I101" s="188">
        <f>B101</f>
        <v>4.46</v>
      </c>
      <c r="J101" s="188" t="s">
        <v>31</v>
      </c>
      <c r="K101" s="188" t="s">
        <v>31</v>
      </c>
      <c r="L101" s="188" t="s">
        <v>31</v>
      </c>
      <c r="M101" s="188" t="s">
        <v>31</v>
      </c>
      <c r="N101" s="188"/>
    </row>
    <row r="102" spans="1:14" s="17" customFormat="1" ht="15.6">
      <c r="A102" s="105" t="s">
        <v>933</v>
      </c>
      <c r="B102" s="188">
        <v>2.4E-2</v>
      </c>
      <c r="C102" s="188" t="s">
        <v>37</v>
      </c>
      <c r="D102" s="188" t="s">
        <v>40</v>
      </c>
      <c r="E102" s="188" t="s">
        <v>29</v>
      </c>
      <c r="F102" s="37" t="s">
        <v>82</v>
      </c>
      <c r="G102" s="188" t="s">
        <v>33</v>
      </c>
      <c r="H102" s="188">
        <v>1</v>
      </c>
      <c r="I102" s="188">
        <f t="shared" ref="I102:I104" si="9">B102</f>
        <v>2.4E-2</v>
      </c>
      <c r="J102" s="188" t="s">
        <v>31</v>
      </c>
      <c r="K102" s="188" t="s">
        <v>31</v>
      </c>
      <c r="L102" s="188" t="s">
        <v>31</v>
      </c>
      <c r="M102" s="188" t="s">
        <v>31</v>
      </c>
      <c r="N102" s="188"/>
    </row>
    <row r="103" spans="1:14" s="17" customFormat="1" ht="15.6">
      <c r="A103" s="105" t="s">
        <v>934</v>
      </c>
      <c r="B103" s="188">
        <v>0.56000000000000005</v>
      </c>
      <c r="C103" s="188" t="s">
        <v>853</v>
      </c>
      <c r="D103" s="188" t="s">
        <v>40</v>
      </c>
      <c r="E103" s="188" t="s">
        <v>29</v>
      </c>
      <c r="F103" s="37" t="s">
        <v>59</v>
      </c>
      <c r="G103" s="188" t="s">
        <v>33</v>
      </c>
      <c r="H103" s="188">
        <v>1</v>
      </c>
      <c r="I103" s="188">
        <f t="shared" si="9"/>
        <v>0.56000000000000005</v>
      </c>
      <c r="J103" s="188" t="s">
        <v>31</v>
      </c>
      <c r="K103" s="188" t="s">
        <v>31</v>
      </c>
      <c r="L103" s="188" t="s">
        <v>31</v>
      </c>
      <c r="M103" s="188" t="s">
        <v>31</v>
      </c>
      <c r="N103" s="188"/>
    </row>
    <row r="104" spans="1:14" s="17" customFormat="1" ht="15.6">
      <c r="A104" s="105" t="s">
        <v>935</v>
      </c>
      <c r="B104" s="188">
        <v>2.4E-2</v>
      </c>
      <c r="C104" s="188" t="s">
        <v>37</v>
      </c>
      <c r="D104" s="188" t="s">
        <v>40</v>
      </c>
      <c r="E104" s="188" t="s">
        <v>29</v>
      </c>
      <c r="F104" s="37" t="s">
        <v>59</v>
      </c>
      <c r="G104" s="188" t="s">
        <v>33</v>
      </c>
      <c r="H104" s="188">
        <v>1</v>
      </c>
      <c r="I104" s="188">
        <f t="shared" si="9"/>
        <v>2.4E-2</v>
      </c>
      <c r="J104" s="188" t="s">
        <v>31</v>
      </c>
      <c r="K104" s="188" t="s">
        <v>31</v>
      </c>
      <c r="L104" s="188" t="s">
        <v>31</v>
      </c>
      <c r="M104" s="188" t="s">
        <v>31</v>
      </c>
      <c r="N104" s="188"/>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C3718-0F17-453F-B199-7D400FD9F201}">
  <sheetPr>
    <tabColor theme="7"/>
  </sheetPr>
  <dimension ref="A1:U47"/>
  <sheetViews>
    <sheetView zoomScale="95" zoomScaleNormal="95" workbookViewId="0">
      <selection activeCell="A12" sqref="A12"/>
    </sheetView>
  </sheetViews>
  <sheetFormatPr defaultColWidth="9.140625" defaultRowHeight="12.95"/>
  <cols>
    <col min="1" max="1" width="68.7109375" style="188" bestFit="1" customWidth="1"/>
    <col min="2" max="2" width="13.5703125" style="188" customWidth="1"/>
    <col min="3" max="3" width="9.140625" style="188"/>
    <col min="4" max="4" width="23.42578125" style="188" customWidth="1"/>
    <col min="5" max="6" width="9.140625" style="188"/>
    <col min="7" max="7" width="12.7109375" style="188" customWidth="1"/>
    <col min="8" max="16384" width="9.140625" style="188"/>
  </cols>
  <sheetData>
    <row r="1" spans="1:21">
      <c r="A1" s="188" t="s">
        <v>0</v>
      </c>
      <c r="B1" s="188">
        <v>13</v>
      </c>
    </row>
    <row r="2" spans="1:21" s="330" customFormat="1">
      <c r="A2" s="347" t="s">
        <v>5</v>
      </c>
      <c r="B2" s="348" t="s">
        <v>1119</v>
      </c>
    </row>
    <row r="3" spans="1:21">
      <c r="A3" s="323" t="s">
        <v>7</v>
      </c>
      <c r="B3" s="188" t="s">
        <v>831</v>
      </c>
      <c r="C3" s="322"/>
    </row>
    <row r="4" spans="1:21">
      <c r="A4" s="402" t="s">
        <v>9</v>
      </c>
      <c r="B4" s="188" t="s">
        <v>1138</v>
      </c>
      <c r="C4" s="322"/>
    </row>
    <row r="5" spans="1:21" ht="15.75" customHeight="1">
      <c r="A5" s="323" t="s">
        <v>11</v>
      </c>
      <c r="B5" s="324" t="s">
        <v>841</v>
      </c>
    </row>
    <row r="6" spans="1:21">
      <c r="A6" s="323" t="s">
        <v>13</v>
      </c>
      <c r="B6" s="188" t="s">
        <v>14</v>
      </c>
    </row>
    <row r="7" spans="1:21">
      <c r="A7" s="323" t="s">
        <v>15</v>
      </c>
      <c r="B7" s="393">
        <f>B12</f>
        <v>0.03</v>
      </c>
    </row>
    <row r="8" spans="1:21">
      <c r="A8" s="323" t="s">
        <v>16</v>
      </c>
      <c r="B8" s="188" t="s">
        <v>17</v>
      </c>
      <c r="R8" s="321" t="s">
        <v>937</v>
      </c>
    </row>
    <row r="9" spans="1:21">
      <c r="A9" s="323" t="s">
        <v>18</v>
      </c>
      <c r="B9" s="188" t="s">
        <v>37</v>
      </c>
      <c r="R9" s="188" t="s">
        <v>938</v>
      </c>
      <c r="S9" s="188">
        <v>8900</v>
      </c>
      <c r="T9" s="188" t="s">
        <v>939</v>
      </c>
    </row>
    <row r="10" spans="1:21">
      <c r="A10" s="320" t="s">
        <v>19</v>
      </c>
      <c r="R10" s="188" t="s">
        <v>940</v>
      </c>
      <c r="S10" s="188">
        <f>5*10^-6</f>
        <v>4.9999999999999996E-6</v>
      </c>
      <c r="T10" s="188" t="s">
        <v>941</v>
      </c>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R11" s="405" t="s">
        <v>942</v>
      </c>
      <c r="S11" s="406">
        <f>S10*S9</f>
        <v>4.4499999999999998E-2</v>
      </c>
      <c r="T11" s="407" t="s">
        <v>943</v>
      </c>
    </row>
    <row r="12" spans="1:21">
      <c r="A12" s="188" t="s">
        <v>1119</v>
      </c>
      <c r="B12" s="439">
        <f>B45</f>
        <v>0.03</v>
      </c>
      <c r="C12" s="188" t="s">
        <v>37</v>
      </c>
      <c r="D12" s="386" t="s">
        <v>2</v>
      </c>
      <c r="E12" s="188" t="s">
        <v>29</v>
      </c>
      <c r="F12" s="188" t="s">
        <v>14</v>
      </c>
      <c r="G12" s="188" t="s">
        <v>30</v>
      </c>
      <c r="H12" s="188">
        <v>1</v>
      </c>
      <c r="I12" s="188">
        <f>B12</f>
        <v>0.03</v>
      </c>
      <c r="J12" s="188" t="s">
        <v>31</v>
      </c>
      <c r="K12" s="188" t="s">
        <v>31</v>
      </c>
      <c r="L12" s="188" t="s">
        <v>31</v>
      </c>
      <c r="M12" s="188" t="s">
        <v>31</v>
      </c>
      <c r="O12" s="188" t="s">
        <v>1062</v>
      </c>
      <c r="P12" s="428"/>
    </row>
    <row r="13" spans="1:21">
      <c r="A13" s="188" t="s">
        <v>1139</v>
      </c>
      <c r="B13" s="439">
        <f>B28</f>
        <v>0.03</v>
      </c>
      <c r="C13" s="188" t="s">
        <v>853</v>
      </c>
      <c r="D13" s="386" t="s">
        <v>2</v>
      </c>
      <c r="E13" s="188" t="s">
        <v>29</v>
      </c>
      <c r="F13" s="188" t="s">
        <v>14</v>
      </c>
      <c r="G13" s="188" t="s">
        <v>33</v>
      </c>
      <c r="H13" s="188">
        <v>1</v>
      </c>
      <c r="I13" s="188">
        <f>B13</f>
        <v>0.03</v>
      </c>
      <c r="J13" s="188">
        <v>7.2284161474004766E-2</v>
      </c>
      <c r="K13" s="188" t="s">
        <v>31</v>
      </c>
      <c r="L13" s="188" t="s">
        <v>31</v>
      </c>
      <c r="M13" s="188" t="s">
        <v>31</v>
      </c>
      <c r="O13" s="379" t="s">
        <v>944</v>
      </c>
      <c r="P13" s="440">
        <f>B13*100</f>
        <v>3</v>
      </c>
      <c r="R13" s="188" t="s">
        <v>945</v>
      </c>
      <c r="U13" s="388"/>
    </row>
    <row r="14" spans="1:21">
      <c r="A14" s="192" t="s">
        <v>1132</v>
      </c>
      <c r="B14" s="398">
        <f>T14</f>
        <v>3.6045000000000001E-2</v>
      </c>
      <c r="C14" s="188" t="s">
        <v>37</v>
      </c>
      <c r="D14" s="386" t="s">
        <v>2</v>
      </c>
      <c r="E14" s="188" t="s">
        <v>29</v>
      </c>
      <c r="F14" s="37" t="s">
        <v>14</v>
      </c>
      <c r="G14" s="188" t="s">
        <v>33</v>
      </c>
      <c r="H14" s="188">
        <v>1</v>
      </c>
      <c r="I14" s="188">
        <f>B14</f>
        <v>3.6045000000000001E-2</v>
      </c>
      <c r="J14" s="188">
        <v>7.2284161474004766E-2</v>
      </c>
      <c r="K14" s="188" t="s">
        <v>31</v>
      </c>
      <c r="L14" s="188" t="s">
        <v>31</v>
      </c>
      <c r="M14" s="188" t="s">
        <v>31</v>
      </c>
      <c r="O14" s="410"/>
      <c r="P14" s="411"/>
      <c r="R14" s="408">
        <v>0.81</v>
      </c>
      <c r="S14" s="409" t="s">
        <v>855</v>
      </c>
      <c r="T14" s="408">
        <f>R14*S11</f>
        <v>3.6045000000000001E-2</v>
      </c>
      <c r="U14" s="409" t="s">
        <v>275</v>
      </c>
    </row>
    <row r="15" spans="1:21" ht="14.45">
      <c r="A15" s="323" t="s">
        <v>844</v>
      </c>
      <c r="B15" s="188">
        <f>Q15</f>
        <v>6.5</v>
      </c>
      <c r="C15" s="188" t="s">
        <v>37</v>
      </c>
      <c r="D15" s="188" t="s">
        <v>40</v>
      </c>
      <c r="E15" s="188" t="s">
        <v>29</v>
      </c>
      <c r="F15" s="37" t="s">
        <v>74</v>
      </c>
      <c r="G15" s="188" t="s">
        <v>33</v>
      </c>
      <c r="H15" s="188">
        <v>2</v>
      </c>
      <c r="I15" s="188">
        <f t="shared" ref="I15" si="0">LN(B15)</f>
        <v>1.8718021769015913</v>
      </c>
      <c r="J15" s="188">
        <v>7.2284161474004766E-2</v>
      </c>
      <c r="K15" s="188" t="s">
        <v>31</v>
      </c>
      <c r="L15" s="188" t="s">
        <v>31</v>
      </c>
      <c r="M15" s="188" t="s">
        <v>31</v>
      </c>
      <c r="O15" s="379" t="s">
        <v>275</v>
      </c>
      <c r="P15" s="107">
        <v>6.5</v>
      </c>
      <c r="Q15" s="188">
        <f>P15</f>
        <v>6.5</v>
      </c>
    </row>
    <row r="16" spans="1:21" ht="14.45">
      <c r="A16" s="84" t="s">
        <v>924</v>
      </c>
      <c r="B16" s="188">
        <f t="shared" ref="B16:B17" si="1">Q16</f>
        <v>2.9999999999999997E-4</v>
      </c>
      <c r="C16" s="188" t="s">
        <v>37</v>
      </c>
      <c r="D16" s="188" t="s">
        <v>40</v>
      </c>
      <c r="E16" s="188" t="s">
        <v>29</v>
      </c>
      <c r="F16" s="37" t="s">
        <v>59</v>
      </c>
      <c r="G16" s="188" t="s">
        <v>33</v>
      </c>
      <c r="H16" s="188">
        <v>2</v>
      </c>
      <c r="I16" s="188">
        <f>LN(B16)</f>
        <v>-8.1117280833080727</v>
      </c>
      <c r="J16" s="188">
        <v>7.2284161474004766E-2</v>
      </c>
      <c r="K16" s="188" t="s">
        <v>31</v>
      </c>
      <c r="L16" s="188" t="s">
        <v>31</v>
      </c>
      <c r="M16" s="188" t="s">
        <v>31</v>
      </c>
      <c r="O16" s="394" t="s">
        <v>862</v>
      </c>
      <c r="P16" s="145">
        <v>0.3</v>
      </c>
      <c r="Q16" s="188">
        <f>0.001*P16</f>
        <v>2.9999999999999997E-4</v>
      </c>
    </row>
    <row r="17" spans="1:20" ht="14.45">
      <c r="A17" s="84" t="s">
        <v>76</v>
      </c>
      <c r="B17" s="188">
        <f t="shared" si="1"/>
        <v>6.5000000000000006E-3</v>
      </c>
      <c r="C17" s="188" t="s">
        <v>42</v>
      </c>
      <c r="D17" s="188" t="s">
        <v>40</v>
      </c>
      <c r="E17" s="188" t="s">
        <v>29</v>
      </c>
      <c r="F17" s="37" t="s">
        <v>74</v>
      </c>
      <c r="G17" s="188" t="s">
        <v>33</v>
      </c>
      <c r="H17" s="188">
        <v>2</v>
      </c>
      <c r="I17" s="188">
        <f t="shared" ref="I17" si="2">LN(B17)</f>
        <v>-5.0359531020805459</v>
      </c>
      <c r="J17" s="188">
        <v>7.2284161474004766E-2</v>
      </c>
      <c r="K17" s="188" t="s">
        <v>31</v>
      </c>
      <c r="L17" s="188" t="s">
        <v>31</v>
      </c>
      <c r="M17" s="188" t="s">
        <v>31</v>
      </c>
      <c r="O17" s="396" t="s">
        <v>913</v>
      </c>
      <c r="P17" s="123">
        <v>6.5</v>
      </c>
      <c r="Q17" s="188">
        <f>0.001*P17</f>
        <v>6.5000000000000006E-3</v>
      </c>
    </row>
    <row r="18" spans="1:20" s="330" customFormat="1">
      <c r="A18" s="347" t="s">
        <v>5</v>
      </c>
      <c r="B18" s="348" t="s">
        <v>1139</v>
      </c>
    </row>
    <row r="19" spans="1:20">
      <c r="A19" s="323" t="s">
        <v>7</v>
      </c>
      <c r="B19" s="188" t="s">
        <v>831</v>
      </c>
      <c r="C19" s="322"/>
    </row>
    <row r="20" spans="1:20">
      <c r="A20" s="402" t="s">
        <v>9</v>
      </c>
      <c r="B20" s="188" t="s">
        <v>1140</v>
      </c>
      <c r="C20" s="322"/>
    </row>
    <row r="21" spans="1:20" ht="15.75" customHeight="1">
      <c r="A21" s="323" t="s">
        <v>11</v>
      </c>
      <c r="B21" s="324" t="s">
        <v>841</v>
      </c>
    </row>
    <row r="22" spans="1:20">
      <c r="A22" s="323" t="s">
        <v>13</v>
      </c>
      <c r="B22" s="188" t="s">
        <v>14</v>
      </c>
    </row>
    <row r="23" spans="1:20">
      <c r="A23" s="323" t="s">
        <v>15</v>
      </c>
      <c r="B23" s="393">
        <f>B28</f>
        <v>0.03</v>
      </c>
    </row>
    <row r="24" spans="1:20">
      <c r="A24" s="323" t="s">
        <v>16</v>
      </c>
      <c r="B24" s="188" t="s">
        <v>17</v>
      </c>
    </row>
    <row r="25" spans="1:20">
      <c r="A25" s="323" t="s">
        <v>18</v>
      </c>
      <c r="B25" s="188" t="s">
        <v>853</v>
      </c>
    </row>
    <row r="26" spans="1:20">
      <c r="A26" s="320" t="s">
        <v>19</v>
      </c>
    </row>
    <row r="27" spans="1:20">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T27" s="393"/>
    </row>
    <row r="28" spans="1:20">
      <c r="A28" s="188" t="s">
        <v>1139</v>
      </c>
      <c r="B28" s="393">
        <v>0.03</v>
      </c>
      <c r="C28" s="188" t="s">
        <v>853</v>
      </c>
      <c r="D28" s="386" t="s">
        <v>2</v>
      </c>
      <c r="E28" s="188" t="s">
        <v>29</v>
      </c>
      <c r="F28" s="188" t="s">
        <v>14</v>
      </c>
      <c r="G28" s="188" t="s">
        <v>30</v>
      </c>
      <c r="H28" s="188">
        <v>1</v>
      </c>
      <c r="I28" s="188">
        <f>B28</f>
        <v>0.03</v>
      </c>
      <c r="J28" s="188">
        <v>7.2284161474004766E-2</v>
      </c>
      <c r="K28" s="188" t="s">
        <v>31</v>
      </c>
      <c r="L28" s="188" t="s">
        <v>31</v>
      </c>
      <c r="M28" s="188" t="s">
        <v>31</v>
      </c>
      <c r="O28" s="379" t="s">
        <v>944</v>
      </c>
      <c r="P28" s="392">
        <f>B28*100</f>
        <v>3</v>
      </c>
    </row>
    <row r="29" spans="1:20">
      <c r="A29" s="188" t="s">
        <v>1141</v>
      </c>
      <c r="B29" s="393">
        <v>0.03</v>
      </c>
      <c r="C29" s="188" t="s">
        <v>853</v>
      </c>
      <c r="D29" s="386" t="s">
        <v>2</v>
      </c>
      <c r="E29" s="188" t="s">
        <v>29</v>
      </c>
      <c r="F29" s="188" t="s">
        <v>14</v>
      </c>
      <c r="G29" s="188" t="s">
        <v>33</v>
      </c>
      <c r="H29" s="188">
        <v>1</v>
      </c>
      <c r="I29" s="188">
        <f>B29</f>
        <v>0.03</v>
      </c>
      <c r="J29" s="188">
        <v>7.2284161474004766E-2</v>
      </c>
      <c r="K29" s="188" t="s">
        <v>31</v>
      </c>
      <c r="L29" s="188" t="s">
        <v>31</v>
      </c>
      <c r="M29" s="188" t="s">
        <v>31</v>
      </c>
    </row>
    <row r="30" spans="1:20">
      <c r="A30" s="323" t="s">
        <v>265</v>
      </c>
      <c r="B30" s="327">
        <f>P30</f>
        <v>0.36</v>
      </c>
      <c r="C30" s="188" t="s">
        <v>39</v>
      </c>
      <c r="D30" s="188" t="s">
        <v>40</v>
      </c>
      <c r="E30" s="188" t="s">
        <v>29</v>
      </c>
      <c r="F30" s="37" t="s">
        <v>35</v>
      </c>
      <c r="G30" s="188" t="s">
        <v>33</v>
      </c>
      <c r="H30" s="188">
        <v>2</v>
      </c>
      <c r="I30" s="188">
        <f t="shared" ref="I30:I31" si="3">LN(B30)</f>
        <v>-1.0216512475319814</v>
      </c>
      <c r="J30" s="188">
        <v>7.2284161474004766E-2</v>
      </c>
      <c r="K30" s="188" t="s">
        <v>31</v>
      </c>
      <c r="L30" s="188" t="s">
        <v>31</v>
      </c>
      <c r="M30" s="188" t="s">
        <v>31</v>
      </c>
      <c r="O30" s="379" t="s">
        <v>271</v>
      </c>
      <c r="P30" s="392">
        <v>0.36</v>
      </c>
    </row>
    <row r="31" spans="1:20">
      <c r="A31" s="84" t="s">
        <v>491</v>
      </c>
      <c r="B31" s="188">
        <f>R31</f>
        <v>9.0000000000000011E-3</v>
      </c>
      <c r="C31" s="393" t="s">
        <v>37</v>
      </c>
      <c r="D31" s="188" t="s">
        <v>40</v>
      </c>
      <c r="E31" s="188" t="s">
        <v>29</v>
      </c>
      <c r="F31" s="188" t="s">
        <v>59</v>
      </c>
      <c r="G31" s="188" t="s">
        <v>33</v>
      </c>
      <c r="H31" s="188">
        <v>2</v>
      </c>
      <c r="I31" s="188">
        <f t="shared" si="3"/>
        <v>-4.7105307016459177</v>
      </c>
      <c r="J31" s="188">
        <v>7.2284161474004766E-2</v>
      </c>
      <c r="K31" s="188" t="s">
        <v>31</v>
      </c>
      <c r="L31" s="188" t="s">
        <v>31</v>
      </c>
      <c r="M31" s="188" t="s">
        <v>31</v>
      </c>
      <c r="O31" s="379" t="s">
        <v>857</v>
      </c>
      <c r="P31" s="392">
        <v>9</v>
      </c>
      <c r="Q31" s="188" t="s">
        <v>275</v>
      </c>
      <c r="R31" s="188">
        <f>P31*0.001</f>
        <v>9.0000000000000011E-3</v>
      </c>
    </row>
    <row r="32" spans="1:20">
      <c r="A32" s="116" t="s">
        <v>921</v>
      </c>
      <c r="B32" s="188">
        <f t="shared" ref="B32:B33" si="4">R32</f>
        <v>1.4999999999999999E-2</v>
      </c>
      <c r="C32" s="188" t="s">
        <v>37</v>
      </c>
      <c r="D32" s="188" t="s">
        <v>40</v>
      </c>
      <c r="E32" s="188" t="s">
        <v>29</v>
      </c>
      <c r="F32" s="37" t="s">
        <v>35</v>
      </c>
      <c r="G32" s="188" t="s">
        <v>33</v>
      </c>
      <c r="H32" s="188">
        <v>2</v>
      </c>
      <c r="I32" s="188">
        <f>LN(B32)</f>
        <v>-4.1997050778799272</v>
      </c>
      <c r="J32" s="188">
        <v>7.2284161474004766E-2</v>
      </c>
      <c r="K32" s="188" t="s">
        <v>31</v>
      </c>
      <c r="L32" s="188" t="s">
        <v>31</v>
      </c>
      <c r="M32" s="188" t="s">
        <v>31</v>
      </c>
      <c r="O32" s="379" t="s">
        <v>857</v>
      </c>
      <c r="P32" s="392">
        <v>15</v>
      </c>
      <c r="Q32" s="188" t="s">
        <v>275</v>
      </c>
      <c r="R32" s="188">
        <f>P32*0.001</f>
        <v>1.4999999999999999E-2</v>
      </c>
    </row>
    <row r="33" spans="1:20">
      <c r="A33" s="323" t="s">
        <v>844</v>
      </c>
      <c r="B33" s="188">
        <f t="shared" si="4"/>
        <v>13.7</v>
      </c>
      <c r="C33" s="188" t="s">
        <v>37</v>
      </c>
      <c r="D33" s="188" t="s">
        <v>40</v>
      </c>
      <c r="E33" s="188" t="s">
        <v>29</v>
      </c>
      <c r="F33" s="37" t="s">
        <v>74</v>
      </c>
      <c r="G33" s="188" t="s">
        <v>33</v>
      </c>
      <c r="H33" s="188">
        <v>2</v>
      </c>
      <c r="I33" s="188">
        <f t="shared" ref="I33:I34" si="5">LN(B33)</f>
        <v>2.6173958328340792</v>
      </c>
      <c r="J33" s="188">
        <v>7.2284161474004766E-2</v>
      </c>
      <c r="K33" s="188" t="s">
        <v>31</v>
      </c>
      <c r="L33" s="188" t="s">
        <v>31</v>
      </c>
      <c r="M33" s="188" t="s">
        <v>31</v>
      </c>
      <c r="O33" s="379" t="s">
        <v>275</v>
      </c>
      <c r="P33" s="392">
        <v>13.7</v>
      </c>
      <c r="Q33" s="188" t="s">
        <v>275</v>
      </c>
      <c r="R33" s="188">
        <f>P33</f>
        <v>13.7</v>
      </c>
    </row>
    <row r="34" spans="1:20">
      <c r="A34" s="84" t="s">
        <v>76</v>
      </c>
      <c r="B34" s="188">
        <f>R34</f>
        <v>1.37E-2</v>
      </c>
      <c r="C34" s="188" t="s">
        <v>42</v>
      </c>
      <c r="D34" s="188" t="s">
        <v>40</v>
      </c>
      <c r="E34" s="188" t="s">
        <v>29</v>
      </c>
      <c r="F34" s="37" t="s">
        <v>74</v>
      </c>
      <c r="G34" s="188" t="s">
        <v>33</v>
      </c>
      <c r="H34" s="188">
        <v>2</v>
      </c>
      <c r="I34" s="188">
        <f t="shared" si="5"/>
        <v>-4.2903594461480576</v>
      </c>
      <c r="J34" s="188">
        <v>7.2284161474004766E-2</v>
      </c>
      <c r="K34" s="188" t="s">
        <v>31</v>
      </c>
      <c r="L34" s="188" t="s">
        <v>31</v>
      </c>
      <c r="M34" s="188" t="s">
        <v>31</v>
      </c>
      <c r="O34" s="396" t="s">
        <v>913</v>
      </c>
      <c r="P34" s="397">
        <v>13.7</v>
      </c>
      <c r="Q34" s="188" t="s">
        <v>274</v>
      </c>
      <c r="R34" s="188">
        <f>0.001*P34</f>
        <v>1.37E-2</v>
      </c>
    </row>
    <row r="35" spans="1:20" s="330" customFormat="1">
      <c r="A35" s="347" t="s">
        <v>5</v>
      </c>
      <c r="B35" s="348" t="s">
        <v>1141</v>
      </c>
    </row>
    <row r="36" spans="1:20">
      <c r="A36" s="323" t="s">
        <v>7</v>
      </c>
      <c r="B36" s="188" t="s">
        <v>831</v>
      </c>
      <c r="C36" s="322"/>
    </row>
    <row r="37" spans="1:20">
      <c r="A37" s="402" t="s">
        <v>9</v>
      </c>
      <c r="B37" s="188" t="s">
        <v>1142</v>
      </c>
      <c r="C37" s="322"/>
    </row>
    <row r="38" spans="1:20" ht="15.75" customHeight="1">
      <c r="A38" s="323" t="s">
        <v>11</v>
      </c>
      <c r="B38" s="324" t="s">
        <v>841</v>
      </c>
    </row>
    <row r="39" spans="1:20">
      <c r="A39" s="323" t="s">
        <v>13</v>
      </c>
      <c r="B39" s="188" t="s">
        <v>14</v>
      </c>
    </row>
    <row r="40" spans="1:20">
      <c r="A40" s="323" t="s">
        <v>15</v>
      </c>
      <c r="B40" s="393">
        <f>B45</f>
        <v>0.03</v>
      </c>
    </row>
    <row r="41" spans="1:20">
      <c r="A41" s="323" t="s">
        <v>16</v>
      </c>
      <c r="B41" s="188" t="s">
        <v>17</v>
      </c>
    </row>
    <row r="42" spans="1:20">
      <c r="A42" s="323" t="s">
        <v>18</v>
      </c>
      <c r="B42" s="188" t="s">
        <v>853</v>
      </c>
    </row>
    <row r="43" spans="1:20">
      <c r="A43" s="320" t="s">
        <v>19</v>
      </c>
    </row>
    <row r="44" spans="1:20">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T44" s="393"/>
    </row>
    <row r="45" spans="1:20">
      <c r="A45" s="188" t="s">
        <v>1141</v>
      </c>
      <c r="B45" s="393">
        <f>B29</f>
        <v>0.03</v>
      </c>
      <c r="C45" s="188" t="s">
        <v>853</v>
      </c>
      <c r="D45" s="386" t="s">
        <v>2</v>
      </c>
      <c r="E45" s="188" t="s">
        <v>29</v>
      </c>
      <c r="F45" s="188" t="s">
        <v>14</v>
      </c>
      <c r="G45" s="188" t="s">
        <v>30</v>
      </c>
      <c r="H45" s="188">
        <v>1</v>
      </c>
      <c r="I45" s="188">
        <f>B45</f>
        <v>0.03</v>
      </c>
      <c r="J45" s="188" t="s">
        <v>31</v>
      </c>
      <c r="K45" s="188" t="s">
        <v>31</v>
      </c>
      <c r="L45" s="188" t="s">
        <v>31</v>
      </c>
      <c r="M45" s="188" t="s">
        <v>31</v>
      </c>
      <c r="Q45" s="188" t="s">
        <v>1062</v>
      </c>
    </row>
    <row r="46" spans="1:20" ht="14.45">
      <c r="A46" s="84" t="s">
        <v>950</v>
      </c>
      <c r="B46" s="131">
        <v>0.4</v>
      </c>
      <c r="C46" s="188" t="s">
        <v>37</v>
      </c>
      <c r="D46" s="188" t="s">
        <v>40</v>
      </c>
      <c r="E46" s="188" t="s">
        <v>29</v>
      </c>
      <c r="F46" s="188" t="s">
        <v>82</v>
      </c>
      <c r="G46" s="188" t="s">
        <v>33</v>
      </c>
      <c r="H46" s="188">
        <v>1</v>
      </c>
      <c r="I46" s="188">
        <f>B46</f>
        <v>0.4</v>
      </c>
      <c r="J46" s="188" t="s">
        <v>31</v>
      </c>
      <c r="K46" s="188" t="s">
        <v>31</v>
      </c>
      <c r="L46" s="188" t="s">
        <v>31</v>
      </c>
      <c r="M46" s="188" t="s">
        <v>31</v>
      </c>
    </row>
    <row r="47" spans="1:20" ht="14.45">
      <c r="A47" s="84" t="s">
        <v>951</v>
      </c>
      <c r="B47" s="131">
        <v>0.4</v>
      </c>
      <c r="C47" s="188" t="s">
        <v>37</v>
      </c>
      <c r="D47" s="188" t="s">
        <v>40</v>
      </c>
      <c r="E47" s="188" t="s">
        <v>29</v>
      </c>
      <c r="F47" s="188" t="s">
        <v>59</v>
      </c>
      <c r="G47" s="188" t="s">
        <v>33</v>
      </c>
      <c r="H47" s="188">
        <v>1</v>
      </c>
      <c r="I47" s="188">
        <f>B47</f>
        <v>0.4</v>
      </c>
      <c r="J47" s="188" t="s">
        <v>31</v>
      </c>
      <c r="K47" s="188" t="s">
        <v>31</v>
      </c>
      <c r="L47" s="188" t="s">
        <v>31</v>
      </c>
      <c r="M47" s="188" t="s">
        <v>31</v>
      </c>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BD75E-E821-42B9-94D3-E73D0DF1BB36}">
  <sheetPr>
    <tabColor theme="7"/>
  </sheetPr>
  <dimension ref="A1:Y57"/>
  <sheetViews>
    <sheetView zoomScale="95" zoomScaleNormal="95"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192"/>
      <c r="S1" s="399"/>
    </row>
    <row r="2" spans="1:21" s="330" customFormat="1">
      <c r="A2" s="347" t="s">
        <v>5</v>
      </c>
      <c r="B2" s="348" t="s">
        <v>1121</v>
      </c>
      <c r="C2" s="348"/>
      <c r="R2" s="414"/>
      <c r="S2" s="415"/>
    </row>
    <row r="3" spans="1:21">
      <c r="A3" s="323" t="s">
        <v>7</v>
      </c>
      <c r="B3" s="188" t="s">
        <v>831</v>
      </c>
      <c r="D3" s="322"/>
      <c r="R3" s="192"/>
      <c r="S3" s="399"/>
    </row>
    <row r="4" spans="1:21">
      <c r="A4" s="402" t="s">
        <v>9</v>
      </c>
      <c r="B4" s="188" t="s">
        <v>1143</v>
      </c>
      <c r="D4" s="322"/>
    </row>
    <row r="5" spans="1:21" ht="15.75" customHeight="1">
      <c r="A5" s="323" t="s">
        <v>11</v>
      </c>
      <c r="B5" s="324" t="s">
        <v>841</v>
      </c>
      <c r="C5" s="324"/>
    </row>
    <row r="6" spans="1:21">
      <c r="A6" s="323" t="s">
        <v>13</v>
      </c>
      <c r="B6" s="188" t="s">
        <v>14</v>
      </c>
    </row>
    <row r="7" spans="1:21">
      <c r="A7" s="323" t="s">
        <v>15</v>
      </c>
      <c r="B7" s="335">
        <f>B48</f>
        <v>5.71</v>
      </c>
      <c r="C7" s="335"/>
    </row>
    <row r="8" spans="1:21">
      <c r="A8" s="323" t="s">
        <v>16</v>
      </c>
      <c r="B8" s="188" t="s">
        <v>17</v>
      </c>
    </row>
    <row r="9" spans="1:21">
      <c r="A9" s="323" t="s">
        <v>18</v>
      </c>
      <c r="B9" s="188" t="s">
        <v>37</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1121</v>
      </c>
      <c r="B12" s="335">
        <f>B43</f>
        <v>5.71</v>
      </c>
      <c r="D12" s="188" t="s">
        <v>37</v>
      </c>
      <c r="E12" s="386" t="s">
        <v>2</v>
      </c>
      <c r="F12" s="188" t="s">
        <v>29</v>
      </c>
      <c r="G12" s="188" t="s">
        <v>14</v>
      </c>
      <c r="H12" s="188" t="s">
        <v>30</v>
      </c>
      <c r="I12" s="188">
        <v>1</v>
      </c>
      <c r="J12" s="188">
        <f>B12</f>
        <v>5.71</v>
      </c>
      <c r="K12" s="188" t="s">
        <v>31</v>
      </c>
      <c r="L12" s="188" t="s">
        <v>31</v>
      </c>
      <c r="M12" s="188" t="s">
        <v>31</v>
      </c>
      <c r="N12" s="188" t="s">
        <v>31</v>
      </c>
      <c r="P12" s="192"/>
      <c r="Q12" s="399"/>
    </row>
    <row r="13" spans="1:21">
      <c r="A13" s="188" t="s">
        <v>1144</v>
      </c>
      <c r="B13" s="188">
        <v>1</v>
      </c>
      <c r="D13" s="188" t="s">
        <v>18</v>
      </c>
      <c r="E13" s="386" t="s">
        <v>2</v>
      </c>
      <c r="F13" s="188" t="s">
        <v>29</v>
      </c>
      <c r="G13" s="188" t="s">
        <v>14</v>
      </c>
      <c r="H13" s="188" t="s">
        <v>33</v>
      </c>
      <c r="I13" s="188">
        <v>1</v>
      </c>
      <c r="J13" s="188">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P18" s="379" t="s">
        <v>857</v>
      </c>
      <c r="Q18" s="392">
        <v>65</v>
      </c>
      <c r="R18" s="379" t="s">
        <v>275</v>
      </c>
      <c r="S18" s="392">
        <f>0.001*Q18</f>
        <v>6.5000000000000002E-2</v>
      </c>
    </row>
    <row r="19" spans="1:21" s="330" customFormat="1">
      <c r="A19" s="347" t="s">
        <v>5</v>
      </c>
      <c r="B19" s="348" t="str">
        <f>A29</f>
        <v>production of machined casing, mass scaled activities,non-isolating unidirectional FC DCDC converter, SOFC-bat, Long-Term</v>
      </c>
      <c r="C19" s="348"/>
    </row>
    <row r="20" spans="1:21">
      <c r="A20" s="323" t="s">
        <v>7</v>
      </c>
      <c r="B20" s="188" t="s">
        <v>831</v>
      </c>
      <c r="D20" s="322"/>
    </row>
    <row r="21" spans="1:21">
      <c r="A21" s="402" t="s">
        <v>9</v>
      </c>
      <c r="B21" s="188" t="s">
        <v>1145</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1144</v>
      </c>
      <c r="B29" s="188">
        <v>1</v>
      </c>
      <c r="D29" s="188" t="s">
        <v>18</v>
      </c>
      <c r="E29" s="386" t="s">
        <v>2</v>
      </c>
      <c r="F29" s="188" t="s">
        <v>29</v>
      </c>
      <c r="G29" s="188" t="s">
        <v>14</v>
      </c>
      <c r="H29" s="188" t="s">
        <v>30</v>
      </c>
      <c r="I29" s="188">
        <v>1</v>
      </c>
      <c r="J29" s="188">
        <f>B29</f>
        <v>1</v>
      </c>
      <c r="K29" s="188" t="s">
        <v>31</v>
      </c>
      <c r="L29" s="188" t="s">
        <v>31</v>
      </c>
      <c r="M29" s="188" t="s">
        <v>31</v>
      </c>
      <c r="N29" s="188" t="s">
        <v>31</v>
      </c>
    </row>
    <row r="30" spans="1:21">
      <c r="A30" s="188" t="s">
        <v>1146</v>
      </c>
      <c r="B30" s="188">
        <f>Q30</f>
        <v>5.44</v>
      </c>
      <c r="D30" s="188" t="s">
        <v>37</v>
      </c>
      <c r="E30" s="386" t="s">
        <v>2</v>
      </c>
      <c r="F30" s="188" t="s">
        <v>29</v>
      </c>
      <c r="G30" s="188" t="s">
        <v>14</v>
      </c>
      <c r="H30" s="188" t="s">
        <v>33</v>
      </c>
      <c r="I30" s="188">
        <v>2</v>
      </c>
      <c r="J30" s="188">
        <f>LN(B30)</f>
        <v>1.6937790608678513</v>
      </c>
      <c r="K30" s="188">
        <v>0.10307764064044142</v>
      </c>
      <c r="L30" s="188" t="s">
        <v>31</v>
      </c>
      <c r="M30" s="188" t="s">
        <v>31</v>
      </c>
      <c r="N30" s="188" t="s">
        <v>31</v>
      </c>
      <c r="Q30" s="440">
        <v>5.44</v>
      </c>
    </row>
    <row r="31" spans="1:21">
      <c r="A31" s="323" t="s">
        <v>265</v>
      </c>
      <c r="B31" s="327">
        <f>Q31</f>
        <v>0.33</v>
      </c>
      <c r="C31" s="327"/>
      <c r="D31" s="188" t="s">
        <v>39</v>
      </c>
      <c r="E31" s="188" t="s">
        <v>40</v>
      </c>
      <c r="F31" s="188" t="s">
        <v>29</v>
      </c>
      <c r="G31" s="37" t="s">
        <v>59</v>
      </c>
      <c r="H31" s="188" t="s">
        <v>33</v>
      </c>
      <c r="I31" s="188">
        <v>2</v>
      </c>
      <c r="J31" s="188">
        <f t="shared" ref="J31:J37" si="1">LN(B31)</f>
        <v>-1.1086626245216111</v>
      </c>
      <c r="K31" s="188">
        <v>9.6046863561492793E-2</v>
      </c>
      <c r="L31" s="188" t="s">
        <v>31</v>
      </c>
      <c r="M31" s="188" t="s">
        <v>31</v>
      </c>
      <c r="N31" s="188" t="s">
        <v>31</v>
      </c>
      <c r="P31" s="379" t="s">
        <v>271</v>
      </c>
      <c r="Q31" s="392">
        <v>0.33</v>
      </c>
    </row>
    <row r="32" spans="1:21">
      <c r="A32" s="84" t="s">
        <v>954</v>
      </c>
      <c r="B32" s="188">
        <f>S32</f>
        <v>7.5999999999999998E-2</v>
      </c>
      <c r="D32" s="188" t="s">
        <v>37</v>
      </c>
      <c r="E32" s="188" t="s">
        <v>40</v>
      </c>
      <c r="F32" s="188" t="s">
        <v>29</v>
      </c>
      <c r="G32" s="188" t="s">
        <v>35</v>
      </c>
      <c r="H32" s="188" t="s">
        <v>33</v>
      </c>
      <c r="I32" s="188">
        <v>2</v>
      </c>
      <c r="J32" s="188">
        <f t="shared" si="1"/>
        <v>-2.5770219386958062</v>
      </c>
      <c r="K32" s="188">
        <v>9.6046863561492793E-2</v>
      </c>
      <c r="L32" s="188" t="s">
        <v>31</v>
      </c>
      <c r="M32" s="188" t="s">
        <v>31</v>
      </c>
      <c r="N32" s="188" t="s">
        <v>31</v>
      </c>
      <c r="P32" s="379" t="s">
        <v>857</v>
      </c>
      <c r="Q32" s="392">
        <v>76</v>
      </c>
      <c r="R32" s="379" t="s">
        <v>275</v>
      </c>
      <c r="S32" s="392">
        <f>0.001*Q32</f>
        <v>7.5999999999999998E-2</v>
      </c>
    </row>
    <row r="33" spans="1:21">
      <c r="A33" s="84" t="s">
        <v>955</v>
      </c>
      <c r="B33" s="188">
        <f>Q33</f>
        <v>1.4</v>
      </c>
      <c r="D33" s="188" t="s">
        <v>37</v>
      </c>
      <c r="E33" s="188" t="s">
        <v>40</v>
      </c>
      <c r="F33" s="188" t="s">
        <v>29</v>
      </c>
      <c r="G33" s="37" t="s">
        <v>74</v>
      </c>
      <c r="H33" s="188" t="s">
        <v>33</v>
      </c>
      <c r="I33" s="188">
        <v>2</v>
      </c>
      <c r="J33" s="188">
        <f t="shared" si="1"/>
        <v>0.33647223662121289</v>
      </c>
      <c r="K33" s="188">
        <v>9.6046863561492793E-2</v>
      </c>
      <c r="L33" s="188" t="s">
        <v>31</v>
      </c>
      <c r="M33" s="188" t="s">
        <v>31</v>
      </c>
      <c r="N33" s="188" t="s">
        <v>31</v>
      </c>
      <c r="P33" s="379" t="s">
        <v>275</v>
      </c>
      <c r="Q33" s="392">
        <v>1.4</v>
      </c>
    </row>
    <row r="34" spans="1:21">
      <c r="A34" s="416" t="s">
        <v>202</v>
      </c>
      <c r="B34" s="188">
        <f>S35</f>
        <v>0.28800000000000003</v>
      </c>
      <c r="C34" s="192" t="s">
        <v>203</v>
      </c>
      <c r="D34" s="188" t="s">
        <v>37</v>
      </c>
      <c r="E34" s="188" t="s">
        <v>40</v>
      </c>
      <c r="F34" s="188" t="s">
        <v>29</v>
      </c>
      <c r="G34" s="37" t="s">
        <v>35</v>
      </c>
      <c r="H34" s="188" t="s">
        <v>33</v>
      </c>
      <c r="I34" s="188">
        <v>2</v>
      </c>
      <c r="J34" s="188">
        <f t="shared" si="1"/>
        <v>-1.2447947988461909</v>
      </c>
      <c r="K34" s="188">
        <v>9.6046863561492793E-2</v>
      </c>
      <c r="L34" s="188" t="s">
        <v>31</v>
      </c>
      <c r="M34" s="188" t="s">
        <v>31</v>
      </c>
      <c r="N34" s="188" t="s">
        <v>31</v>
      </c>
      <c r="P34" s="379"/>
      <c r="Q34" s="392"/>
    </row>
    <row r="35" spans="1:21">
      <c r="A35" s="192" t="s">
        <v>201</v>
      </c>
      <c r="B35" s="188">
        <f>S35</f>
        <v>0.28800000000000003</v>
      </c>
      <c r="D35" s="188" t="s">
        <v>37</v>
      </c>
      <c r="E35" s="188" t="s">
        <v>40</v>
      </c>
      <c r="F35" s="188" t="s">
        <v>29</v>
      </c>
      <c r="G35" s="188" t="s">
        <v>35</v>
      </c>
      <c r="H35" s="188" t="s">
        <v>33</v>
      </c>
      <c r="I35" s="188">
        <v>2</v>
      </c>
      <c r="J35" s="188">
        <f t="shared" si="1"/>
        <v>-1.2447947988461909</v>
      </c>
      <c r="K35" s="188">
        <v>9.6046863561492793E-2</v>
      </c>
      <c r="L35" s="188" t="s">
        <v>31</v>
      </c>
      <c r="M35" s="188" t="s">
        <v>31</v>
      </c>
      <c r="N35" s="188" t="s">
        <v>31</v>
      </c>
      <c r="P35" s="396" t="s">
        <v>857</v>
      </c>
      <c r="Q35" s="397">
        <v>288</v>
      </c>
      <c r="R35" s="379" t="s">
        <v>275</v>
      </c>
      <c r="S35" s="392">
        <f>0.001*Q35</f>
        <v>0.28800000000000003</v>
      </c>
    </row>
    <row r="36" spans="1:21">
      <c r="A36" s="84" t="s">
        <v>958</v>
      </c>
      <c r="B36" s="188">
        <f t="shared" ref="B36" si="2">S36</f>
        <v>7.5999999999999998E-2</v>
      </c>
      <c r="D36" s="188" t="s">
        <v>37</v>
      </c>
      <c r="E36" s="188" t="s">
        <v>40</v>
      </c>
      <c r="F36" s="188" t="s">
        <v>29</v>
      </c>
      <c r="G36" s="188" t="s">
        <v>59</v>
      </c>
      <c r="H36" s="188" t="s">
        <v>136</v>
      </c>
      <c r="I36" s="188">
        <v>2</v>
      </c>
      <c r="J36" s="188">
        <f t="shared" si="1"/>
        <v>-2.5770219386958062</v>
      </c>
      <c r="K36" s="188">
        <v>9.6046863561492793E-2</v>
      </c>
      <c r="L36" s="188" t="s">
        <v>31</v>
      </c>
      <c r="M36" s="188" t="s">
        <v>31</v>
      </c>
      <c r="N36" s="188" t="s">
        <v>31</v>
      </c>
      <c r="P36" s="396" t="s">
        <v>857</v>
      </c>
      <c r="Q36" s="397">
        <v>288</v>
      </c>
      <c r="R36" s="379" t="s">
        <v>275</v>
      </c>
      <c r="S36" s="392">
        <f>0.001*Q37</f>
        <v>7.5999999999999998E-2</v>
      </c>
    </row>
    <row r="37" spans="1:21">
      <c r="A37" s="84" t="s">
        <v>787</v>
      </c>
      <c r="B37" s="188">
        <f>S37</f>
        <v>7.5999999999999998E-2</v>
      </c>
      <c r="D37" s="188" t="s">
        <v>37</v>
      </c>
      <c r="E37" s="188" t="s">
        <v>40</v>
      </c>
      <c r="F37" s="188" t="s">
        <v>29</v>
      </c>
      <c r="G37" s="37" t="s">
        <v>74</v>
      </c>
      <c r="H37" s="188" t="s">
        <v>33</v>
      </c>
      <c r="I37" s="188">
        <v>2</v>
      </c>
      <c r="J37" s="188">
        <f t="shared" si="1"/>
        <v>-2.5770219386958062</v>
      </c>
      <c r="K37" s="188">
        <v>9.6046863561492793E-2</v>
      </c>
      <c r="L37" s="188" t="s">
        <v>31</v>
      </c>
      <c r="M37" s="188" t="s">
        <v>31</v>
      </c>
      <c r="N37" s="188" t="s">
        <v>31</v>
      </c>
      <c r="P37" s="396" t="s">
        <v>857</v>
      </c>
      <c r="Q37" s="397">
        <v>76</v>
      </c>
      <c r="R37" s="379" t="s">
        <v>275</v>
      </c>
      <c r="S37" s="392">
        <f>Q37*0.001</f>
        <v>7.5999999999999998E-2</v>
      </c>
    </row>
    <row r="38" spans="1:21" s="330" customFormat="1">
      <c r="A38" s="347" t="s">
        <v>5</v>
      </c>
      <c r="B38" s="348" t="s">
        <v>1146</v>
      </c>
      <c r="C38" s="348"/>
    </row>
    <row r="39" spans="1:21">
      <c r="A39" s="323" t="s">
        <v>7</v>
      </c>
      <c r="B39" s="188" t="s">
        <v>831</v>
      </c>
      <c r="D39" s="322"/>
    </row>
    <row r="40" spans="1:21">
      <c r="A40" s="402" t="s">
        <v>9</v>
      </c>
      <c r="B40" s="188" t="s">
        <v>1147</v>
      </c>
      <c r="D40" s="322"/>
    </row>
    <row r="41" spans="1:21" ht="15.75" customHeight="1">
      <c r="A41" s="323" t="s">
        <v>11</v>
      </c>
      <c r="B41" s="324" t="s">
        <v>841</v>
      </c>
      <c r="C41" s="324"/>
    </row>
    <row r="42" spans="1:21">
      <c r="A42" s="323" t="s">
        <v>13</v>
      </c>
      <c r="B42" s="188" t="s">
        <v>14</v>
      </c>
    </row>
    <row r="43" spans="1:21">
      <c r="A43" s="323" t="s">
        <v>15</v>
      </c>
      <c r="B43" s="335">
        <f>B48</f>
        <v>5.71</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1146</v>
      </c>
      <c r="B48" s="188">
        <f>Q48</f>
        <v>5.71</v>
      </c>
      <c r="D48" s="188" t="s">
        <v>37</v>
      </c>
      <c r="E48" s="386" t="s">
        <v>2</v>
      </c>
      <c r="F48" s="188" t="s">
        <v>29</v>
      </c>
      <c r="G48" s="188" t="s">
        <v>14</v>
      </c>
      <c r="H48" s="188" t="s">
        <v>30</v>
      </c>
      <c r="I48" s="188">
        <v>2</v>
      </c>
      <c r="J48" s="188">
        <f>LN(B48)</f>
        <v>1.7422190236679189</v>
      </c>
      <c r="K48" s="188">
        <v>0.10307764064044142</v>
      </c>
      <c r="L48" s="188" t="s">
        <v>31</v>
      </c>
      <c r="M48" s="188" t="s">
        <v>31</v>
      </c>
      <c r="N48" s="188" t="s">
        <v>31</v>
      </c>
      <c r="Q48" s="443">
        <v>5.71</v>
      </c>
    </row>
    <row r="49" spans="1:25">
      <c r="A49" s="84" t="s">
        <v>958</v>
      </c>
      <c r="B49" s="188">
        <f>Q49</f>
        <v>6.05</v>
      </c>
      <c r="D49" s="188" t="s">
        <v>37</v>
      </c>
      <c r="E49" s="188" t="s">
        <v>40</v>
      </c>
      <c r="F49" s="188" t="s">
        <v>29</v>
      </c>
      <c r="G49" s="188" t="s">
        <v>59</v>
      </c>
      <c r="H49" s="188" t="s">
        <v>33</v>
      </c>
      <c r="I49" s="188">
        <v>2</v>
      </c>
      <c r="J49" s="188">
        <f t="shared" ref="J49:J57" si="3">LN(B49)</f>
        <v>1.80005827204275</v>
      </c>
      <c r="K49" s="188">
        <v>4.9999999999998969E-3</v>
      </c>
      <c r="L49" s="188" t="s">
        <v>31</v>
      </c>
      <c r="M49" s="188" t="s">
        <v>31</v>
      </c>
      <c r="N49" s="188" t="s">
        <v>31</v>
      </c>
      <c r="P49" s="379" t="s">
        <v>275</v>
      </c>
      <c r="Q49" s="392">
        <v>6.05</v>
      </c>
    </row>
    <row r="50" spans="1:25">
      <c r="A50" s="27" t="s">
        <v>69</v>
      </c>
      <c r="B50" s="188">
        <f>S50</f>
        <v>1.6109660574412534</v>
      </c>
      <c r="D50" s="188" t="s">
        <v>42</v>
      </c>
      <c r="E50" s="188" t="s">
        <v>40</v>
      </c>
      <c r="F50" s="188" t="s">
        <v>29</v>
      </c>
      <c r="G50" s="188" t="s">
        <v>272</v>
      </c>
      <c r="H50" s="188" t="s">
        <v>33</v>
      </c>
      <c r="I50" s="188">
        <v>2</v>
      </c>
      <c r="J50" s="188">
        <f t="shared" si="3"/>
        <v>0.47683403472474195</v>
      </c>
      <c r="K50" s="188">
        <v>4.9999999999998969E-3</v>
      </c>
      <c r="L50" s="188" t="s">
        <v>31</v>
      </c>
      <c r="M50" s="188" t="s">
        <v>31</v>
      </c>
      <c r="N50" s="188" t="s">
        <v>31</v>
      </c>
      <c r="P50" s="379" t="s">
        <v>270</v>
      </c>
      <c r="Q50" s="392">
        <v>61.7</v>
      </c>
      <c r="R50" s="188" t="s">
        <v>274</v>
      </c>
      <c r="S50" s="188">
        <f>Q50/38.3</f>
        <v>1.6109660574412534</v>
      </c>
      <c r="T50" s="444"/>
      <c r="U50" s="445"/>
      <c r="V50" s="445"/>
      <c r="W50" s="445"/>
      <c r="X50" s="445"/>
      <c r="Y50" s="445"/>
    </row>
    <row r="51" spans="1:25">
      <c r="A51" s="323" t="s">
        <v>265</v>
      </c>
      <c r="B51" s="327">
        <f>Q51</f>
        <v>14.8</v>
      </c>
      <c r="C51" s="327"/>
      <c r="D51" s="188" t="s">
        <v>39</v>
      </c>
      <c r="E51" s="188" t="s">
        <v>40</v>
      </c>
      <c r="F51" s="188" t="s">
        <v>29</v>
      </c>
      <c r="G51" s="37" t="s">
        <v>59</v>
      </c>
      <c r="H51" s="188" t="s">
        <v>33</v>
      </c>
      <c r="I51" s="188">
        <v>2</v>
      </c>
      <c r="J51" s="188">
        <f t="shared" si="3"/>
        <v>2.6946271807700692</v>
      </c>
      <c r="K51" s="188">
        <v>4.9999999999998969E-3</v>
      </c>
      <c r="L51" s="188" t="s">
        <v>31</v>
      </c>
      <c r="M51" s="188" t="s">
        <v>31</v>
      </c>
      <c r="N51" s="188" t="s">
        <v>31</v>
      </c>
      <c r="P51" s="379" t="s">
        <v>271</v>
      </c>
      <c r="Q51" s="392">
        <v>14.8</v>
      </c>
    </row>
    <row r="52" spans="1:25">
      <c r="A52" s="84" t="s">
        <v>960</v>
      </c>
      <c r="B52" s="188">
        <f>S52</f>
        <v>0.11</v>
      </c>
      <c r="D52" s="188" t="s">
        <v>37</v>
      </c>
      <c r="E52" s="188" t="s">
        <v>40</v>
      </c>
      <c r="F52" s="188" t="s">
        <v>29</v>
      </c>
      <c r="G52" s="188" t="s">
        <v>35</v>
      </c>
      <c r="H52" s="188" t="s">
        <v>33</v>
      </c>
      <c r="I52" s="188">
        <v>2</v>
      </c>
      <c r="J52" s="188">
        <f t="shared" si="3"/>
        <v>-2.2072749131897207</v>
      </c>
      <c r="K52" s="188">
        <v>0.10049875621120885</v>
      </c>
      <c r="L52" s="188" t="s">
        <v>31</v>
      </c>
      <c r="M52" s="188" t="s">
        <v>31</v>
      </c>
      <c r="N52" s="188" t="s">
        <v>31</v>
      </c>
      <c r="P52" s="379" t="s">
        <v>857</v>
      </c>
      <c r="Q52" s="392">
        <v>110</v>
      </c>
      <c r="R52" s="379" t="s">
        <v>275</v>
      </c>
      <c r="S52" s="392">
        <f t="shared" ref="S52:S54" si="4">0.001*Q52</f>
        <v>0.11</v>
      </c>
    </row>
    <row r="53" spans="1:25">
      <c r="A53" s="84" t="s">
        <v>961</v>
      </c>
      <c r="B53" s="188">
        <f>S53</f>
        <v>2.3E-3</v>
      </c>
      <c r="D53" s="188" t="s">
        <v>37</v>
      </c>
      <c r="E53" s="188" t="s">
        <v>43</v>
      </c>
      <c r="F53" s="188" t="s">
        <v>44</v>
      </c>
      <c r="G53" s="188" t="s">
        <v>29</v>
      </c>
      <c r="H53" s="188" t="s">
        <v>45</v>
      </c>
      <c r="I53" s="188">
        <v>2</v>
      </c>
      <c r="J53" s="188">
        <f t="shared" si="3"/>
        <v>-6.074846156047033</v>
      </c>
      <c r="K53" s="188">
        <v>4.9999999999998969E-3</v>
      </c>
      <c r="L53" s="188" t="s">
        <v>31</v>
      </c>
      <c r="M53" s="188" t="s">
        <v>31</v>
      </c>
      <c r="N53" s="188" t="s">
        <v>31</v>
      </c>
      <c r="P53" s="394" t="s">
        <v>857</v>
      </c>
      <c r="Q53" s="417">
        <v>2.2999999999999998</v>
      </c>
      <c r="R53" s="379" t="s">
        <v>275</v>
      </c>
      <c r="S53" s="392">
        <f t="shared" si="4"/>
        <v>2.3E-3</v>
      </c>
    </row>
    <row r="54" spans="1:25">
      <c r="A54" s="323" t="s">
        <v>807</v>
      </c>
      <c r="B54" s="188">
        <f>S54</f>
        <v>5.7000000000000002E-3</v>
      </c>
      <c r="D54" s="188" t="s">
        <v>37</v>
      </c>
      <c r="E54" s="188" t="s">
        <v>43</v>
      </c>
      <c r="F54" s="188" t="s">
        <v>44</v>
      </c>
      <c r="G54" s="37" t="s">
        <v>29</v>
      </c>
      <c r="H54" s="188" t="s">
        <v>45</v>
      </c>
      <c r="I54" s="188">
        <v>2</v>
      </c>
      <c r="J54" s="188">
        <f t="shared" si="3"/>
        <v>-5.1672891041416324</v>
      </c>
      <c r="K54" s="188">
        <v>8.9582364335844641E-2</v>
      </c>
      <c r="L54" s="188" t="s">
        <v>31</v>
      </c>
      <c r="M54" s="188" t="s">
        <v>31</v>
      </c>
      <c r="N54" s="188" t="s">
        <v>31</v>
      </c>
      <c r="P54" s="394" t="s">
        <v>857</v>
      </c>
      <c r="Q54" s="417">
        <v>5.7</v>
      </c>
      <c r="R54" s="379" t="s">
        <v>275</v>
      </c>
      <c r="S54" s="392">
        <f t="shared" si="4"/>
        <v>5.7000000000000002E-3</v>
      </c>
    </row>
    <row r="55" spans="1:25">
      <c r="A55" s="416" t="s">
        <v>202</v>
      </c>
      <c r="B55" s="188">
        <f>B56</f>
        <v>0.34</v>
      </c>
      <c r="C55" s="192" t="s">
        <v>203</v>
      </c>
      <c r="D55" s="188" t="s">
        <v>37</v>
      </c>
      <c r="E55" s="188" t="s">
        <v>40</v>
      </c>
      <c r="F55" s="188" t="s">
        <v>29</v>
      </c>
      <c r="G55" s="37" t="s">
        <v>35</v>
      </c>
      <c r="H55" s="188" t="s">
        <v>33</v>
      </c>
      <c r="I55" s="188">
        <v>2</v>
      </c>
      <c r="J55" s="188">
        <f t="shared" si="3"/>
        <v>-1.0788096613719298</v>
      </c>
      <c r="K55" s="188">
        <v>9.6046863561492793E-2</v>
      </c>
      <c r="L55" s="188" t="s">
        <v>31</v>
      </c>
      <c r="M55" s="188" t="s">
        <v>31</v>
      </c>
      <c r="N55" s="188" t="s">
        <v>31</v>
      </c>
      <c r="P55" s="394"/>
      <c r="Q55" s="417">
        <v>0.34</v>
      </c>
      <c r="R55" s="410"/>
      <c r="S55" s="411"/>
    </row>
    <row r="56" spans="1:25">
      <c r="A56" s="192" t="s">
        <v>201</v>
      </c>
      <c r="B56" s="188">
        <f>Q56</f>
        <v>0.34</v>
      </c>
      <c r="D56" s="188" t="s">
        <v>37</v>
      </c>
      <c r="E56" s="188" t="s">
        <v>40</v>
      </c>
      <c r="F56" s="188" t="s">
        <v>29</v>
      </c>
      <c r="G56" s="188" t="s">
        <v>35</v>
      </c>
      <c r="H56" s="188" t="s">
        <v>33</v>
      </c>
      <c r="I56" s="188">
        <v>2</v>
      </c>
      <c r="J56" s="188">
        <f t="shared" si="3"/>
        <v>-1.0788096613719298</v>
      </c>
      <c r="K56" s="188">
        <v>4.9999999999998969E-3</v>
      </c>
      <c r="L56" s="188" t="s">
        <v>31</v>
      </c>
      <c r="M56" s="188" t="s">
        <v>31</v>
      </c>
      <c r="N56" s="188" t="s">
        <v>31</v>
      </c>
      <c r="P56" s="396" t="s">
        <v>275</v>
      </c>
      <c r="Q56" s="417">
        <v>0.34</v>
      </c>
    </row>
    <row r="57" spans="1:25">
      <c r="A57" s="84" t="s">
        <v>958</v>
      </c>
      <c r="B57" s="188">
        <f>Q56</f>
        <v>0.34</v>
      </c>
      <c r="D57" s="188" t="s">
        <v>37</v>
      </c>
      <c r="E57" s="188" t="s">
        <v>40</v>
      </c>
      <c r="F57" s="188" t="s">
        <v>29</v>
      </c>
      <c r="G57" s="188" t="s">
        <v>59</v>
      </c>
      <c r="H57" s="188" t="s">
        <v>136</v>
      </c>
      <c r="I57" s="188">
        <v>2</v>
      </c>
      <c r="J57" s="188">
        <f t="shared" si="3"/>
        <v>-1.0788096613719298</v>
      </c>
      <c r="K57" s="188">
        <v>4.9999999999998969E-3</v>
      </c>
      <c r="L57" s="188" t="s">
        <v>31</v>
      </c>
      <c r="M57" s="188" t="s">
        <v>31</v>
      </c>
      <c r="N57" s="188" t="s">
        <v>31</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opLeftCell="A109" zoomScale="70" zoomScaleNormal="70" workbookViewId="0">
      <selection activeCell="B123" sqref="B123:B124"/>
    </sheetView>
  </sheetViews>
  <sheetFormatPr defaultRowHeight="14.4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54</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110</v>
      </c>
      <c r="C4" s="4"/>
      <c r="D4" s="13"/>
      <c r="E4" s="13"/>
      <c r="F4" s="13"/>
      <c r="G4" s="13"/>
      <c r="H4" s="13"/>
      <c r="I4" s="13"/>
      <c r="J4" s="13"/>
      <c r="K4" s="13"/>
      <c r="L4" s="13"/>
      <c r="M4" s="13"/>
    </row>
    <row r="5" spans="1:13" ht="29.1">
      <c r="A5" s="12" t="s">
        <v>11</v>
      </c>
      <c r="B5" s="14" t="s">
        <v>111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112</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113</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114</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115</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116</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112</v>
      </c>
      <c r="C18" s="3"/>
      <c r="D18" s="11"/>
      <c r="E18" s="11"/>
      <c r="F18" s="11"/>
      <c r="G18" s="11"/>
      <c r="H18" s="11"/>
      <c r="I18" s="11"/>
      <c r="J18" s="11"/>
      <c r="K18" s="11"/>
      <c r="L18" s="11"/>
      <c r="M18" s="11"/>
    </row>
    <row r="19" spans="1:13">
      <c r="A19" s="12" t="s">
        <v>7</v>
      </c>
      <c r="B19" s="13" t="s">
        <v>117</v>
      </c>
      <c r="C19" s="4"/>
      <c r="D19" s="13"/>
      <c r="E19" s="13"/>
      <c r="F19" s="13"/>
      <c r="G19" s="13"/>
      <c r="H19" s="13"/>
      <c r="I19" s="13"/>
      <c r="J19" s="13"/>
      <c r="K19" s="13"/>
      <c r="L19" s="13"/>
      <c r="M19" s="13"/>
    </row>
    <row r="20" spans="1:13">
      <c r="A20" s="12" t="s">
        <v>9</v>
      </c>
      <c r="B20" s="13" t="s">
        <v>118</v>
      </c>
      <c r="C20" s="4"/>
      <c r="D20" s="13"/>
      <c r="E20" s="13"/>
      <c r="F20" s="13"/>
      <c r="G20" s="13"/>
      <c r="H20" s="13"/>
      <c r="I20" s="13"/>
      <c r="J20" s="13"/>
      <c r="K20" s="13"/>
      <c r="L20" s="13"/>
      <c r="M20" s="13"/>
    </row>
    <row r="21" spans="1:13" ht="29.1">
      <c r="A21" s="12" t="s">
        <v>11</v>
      </c>
      <c r="B21" s="14" t="s">
        <v>119</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112</v>
      </c>
      <c r="B28" s="13">
        <v>1</v>
      </c>
      <c r="C28" s="13" t="s">
        <v>18</v>
      </c>
      <c r="D28" s="13" t="s">
        <v>2</v>
      </c>
      <c r="E28" s="13" t="s">
        <v>29</v>
      </c>
      <c r="F28" s="13" t="s">
        <v>14</v>
      </c>
      <c r="G28" s="13" t="s">
        <v>30</v>
      </c>
      <c r="H28" s="13">
        <v>1</v>
      </c>
      <c r="I28" s="13">
        <v>1</v>
      </c>
      <c r="J28" s="13" t="s">
        <v>31</v>
      </c>
      <c r="K28" s="13" t="s">
        <v>31</v>
      </c>
      <c r="L28" s="13" t="s">
        <v>31</v>
      </c>
      <c r="M28" s="13" t="s">
        <v>31</v>
      </c>
    </row>
    <row r="29" spans="1:13">
      <c r="A29" s="12" t="s">
        <v>86</v>
      </c>
      <c r="B29" s="13">
        <v>345.36799999999999</v>
      </c>
      <c r="C29" s="13" t="s">
        <v>37</v>
      </c>
      <c r="D29" s="13" t="s">
        <v>40</v>
      </c>
      <c r="E29" s="13" t="s">
        <v>29</v>
      </c>
      <c r="F29" s="13" t="s">
        <v>59</v>
      </c>
      <c r="G29" s="13" t="s">
        <v>33</v>
      </c>
      <c r="H29" s="13">
        <v>2</v>
      </c>
      <c r="I29" s="13">
        <f>LN(B29)</f>
        <v>5.8446105152133576</v>
      </c>
      <c r="J29" s="13">
        <v>0.24083189157584584</v>
      </c>
      <c r="K29" s="13" t="s">
        <v>31</v>
      </c>
      <c r="L29" s="13" t="s">
        <v>31</v>
      </c>
      <c r="M29" s="13" t="s">
        <v>31</v>
      </c>
    </row>
    <row r="30" spans="1:13">
      <c r="A30" s="12" t="s">
        <v>85</v>
      </c>
      <c r="B30" s="13">
        <v>90.095999999999989</v>
      </c>
      <c r="C30" s="13" t="s">
        <v>37</v>
      </c>
      <c r="D30" s="13" t="s">
        <v>40</v>
      </c>
      <c r="E30" s="13" t="s">
        <v>29</v>
      </c>
      <c r="F30" s="13" t="s">
        <v>59</v>
      </c>
      <c r="G30" s="13" t="s">
        <v>33</v>
      </c>
      <c r="H30" s="13">
        <v>2</v>
      </c>
      <c r="I30" s="13">
        <f t="shared" ref="I30:I32" si="0">LN(B30)</f>
        <v>4.5008757685122625</v>
      </c>
      <c r="J30" s="13">
        <v>0.24083189157584584</v>
      </c>
      <c r="K30" s="13" t="s">
        <v>31</v>
      </c>
      <c r="L30" s="13" t="s">
        <v>31</v>
      </c>
      <c r="M30" s="13" t="s">
        <v>31</v>
      </c>
    </row>
    <row r="31" spans="1:13">
      <c r="A31" s="12" t="s">
        <v>120</v>
      </c>
      <c r="B31" s="13">
        <v>142.65199999999999</v>
      </c>
      <c r="C31" s="13" t="s">
        <v>37</v>
      </c>
      <c r="D31" s="13" t="s">
        <v>40</v>
      </c>
      <c r="E31" s="13" t="s">
        <v>29</v>
      </c>
      <c r="F31" s="13" t="s">
        <v>59</v>
      </c>
      <c r="G31" s="13" t="s">
        <v>33</v>
      </c>
      <c r="H31" s="13">
        <v>2</v>
      </c>
      <c r="I31" s="13">
        <f t="shared" si="0"/>
        <v>4.9604080978907028</v>
      </c>
      <c r="J31" s="13">
        <v>0.24083189157584584</v>
      </c>
      <c r="K31" s="13" t="s">
        <v>31</v>
      </c>
      <c r="L31" s="13" t="s">
        <v>31</v>
      </c>
      <c r="M31" s="13" t="s">
        <v>31</v>
      </c>
    </row>
    <row r="32" spans="1:13">
      <c r="A32" s="12" t="s">
        <v>121</v>
      </c>
      <c r="B32" s="13">
        <v>172.684</v>
      </c>
      <c r="C32" s="13" t="s">
        <v>37</v>
      </c>
      <c r="D32" s="13" t="s">
        <v>40</v>
      </c>
      <c r="E32" s="13" t="s">
        <v>29</v>
      </c>
      <c r="F32" s="13" t="s">
        <v>59</v>
      </c>
      <c r="G32" s="13" t="s">
        <v>33</v>
      </c>
      <c r="H32" s="13">
        <v>2</v>
      </c>
      <c r="I32" s="13">
        <f t="shared" si="0"/>
        <v>5.1514633346534122</v>
      </c>
      <c r="J32" s="13">
        <v>0.24083189157584584</v>
      </c>
      <c r="K32" s="13" t="s">
        <v>31</v>
      </c>
      <c r="L32" s="13" t="s">
        <v>31</v>
      </c>
      <c r="M32" s="13" t="s">
        <v>31</v>
      </c>
    </row>
    <row r="33" spans="1:13">
      <c r="A33" s="18" t="s">
        <v>5</v>
      </c>
      <c r="B33" s="19" t="s">
        <v>113</v>
      </c>
      <c r="C33" s="3"/>
      <c r="D33" s="11"/>
      <c r="E33" s="11"/>
      <c r="F33" s="11"/>
      <c r="G33" s="11"/>
      <c r="H33" s="11"/>
      <c r="I33" s="11"/>
      <c r="J33" s="11"/>
      <c r="K33" s="11"/>
      <c r="L33" s="11"/>
      <c r="M33" s="11"/>
    </row>
    <row r="34" spans="1:13">
      <c r="A34" s="12" t="s">
        <v>7</v>
      </c>
      <c r="B34" s="13" t="s">
        <v>117</v>
      </c>
      <c r="C34" s="4"/>
      <c r="D34" s="13"/>
      <c r="E34" s="13"/>
      <c r="F34" s="13"/>
      <c r="G34" s="13"/>
      <c r="H34" s="13"/>
      <c r="I34" s="13"/>
      <c r="J34" s="13"/>
      <c r="K34" s="13"/>
      <c r="L34" s="13"/>
      <c r="M34" s="13"/>
    </row>
    <row r="35" spans="1:13">
      <c r="A35" s="12" t="s">
        <v>9</v>
      </c>
      <c r="B35" s="13" t="s">
        <v>122</v>
      </c>
      <c r="C35" s="4"/>
      <c r="D35" s="13"/>
      <c r="E35" s="13"/>
      <c r="F35" s="13"/>
      <c r="G35" s="13"/>
      <c r="H35" s="13"/>
      <c r="I35" s="13"/>
      <c r="J35" s="13"/>
      <c r="K35" s="13"/>
      <c r="L35" s="13"/>
      <c r="M35" s="13"/>
    </row>
    <row r="36" spans="1:13" ht="29.1">
      <c r="A36" s="12" t="s">
        <v>11</v>
      </c>
      <c r="B36" s="14" t="s">
        <v>123</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113</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124</v>
      </c>
      <c r="B44" s="13">
        <v>995.6</v>
      </c>
      <c r="C44" s="13" t="s">
        <v>37</v>
      </c>
      <c r="D44" s="13" t="s">
        <v>40</v>
      </c>
      <c r="E44" s="13" t="s">
        <v>29</v>
      </c>
      <c r="F44" s="13" t="s">
        <v>59</v>
      </c>
      <c r="G44" s="13" t="s">
        <v>33</v>
      </c>
      <c r="H44" s="13">
        <v>2</v>
      </c>
      <c r="I44" s="13">
        <f>LN(B44)</f>
        <v>6.9033455704934372</v>
      </c>
      <c r="J44" s="13">
        <v>0.24083189157584584</v>
      </c>
      <c r="K44" s="13" t="s">
        <v>31</v>
      </c>
      <c r="L44" s="13" t="s">
        <v>31</v>
      </c>
      <c r="M44" s="13" t="s">
        <v>31</v>
      </c>
    </row>
    <row r="45" spans="1:13">
      <c r="A45" s="18" t="s">
        <v>5</v>
      </c>
      <c r="B45" s="19" t="s">
        <v>114</v>
      </c>
      <c r="C45" s="3"/>
      <c r="D45" s="11"/>
      <c r="E45" s="11"/>
      <c r="F45" s="11"/>
      <c r="G45" s="11"/>
      <c r="H45" s="11"/>
      <c r="I45" s="11"/>
      <c r="J45" s="11"/>
      <c r="K45" s="11"/>
      <c r="L45" s="11"/>
      <c r="M45" s="11"/>
    </row>
    <row r="46" spans="1:13">
      <c r="A46" s="12" t="s">
        <v>7</v>
      </c>
      <c r="B46" s="13" t="s">
        <v>117</v>
      </c>
      <c r="C46" s="4"/>
      <c r="D46" s="13"/>
      <c r="E46" s="13"/>
      <c r="F46" s="13"/>
      <c r="G46" s="13"/>
      <c r="H46" s="13"/>
      <c r="I46" s="13"/>
      <c r="J46" s="13"/>
      <c r="K46" s="13"/>
      <c r="L46" s="13"/>
      <c r="M46" s="13"/>
    </row>
    <row r="47" spans="1:13">
      <c r="A47" s="12" t="s">
        <v>9</v>
      </c>
      <c r="B47" s="13" t="s">
        <v>125</v>
      </c>
      <c r="C47" s="4"/>
      <c r="D47" s="13"/>
      <c r="E47" s="13"/>
      <c r="F47" s="13"/>
      <c r="G47" s="13"/>
      <c r="H47" s="13"/>
      <c r="I47" s="13"/>
      <c r="J47" s="13"/>
      <c r="K47" s="13"/>
      <c r="L47" s="13"/>
      <c r="M47" s="13"/>
    </row>
    <row r="48" spans="1:13" ht="29.1">
      <c r="A48" s="12" t="s">
        <v>11</v>
      </c>
      <c r="B48" s="14" t="s">
        <v>126</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114</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127</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128</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129</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130</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127</v>
      </c>
      <c r="C60" s="3"/>
      <c r="D60" s="11"/>
      <c r="E60" s="11"/>
      <c r="F60" s="11"/>
      <c r="G60" s="11"/>
      <c r="H60" s="11"/>
      <c r="I60" s="11"/>
      <c r="J60" s="11"/>
      <c r="K60" s="11"/>
      <c r="L60" s="11"/>
      <c r="M60" s="11"/>
    </row>
    <row r="61" spans="1:13">
      <c r="A61" s="12" t="s">
        <v>7</v>
      </c>
      <c r="B61" s="13" t="s">
        <v>131</v>
      </c>
      <c r="C61" s="4"/>
      <c r="D61" s="13"/>
      <c r="E61" s="13"/>
      <c r="F61" s="13"/>
      <c r="G61" s="13"/>
      <c r="H61" s="13"/>
      <c r="I61" s="13"/>
      <c r="J61" s="13"/>
      <c r="K61" s="13"/>
      <c r="L61" s="13"/>
      <c r="M61" s="13"/>
    </row>
    <row r="62" spans="1:13">
      <c r="A62" s="12" t="s">
        <v>9</v>
      </c>
      <c r="B62" s="13" t="s">
        <v>132</v>
      </c>
      <c r="C62" s="4"/>
      <c r="D62" s="13"/>
      <c r="E62" s="13"/>
      <c r="F62" s="13"/>
      <c r="G62" s="13"/>
      <c r="H62" s="13"/>
      <c r="I62" s="13"/>
      <c r="J62" s="13"/>
      <c r="K62" s="13"/>
      <c r="L62" s="13"/>
      <c r="M62" s="13"/>
    </row>
    <row r="63" spans="1:13" ht="29.1">
      <c r="A63" s="12" t="s">
        <v>11</v>
      </c>
      <c r="B63" s="14" t="s">
        <v>133</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127</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134</v>
      </c>
      <c r="B71" s="13">
        <f>130.72*15</f>
        <v>1960.8</v>
      </c>
      <c r="C71" s="13" t="s">
        <v>37</v>
      </c>
      <c r="D71" s="13" t="s">
        <v>40</v>
      </c>
      <c r="E71" s="13" t="s">
        <v>29</v>
      </c>
      <c r="F71" s="13" t="s">
        <v>59</v>
      </c>
      <c r="G71" s="13" t="s">
        <v>33</v>
      </c>
      <c r="H71" s="13">
        <v>2</v>
      </c>
      <c r="I71" s="13">
        <f>LN(B71)</f>
        <v>7.5811078322139025</v>
      </c>
      <c r="J71" s="13">
        <v>0.30331501776206199</v>
      </c>
      <c r="K71" s="13" t="s">
        <v>31</v>
      </c>
      <c r="L71" s="13" t="s">
        <v>31</v>
      </c>
      <c r="M71" s="13" t="s">
        <v>31</v>
      </c>
    </row>
    <row r="72" spans="1:13">
      <c r="A72" s="12" t="s">
        <v>135</v>
      </c>
      <c r="B72" s="13">
        <f>130.72*14</f>
        <v>1830.08</v>
      </c>
      <c r="C72" s="13" t="s">
        <v>37</v>
      </c>
      <c r="D72" s="13" t="s">
        <v>40</v>
      </c>
      <c r="E72" s="13" t="s">
        <v>29</v>
      </c>
      <c r="F72" s="13" t="s">
        <v>82</v>
      </c>
      <c r="G72" s="13" t="s">
        <v>33</v>
      </c>
      <c r="H72" s="13">
        <v>2</v>
      </c>
      <c r="I72" s="13">
        <f>LN(B72)</f>
        <v>7.5121149607269517</v>
      </c>
      <c r="J72" s="13">
        <v>0.30331501776206199</v>
      </c>
      <c r="K72" s="13" t="s">
        <v>31</v>
      </c>
      <c r="L72" s="13" t="s">
        <v>31</v>
      </c>
      <c r="M72" s="13" t="s">
        <v>31</v>
      </c>
    </row>
    <row r="73" spans="1:13">
      <c r="A73" s="12" t="s">
        <v>134</v>
      </c>
      <c r="B73" s="13">
        <f>130.72*14</f>
        <v>1830.08</v>
      </c>
      <c r="C73" s="13" t="s">
        <v>37</v>
      </c>
      <c r="D73" s="13" t="s">
        <v>40</v>
      </c>
      <c r="E73" s="13" t="s">
        <v>29</v>
      </c>
      <c r="F73" s="13" t="s">
        <v>59</v>
      </c>
      <c r="G73" s="13" t="s">
        <v>136</v>
      </c>
      <c r="H73" s="13">
        <v>2</v>
      </c>
      <c r="I73" s="13">
        <f>LN(B73)</f>
        <v>7.5121149607269517</v>
      </c>
      <c r="J73" s="13">
        <v>0.30331501776206199</v>
      </c>
      <c r="K73" s="13" t="s">
        <v>31</v>
      </c>
      <c r="L73" s="13" t="s">
        <v>31</v>
      </c>
      <c r="M73" s="13" t="s">
        <v>31</v>
      </c>
    </row>
    <row r="74" spans="1:13">
      <c r="A74" s="18" t="s">
        <v>5</v>
      </c>
      <c r="B74" s="19" t="s">
        <v>128</v>
      </c>
      <c r="C74" s="3"/>
      <c r="D74" s="11"/>
      <c r="E74" s="11"/>
      <c r="F74" s="11"/>
      <c r="G74" s="11"/>
      <c r="H74" s="11"/>
      <c r="I74" s="11"/>
      <c r="J74" s="11"/>
      <c r="K74" s="11"/>
      <c r="L74" s="11"/>
      <c r="M74" s="11"/>
    </row>
    <row r="75" spans="1:13">
      <c r="A75" s="12" t="s">
        <v>7</v>
      </c>
      <c r="B75" s="13" t="s">
        <v>131</v>
      </c>
      <c r="C75" s="4"/>
      <c r="D75" s="13"/>
      <c r="E75" s="13"/>
      <c r="F75" s="13"/>
      <c r="G75" s="13"/>
      <c r="H75" s="13"/>
      <c r="I75" s="13"/>
      <c r="J75" s="13"/>
      <c r="K75" s="13"/>
      <c r="L75" s="13"/>
      <c r="M75" s="13"/>
    </row>
    <row r="76" spans="1:13">
      <c r="A76" s="12" t="s">
        <v>9</v>
      </c>
      <c r="B76" s="13" t="s">
        <v>137</v>
      </c>
      <c r="C76" s="4"/>
      <c r="D76" s="13"/>
      <c r="E76" s="13"/>
      <c r="F76" s="13"/>
      <c r="G76" s="13"/>
      <c r="H76" s="13"/>
      <c r="I76" s="13"/>
      <c r="J76" s="13"/>
      <c r="K76" s="13"/>
      <c r="L76" s="13"/>
      <c r="M76" s="13"/>
    </row>
    <row r="77" spans="1:13" ht="29.1">
      <c r="A77" s="12" t="s">
        <v>11</v>
      </c>
      <c r="B77" s="14" t="s">
        <v>138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128</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134</v>
      </c>
      <c r="B85" s="13">
        <f>38.528*15</f>
        <v>577.91999999999996</v>
      </c>
      <c r="C85" s="13" t="s">
        <v>37</v>
      </c>
      <c r="D85" s="13" t="s">
        <v>40</v>
      </c>
      <c r="E85" s="13" t="s">
        <v>29</v>
      </c>
      <c r="F85" s="13" t="s">
        <v>59</v>
      </c>
      <c r="G85" s="13" t="s">
        <v>33</v>
      </c>
      <c r="H85" s="13">
        <v>2</v>
      </c>
      <c r="I85" s="13">
        <f>LN(B85)</f>
        <v>6.359435450788566</v>
      </c>
      <c r="J85" s="13">
        <v>0.30331501776206199</v>
      </c>
      <c r="K85" s="13" t="s">
        <v>31</v>
      </c>
      <c r="L85" s="13" t="s">
        <v>31</v>
      </c>
      <c r="M85" s="13" t="s">
        <v>31</v>
      </c>
    </row>
    <row r="86" spans="1:13">
      <c r="A86" s="12" t="s">
        <v>135</v>
      </c>
      <c r="B86" s="13">
        <f>38.528*14</f>
        <v>539.39199999999994</v>
      </c>
      <c r="C86" s="13" t="s">
        <v>37</v>
      </c>
      <c r="D86" s="13" t="s">
        <v>40</v>
      </c>
      <c r="E86" s="13" t="s">
        <v>29</v>
      </c>
      <c r="F86" s="13" t="s">
        <v>82</v>
      </c>
      <c r="G86" s="13" t="s">
        <v>33</v>
      </c>
      <c r="H86" s="13">
        <v>2</v>
      </c>
      <c r="I86" s="13">
        <f>LN(B86)</f>
        <v>6.2904425793016143</v>
      </c>
      <c r="J86" s="13">
        <v>0.30331501776206199</v>
      </c>
      <c r="K86" s="13" t="s">
        <v>31</v>
      </c>
      <c r="L86" s="13" t="s">
        <v>31</v>
      </c>
      <c r="M86" s="13" t="s">
        <v>31</v>
      </c>
    </row>
    <row r="87" spans="1:13">
      <c r="A87" s="12" t="s">
        <v>134</v>
      </c>
      <c r="B87" s="13">
        <f>38.528*14</f>
        <v>539.39199999999994</v>
      </c>
      <c r="C87" s="13" t="s">
        <v>37</v>
      </c>
      <c r="D87" s="13" t="s">
        <v>40</v>
      </c>
      <c r="E87" s="13" t="s">
        <v>29</v>
      </c>
      <c r="F87" s="13" t="s">
        <v>59</v>
      </c>
      <c r="G87" s="13" t="s">
        <v>136</v>
      </c>
      <c r="H87" s="13">
        <v>2</v>
      </c>
      <c r="I87" s="13">
        <f>LN(B87)</f>
        <v>6.2904425793016143</v>
      </c>
      <c r="J87" s="13">
        <v>0.30331501776206199</v>
      </c>
      <c r="K87" s="13" t="s">
        <v>31</v>
      </c>
      <c r="L87" s="13" t="s">
        <v>31</v>
      </c>
      <c r="M87" s="13" t="s">
        <v>31</v>
      </c>
    </row>
    <row r="88" spans="1:13">
      <c r="A88" s="12" t="s">
        <v>139</v>
      </c>
      <c r="B88" s="13">
        <v>9.6319999999999979</v>
      </c>
      <c r="C88" s="13" t="s">
        <v>37</v>
      </c>
      <c r="D88" s="13" t="s">
        <v>40</v>
      </c>
      <c r="E88" s="13" t="s">
        <v>29</v>
      </c>
      <c r="F88" s="13" t="s">
        <v>82</v>
      </c>
      <c r="G88" s="13" t="s">
        <v>33</v>
      </c>
      <c r="H88" s="13">
        <v>2</v>
      </c>
      <c r="I88" s="13">
        <f>LN(B88)</f>
        <v>2.2650908885664651</v>
      </c>
      <c r="J88" s="13">
        <v>0.30331501776206199</v>
      </c>
      <c r="K88" s="13" t="s">
        <v>31</v>
      </c>
      <c r="L88" s="13" t="s">
        <v>31</v>
      </c>
      <c r="M88" s="13" t="s">
        <v>31</v>
      </c>
    </row>
    <row r="89" spans="1:13">
      <c r="A89" s="18" t="s">
        <v>5</v>
      </c>
      <c r="B89" s="19" t="s">
        <v>129</v>
      </c>
      <c r="C89" s="3"/>
      <c r="D89" s="11"/>
      <c r="E89" s="11"/>
      <c r="F89" s="11"/>
      <c r="G89" s="11"/>
      <c r="H89" s="11"/>
      <c r="I89" s="11"/>
      <c r="J89" s="11"/>
      <c r="K89" s="11"/>
      <c r="L89" s="11"/>
      <c r="M89" s="11"/>
    </row>
    <row r="90" spans="1:13">
      <c r="A90" s="12" t="s">
        <v>7</v>
      </c>
      <c r="B90" s="13" t="s">
        <v>131</v>
      </c>
      <c r="C90" s="4"/>
      <c r="D90" s="13"/>
      <c r="E90" s="13"/>
      <c r="F90" s="13"/>
      <c r="G90" s="13"/>
      <c r="H90" s="13"/>
      <c r="I90" s="13"/>
      <c r="J90" s="13"/>
      <c r="K90" s="13"/>
      <c r="L90" s="13"/>
      <c r="M90" s="13"/>
    </row>
    <row r="91" spans="1:13">
      <c r="A91" s="12" t="s">
        <v>9</v>
      </c>
      <c r="B91" s="13" t="s">
        <v>140</v>
      </c>
      <c r="C91" s="4"/>
      <c r="D91" s="13"/>
      <c r="E91" s="13"/>
      <c r="F91" s="13"/>
      <c r="G91" s="13"/>
      <c r="H91" s="13"/>
      <c r="I91" s="13"/>
      <c r="J91" s="13"/>
      <c r="K91" s="13"/>
      <c r="L91" s="13"/>
      <c r="M91" s="13"/>
    </row>
    <row r="92" spans="1:13" ht="29.1">
      <c r="A92" s="12" t="s">
        <v>11</v>
      </c>
      <c r="B92" s="14" t="s">
        <v>141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129</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134</v>
      </c>
      <c r="B100" s="13">
        <f>87.147*15</f>
        <v>1307.2050000000002</v>
      </c>
      <c r="C100" s="13" t="s">
        <v>37</v>
      </c>
      <c r="D100" s="13" t="s">
        <v>40</v>
      </c>
      <c r="E100" s="13" t="s">
        <v>29</v>
      </c>
      <c r="F100" s="13" t="s">
        <v>59</v>
      </c>
      <c r="G100" s="13" t="s">
        <v>33</v>
      </c>
      <c r="H100" s="13">
        <v>2</v>
      </c>
      <c r="I100" s="13">
        <f>LN(B100)</f>
        <v>7.1756465490678236</v>
      </c>
      <c r="J100" s="13">
        <v>0.30331501776206199</v>
      </c>
      <c r="K100" s="13" t="s">
        <v>31</v>
      </c>
      <c r="L100" s="13" t="s">
        <v>31</v>
      </c>
      <c r="M100" s="13" t="s">
        <v>31</v>
      </c>
    </row>
    <row r="101" spans="1:13">
      <c r="A101" s="12" t="s">
        <v>135</v>
      </c>
      <c r="B101" s="13">
        <f>87.147*14</f>
        <v>1220.058</v>
      </c>
      <c r="C101" s="13" t="s">
        <v>37</v>
      </c>
      <c r="D101" s="13" t="s">
        <v>40</v>
      </c>
      <c r="E101" s="13" t="s">
        <v>29</v>
      </c>
      <c r="F101" s="13" t="s">
        <v>82</v>
      </c>
      <c r="G101" s="13" t="s">
        <v>33</v>
      </c>
      <c r="H101" s="13">
        <v>2</v>
      </c>
      <c r="I101" s="13">
        <f>LN(B101)</f>
        <v>7.106653677580872</v>
      </c>
      <c r="J101" s="13">
        <v>0.30331501776206199</v>
      </c>
      <c r="K101" s="13" t="s">
        <v>31</v>
      </c>
      <c r="L101" s="13" t="s">
        <v>31</v>
      </c>
      <c r="M101" s="13" t="s">
        <v>31</v>
      </c>
    </row>
    <row r="102" spans="1:13">
      <c r="A102" s="12" t="s">
        <v>134</v>
      </c>
      <c r="B102" s="13">
        <f>87.147*14</f>
        <v>1220.058</v>
      </c>
      <c r="C102" s="13" t="s">
        <v>37</v>
      </c>
      <c r="D102" s="13" t="s">
        <v>40</v>
      </c>
      <c r="E102" s="13" t="s">
        <v>29</v>
      </c>
      <c r="F102" s="13" t="s">
        <v>59</v>
      </c>
      <c r="G102" s="13" t="s">
        <v>136</v>
      </c>
      <c r="H102" s="13">
        <v>2</v>
      </c>
      <c r="I102" s="13">
        <f>LN(B102)</f>
        <v>7.106653677580872</v>
      </c>
      <c r="J102" s="13">
        <v>0.30331501776206199</v>
      </c>
      <c r="K102" s="13" t="s">
        <v>31</v>
      </c>
      <c r="L102" s="13" t="s">
        <v>31</v>
      </c>
      <c r="M102" s="13" t="s">
        <v>31</v>
      </c>
    </row>
    <row r="103" spans="1:13">
      <c r="A103" s="12" t="s">
        <v>85</v>
      </c>
      <c r="B103" s="13">
        <f>43.573*15</f>
        <v>653.59500000000003</v>
      </c>
      <c r="C103" s="13" t="s">
        <v>37</v>
      </c>
      <c r="D103" s="13" t="s">
        <v>40</v>
      </c>
      <c r="E103" s="13" t="s">
        <v>29</v>
      </c>
      <c r="F103" s="13" t="s">
        <v>59</v>
      </c>
      <c r="G103" s="13" t="s">
        <v>33</v>
      </c>
      <c r="H103" s="13">
        <v>2</v>
      </c>
      <c r="I103" s="13">
        <f t="shared" ref="I103:I105" si="1">LN(B103)</f>
        <v>6.4824878935777317</v>
      </c>
      <c r="J103" s="13">
        <v>0.30331501776206199</v>
      </c>
      <c r="K103" s="13" t="s">
        <v>31</v>
      </c>
      <c r="L103" s="13" t="s">
        <v>31</v>
      </c>
      <c r="M103" s="13" t="s">
        <v>31</v>
      </c>
    </row>
    <row r="104" spans="1:13">
      <c r="A104" s="12" t="s">
        <v>142</v>
      </c>
      <c r="B104" s="13">
        <f>43.573*14</f>
        <v>610.02200000000005</v>
      </c>
      <c r="C104" s="13" t="s">
        <v>37</v>
      </c>
      <c r="D104" s="13" t="s">
        <v>40</v>
      </c>
      <c r="E104" s="13" t="s">
        <v>29</v>
      </c>
      <c r="F104" s="13" t="s">
        <v>35</v>
      </c>
      <c r="G104" s="13" t="s">
        <v>33</v>
      </c>
      <c r="H104" s="13">
        <v>2</v>
      </c>
      <c r="I104" s="13">
        <f t="shared" si="1"/>
        <v>6.41349502209078</v>
      </c>
      <c r="J104" s="13">
        <v>0.30331501776206199</v>
      </c>
      <c r="K104" s="13" t="s">
        <v>31</v>
      </c>
      <c r="L104" s="13" t="s">
        <v>31</v>
      </c>
      <c r="M104" s="13" t="s">
        <v>31</v>
      </c>
    </row>
    <row r="105" spans="1:13">
      <c r="A105" s="12" t="s">
        <v>85</v>
      </c>
      <c r="B105" s="13">
        <f>43.573*14</f>
        <v>610.02200000000005</v>
      </c>
      <c r="C105" s="13" t="s">
        <v>37</v>
      </c>
      <c r="D105" s="13" t="s">
        <v>40</v>
      </c>
      <c r="E105" s="13" t="s">
        <v>29</v>
      </c>
      <c r="F105" s="13" t="s">
        <v>59</v>
      </c>
      <c r="G105" s="13" t="s">
        <v>136</v>
      </c>
      <c r="H105" s="13">
        <v>2</v>
      </c>
      <c r="I105" s="13">
        <f t="shared" si="1"/>
        <v>6.41349502209078</v>
      </c>
      <c r="J105" s="13">
        <v>0.30331501776206199</v>
      </c>
      <c r="K105" s="13" t="s">
        <v>31</v>
      </c>
      <c r="L105" s="13" t="s">
        <v>31</v>
      </c>
      <c r="M105" s="13" t="s">
        <v>31</v>
      </c>
    </row>
    <row r="106" spans="1:13">
      <c r="A106" s="18" t="s">
        <v>5</v>
      </c>
      <c r="B106" s="19" t="s">
        <v>130</v>
      </c>
      <c r="C106" s="3"/>
      <c r="D106" s="11"/>
      <c r="E106" s="11"/>
      <c r="F106" s="11"/>
      <c r="G106" s="11"/>
      <c r="H106" s="11"/>
      <c r="I106" s="11"/>
      <c r="J106" s="11"/>
      <c r="K106" s="11"/>
      <c r="L106" s="11"/>
      <c r="M106" s="11"/>
    </row>
    <row r="107" spans="1:13">
      <c r="A107" s="12" t="s">
        <v>7</v>
      </c>
      <c r="B107" s="13" t="s">
        <v>131</v>
      </c>
      <c r="C107" s="4"/>
      <c r="D107" s="13"/>
      <c r="E107" s="13"/>
      <c r="F107" s="13"/>
      <c r="G107" s="13"/>
      <c r="H107" s="13"/>
      <c r="I107" s="13"/>
      <c r="J107" s="13"/>
      <c r="K107" s="13"/>
      <c r="L107" s="13"/>
      <c r="M107" s="13"/>
    </row>
    <row r="108" spans="1:13">
      <c r="A108" s="12" t="s">
        <v>9</v>
      </c>
      <c r="B108" s="13" t="s">
        <v>143</v>
      </c>
      <c r="C108" s="4"/>
      <c r="D108" s="13"/>
      <c r="E108" s="13"/>
      <c r="F108" s="13"/>
      <c r="G108" s="13"/>
      <c r="H108" s="13"/>
      <c r="I108" s="13"/>
      <c r="J108" s="13"/>
      <c r="K108" s="13"/>
      <c r="L108" s="13"/>
      <c r="M108" s="13"/>
    </row>
    <row r="109" spans="1:13" ht="29.1">
      <c r="A109" s="12" t="s">
        <v>11</v>
      </c>
      <c r="B109" s="14" t="s">
        <v>144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130</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85</v>
      </c>
      <c r="B117" s="13">
        <f>96.32*15</f>
        <v>1444.8</v>
      </c>
      <c r="C117" s="13" t="s">
        <v>37</v>
      </c>
      <c r="D117" s="13" t="s">
        <v>40</v>
      </c>
      <c r="E117" s="13" t="s">
        <v>29</v>
      </c>
      <c r="F117" s="13" t="s">
        <v>59</v>
      </c>
      <c r="G117" s="13" t="s">
        <v>33</v>
      </c>
      <c r="H117" s="13">
        <v>2</v>
      </c>
      <c r="I117" s="13">
        <f>LN(B117)</f>
        <v>7.2757261826627211</v>
      </c>
      <c r="J117" s="13">
        <v>0.30331501776206199</v>
      </c>
      <c r="K117" s="13" t="s">
        <v>31</v>
      </c>
      <c r="L117" s="13" t="s">
        <v>31</v>
      </c>
      <c r="M117" s="13" t="s">
        <v>31</v>
      </c>
    </row>
    <row r="118" spans="1:13">
      <c r="A118" s="12" t="s">
        <v>142</v>
      </c>
      <c r="B118" s="13">
        <f>96.32*14</f>
        <v>1348.48</v>
      </c>
      <c r="C118" s="13" t="s">
        <v>37</v>
      </c>
      <c r="D118" s="13" t="s">
        <v>40</v>
      </c>
      <c r="E118" s="13" t="s">
        <v>29</v>
      </c>
      <c r="F118" s="13" t="s">
        <v>35</v>
      </c>
      <c r="G118" s="13" t="s">
        <v>33</v>
      </c>
      <c r="H118" s="13">
        <v>2</v>
      </c>
      <c r="I118" s="13">
        <f>LN(B118)</f>
        <v>7.2067333111757694</v>
      </c>
      <c r="J118" s="13">
        <v>0.30331501776206199</v>
      </c>
      <c r="K118" s="13" t="s">
        <v>31</v>
      </c>
      <c r="L118" s="13" t="s">
        <v>31</v>
      </c>
      <c r="M118" s="13" t="s">
        <v>31</v>
      </c>
    </row>
    <row r="119" spans="1:13">
      <c r="A119" s="12" t="s">
        <v>85</v>
      </c>
      <c r="B119" s="13">
        <f>96.32*14</f>
        <v>1348.48</v>
      </c>
      <c r="C119" s="13" t="s">
        <v>37</v>
      </c>
      <c r="D119" s="13" t="s">
        <v>40</v>
      </c>
      <c r="E119" s="13" t="s">
        <v>29</v>
      </c>
      <c r="F119" s="13" t="s">
        <v>59</v>
      </c>
      <c r="G119" s="13" t="s">
        <v>136</v>
      </c>
      <c r="H119" s="13">
        <v>2</v>
      </c>
      <c r="I119" s="13">
        <f>LN(B119)</f>
        <v>7.2067333111757694</v>
      </c>
      <c r="J119" s="13">
        <v>0.30331501776206199</v>
      </c>
      <c r="K119" s="13" t="s">
        <v>31</v>
      </c>
      <c r="L119" s="13" t="s">
        <v>31</v>
      </c>
      <c r="M119" s="13" t="s">
        <v>31</v>
      </c>
    </row>
    <row r="120" spans="1:13">
      <c r="A120" s="12" t="s">
        <v>134</v>
      </c>
      <c r="B120" s="13">
        <f>96.32*15</f>
        <v>1444.8</v>
      </c>
      <c r="C120" s="13" t="s">
        <v>37</v>
      </c>
      <c r="D120" s="13" t="s">
        <v>40</v>
      </c>
      <c r="E120" s="13" t="s">
        <v>29</v>
      </c>
      <c r="F120" s="13" t="s">
        <v>59</v>
      </c>
      <c r="G120" s="13" t="s">
        <v>33</v>
      </c>
      <c r="H120" s="13">
        <v>2</v>
      </c>
      <c r="I120" s="13">
        <f t="shared" ref="I120:I124" si="2">LN(B120)</f>
        <v>7.2757261826627211</v>
      </c>
      <c r="J120" s="13">
        <v>0.30331501776206199</v>
      </c>
      <c r="K120" s="13" t="s">
        <v>31</v>
      </c>
      <c r="L120" s="13" t="s">
        <v>31</v>
      </c>
      <c r="M120" s="13" t="s">
        <v>31</v>
      </c>
    </row>
    <row r="121" spans="1:13">
      <c r="A121" s="12" t="s">
        <v>135</v>
      </c>
      <c r="B121" s="13">
        <f>96.32*14</f>
        <v>1348.48</v>
      </c>
      <c r="C121" s="13" t="s">
        <v>37</v>
      </c>
      <c r="D121" s="13" t="s">
        <v>40</v>
      </c>
      <c r="E121" s="13" t="s">
        <v>29</v>
      </c>
      <c r="F121" s="13" t="s">
        <v>82</v>
      </c>
      <c r="G121" s="13" t="s">
        <v>33</v>
      </c>
      <c r="H121" s="13">
        <v>2</v>
      </c>
      <c r="I121" s="13">
        <f t="shared" si="2"/>
        <v>7.2067333111757694</v>
      </c>
      <c r="J121" s="13">
        <v>0.30331501776206199</v>
      </c>
      <c r="K121" s="13" t="s">
        <v>31</v>
      </c>
      <c r="L121" s="13" t="s">
        <v>31</v>
      </c>
      <c r="M121" s="13" t="s">
        <v>31</v>
      </c>
    </row>
    <row r="122" spans="1:13">
      <c r="A122" s="12" t="s">
        <v>134</v>
      </c>
      <c r="B122" s="13">
        <f>96.32*14</f>
        <v>1348.48</v>
      </c>
      <c r="C122" s="13" t="s">
        <v>37</v>
      </c>
      <c r="D122" s="13" t="s">
        <v>40</v>
      </c>
      <c r="E122" s="13" t="s">
        <v>29</v>
      </c>
      <c r="F122" s="13" t="s">
        <v>59</v>
      </c>
      <c r="G122" s="13" t="s">
        <v>136</v>
      </c>
      <c r="H122" s="13">
        <v>2</v>
      </c>
      <c r="I122" s="13">
        <f t="shared" si="2"/>
        <v>7.2067333111757694</v>
      </c>
      <c r="J122" s="13">
        <v>0.30331501776206199</v>
      </c>
      <c r="K122" s="13" t="s">
        <v>31</v>
      </c>
      <c r="L122" s="13" t="s">
        <v>31</v>
      </c>
      <c r="M122" s="13" t="s">
        <v>31</v>
      </c>
    </row>
    <row r="123" spans="1:13">
      <c r="A123" s="12" t="s">
        <v>145</v>
      </c>
      <c r="B123" s="13">
        <f>48.16*15</f>
        <v>722.4</v>
      </c>
      <c r="C123" s="13" t="s">
        <v>37</v>
      </c>
      <c r="D123" s="13" t="s">
        <v>40</v>
      </c>
      <c r="E123" s="13" t="s">
        <v>29</v>
      </c>
      <c r="F123" s="13" t="s">
        <v>59</v>
      </c>
      <c r="G123" s="13" t="s">
        <v>33</v>
      </c>
      <c r="H123" s="13">
        <v>2</v>
      </c>
      <c r="I123" s="13">
        <f t="shared" si="2"/>
        <v>6.5825790021027757</v>
      </c>
      <c r="J123" s="13">
        <v>0.30331501776206199</v>
      </c>
      <c r="K123" s="13" t="s">
        <v>31</v>
      </c>
      <c r="L123" s="13" t="s">
        <v>31</v>
      </c>
      <c r="M123" s="13" t="s">
        <v>31</v>
      </c>
    </row>
    <row r="124" spans="1:13">
      <c r="A124" s="12" t="s">
        <v>146</v>
      </c>
      <c r="B124" s="13">
        <f>48.16*14</f>
        <v>674.24</v>
      </c>
      <c r="C124" s="13" t="s">
        <v>37</v>
      </c>
      <c r="D124" s="13" t="s">
        <v>40</v>
      </c>
      <c r="E124" s="13" t="s">
        <v>29</v>
      </c>
      <c r="F124" s="13" t="s">
        <v>82</v>
      </c>
      <c r="G124" s="13" t="s">
        <v>33</v>
      </c>
      <c r="H124" s="13">
        <v>2</v>
      </c>
      <c r="I124" s="13">
        <f t="shared" si="2"/>
        <v>6.513586130615824</v>
      </c>
      <c r="J124" s="13">
        <v>0.30331501776206199</v>
      </c>
      <c r="K124" s="13" t="s">
        <v>31</v>
      </c>
      <c r="L124" s="13" t="s">
        <v>31</v>
      </c>
      <c r="M124" s="13" t="s">
        <v>31</v>
      </c>
    </row>
    <row r="125" spans="1:13">
      <c r="A125" s="18" t="s">
        <v>5</v>
      </c>
      <c r="B125" s="19" t="s">
        <v>115</v>
      </c>
      <c r="C125" s="3"/>
      <c r="D125" s="11"/>
      <c r="E125" s="11"/>
      <c r="F125" s="11"/>
      <c r="G125" s="11"/>
      <c r="H125" s="11"/>
      <c r="I125" s="11"/>
      <c r="J125" s="11"/>
      <c r="K125" s="11"/>
      <c r="L125" s="11"/>
      <c r="M125" s="11"/>
    </row>
    <row r="126" spans="1:13">
      <c r="A126" s="12" t="s">
        <v>7</v>
      </c>
      <c r="B126" s="13" t="s">
        <v>131</v>
      </c>
      <c r="C126" s="4"/>
      <c r="D126" s="13"/>
      <c r="E126" s="13"/>
      <c r="F126" s="13"/>
      <c r="G126" s="13"/>
      <c r="H126" s="13"/>
      <c r="I126" s="13"/>
      <c r="J126" s="13"/>
      <c r="K126" s="13"/>
      <c r="L126" s="13"/>
      <c r="M126" s="13"/>
    </row>
    <row r="127" spans="1:13">
      <c r="A127" s="12" t="s">
        <v>9</v>
      </c>
      <c r="B127" s="13" t="s">
        <v>147</v>
      </c>
      <c r="C127" s="4"/>
      <c r="D127" s="13"/>
      <c r="E127" s="13"/>
      <c r="F127" s="13"/>
      <c r="G127" s="13"/>
      <c r="H127" s="13"/>
      <c r="I127" s="13"/>
      <c r="J127" s="13"/>
      <c r="K127" s="13"/>
      <c r="L127" s="13"/>
      <c r="M127" s="13"/>
    </row>
    <row r="128" spans="1:13" ht="29.1">
      <c r="A128" s="12" t="s">
        <v>11</v>
      </c>
      <c r="B128" s="14" t="s">
        <v>148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115</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124</v>
      </c>
      <c r="B136" s="13">
        <v>471.2</v>
      </c>
      <c r="C136" s="13" t="s">
        <v>37</v>
      </c>
      <c r="D136" s="13" t="s">
        <v>40</v>
      </c>
      <c r="E136" s="13" t="s">
        <v>29</v>
      </c>
      <c r="F136" s="13" t="s">
        <v>59</v>
      </c>
      <c r="G136" s="13" t="s">
        <v>33</v>
      </c>
      <c r="H136" s="13">
        <v>2</v>
      </c>
      <c r="I136" s="13">
        <f>LN(B136)</f>
        <v>6.1552826323373768</v>
      </c>
      <c r="J136" s="13">
        <v>0.24083189157584584</v>
      </c>
      <c r="K136" s="13" t="s">
        <v>31</v>
      </c>
      <c r="L136" s="13" t="s">
        <v>31</v>
      </c>
      <c r="M136" s="13" t="s">
        <v>31</v>
      </c>
    </row>
    <row r="137" spans="1:13">
      <c r="A137" s="18" t="s">
        <v>5</v>
      </c>
      <c r="B137" s="19" t="s">
        <v>116</v>
      </c>
      <c r="C137" s="3"/>
      <c r="D137" s="11"/>
      <c r="E137" s="11"/>
      <c r="F137" s="11"/>
      <c r="G137" s="11"/>
      <c r="H137" s="11"/>
      <c r="I137" s="11"/>
      <c r="J137" s="11"/>
      <c r="K137" s="11"/>
      <c r="L137" s="11"/>
      <c r="M137" s="11"/>
    </row>
    <row r="138" spans="1:13">
      <c r="A138" s="12" t="s">
        <v>7</v>
      </c>
      <c r="B138" s="13" t="s">
        <v>131</v>
      </c>
      <c r="C138" s="4"/>
      <c r="D138" s="13"/>
      <c r="E138" s="13"/>
      <c r="F138" s="13"/>
      <c r="G138" s="13"/>
      <c r="H138" s="13"/>
      <c r="I138" s="13"/>
      <c r="J138" s="13"/>
      <c r="K138" s="13"/>
      <c r="L138" s="13"/>
      <c r="M138" s="13"/>
    </row>
    <row r="139" spans="1:13">
      <c r="A139" s="12" t="s">
        <v>9</v>
      </c>
      <c r="B139" s="13" t="s">
        <v>149</v>
      </c>
      <c r="C139" s="4"/>
      <c r="D139" s="13"/>
      <c r="E139" s="13"/>
      <c r="F139" s="13"/>
      <c r="G139" s="13"/>
      <c r="H139" s="13"/>
      <c r="I139" s="13"/>
      <c r="J139" s="13"/>
      <c r="K139" s="13"/>
      <c r="L139" s="13"/>
      <c r="M139" s="13"/>
    </row>
    <row r="140" spans="1:13" ht="29.1">
      <c r="A140" s="12" t="s">
        <v>11</v>
      </c>
      <c r="B140" s="14" t="s">
        <v>150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85</v>
      </c>
      <c r="B147" s="13">
        <f>110.918*10</f>
        <v>1109.18</v>
      </c>
      <c r="C147" s="13" t="s">
        <v>37</v>
      </c>
      <c r="D147" s="13" t="s">
        <v>40</v>
      </c>
      <c r="E147" s="13" t="s">
        <v>29</v>
      </c>
      <c r="F147" s="13" t="s">
        <v>59</v>
      </c>
      <c r="G147" s="13" t="s">
        <v>33</v>
      </c>
      <c r="H147" s="13">
        <v>2</v>
      </c>
      <c r="I147" s="13">
        <f t="shared" ref="I147:I158" si="3">LN(B147)</f>
        <v>7.0113762825657195</v>
      </c>
      <c r="J147" s="13">
        <v>0.30331501776206199</v>
      </c>
      <c r="K147" s="13" t="s">
        <v>31</v>
      </c>
      <c r="L147" s="13" t="s">
        <v>31</v>
      </c>
      <c r="M147" s="13" t="s">
        <v>31</v>
      </c>
    </row>
    <row r="148" spans="1:13">
      <c r="A148" s="12" t="s">
        <v>142</v>
      </c>
      <c r="B148" s="13">
        <f>110.918*9</f>
        <v>998.26200000000006</v>
      </c>
      <c r="C148" s="13" t="s">
        <v>37</v>
      </c>
      <c r="D148" s="13" t="s">
        <v>40</v>
      </c>
      <c r="E148" s="13" t="s">
        <v>29</v>
      </c>
      <c r="F148" s="13" t="s">
        <v>35</v>
      </c>
      <c r="G148" s="13" t="s">
        <v>33</v>
      </c>
      <c r="H148" s="13">
        <v>2</v>
      </c>
      <c r="I148" s="13">
        <f t="shared" si="3"/>
        <v>6.9060157669078928</v>
      </c>
      <c r="J148" s="13">
        <v>0.30331501776206199</v>
      </c>
      <c r="K148" s="13" t="s">
        <v>31</v>
      </c>
      <c r="L148" s="13" t="s">
        <v>31</v>
      </c>
      <c r="M148" s="13" t="s">
        <v>31</v>
      </c>
    </row>
    <row r="149" spans="1:13">
      <c r="A149" s="12" t="s">
        <v>85</v>
      </c>
      <c r="B149" s="13">
        <f>110.918*9</f>
        <v>998.26200000000006</v>
      </c>
      <c r="C149" s="13" t="s">
        <v>37</v>
      </c>
      <c r="D149" s="13" t="s">
        <v>40</v>
      </c>
      <c r="E149" s="13" t="s">
        <v>29</v>
      </c>
      <c r="F149" s="13" t="s">
        <v>59</v>
      </c>
      <c r="G149" s="13" t="s">
        <v>136</v>
      </c>
      <c r="H149" s="13">
        <v>2</v>
      </c>
      <c r="I149" s="13">
        <f t="shared" si="3"/>
        <v>6.9060157669078928</v>
      </c>
      <c r="J149" s="13">
        <v>0.30331501776206199</v>
      </c>
      <c r="K149" s="13" t="s">
        <v>31</v>
      </c>
      <c r="L149" s="13" t="s">
        <v>31</v>
      </c>
      <c r="M149" s="13" t="s">
        <v>31</v>
      </c>
    </row>
    <row r="150" spans="1:13">
      <c r="A150" s="12" t="s">
        <v>88</v>
      </c>
      <c r="B150" s="13">
        <f>15.527*2.2</f>
        <v>34.159399999999998</v>
      </c>
      <c r="C150" s="13" t="s">
        <v>37</v>
      </c>
      <c r="D150" s="13" t="s">
        <v>40</v>
      </c>
      <c r="E150" s="13" t="s">
        <v>29</v>
      </c>
      <c r="F150" s="13" t="s">
        <v>59</v>
      </c>
      <c r="G150" s="13" t="s">
        <v>33</v>
      </c>
      <c r="H150" s="13">
        <v>2</v>
      </c>
      <c r="I150" s="13">
        <f t="shared" si="3"/>
        <v>3.5310378043633026</v>
      </c>
      <c r="J150" s="13">
        <v>0.30331501776206199</v>
      </c>
      <c r="K150" s="13" t="s">
        <v>31</v>
      </c>
      <c r="L150" s="13" t="s">
        <v>31</v>
      </c>
      <c r="M150" s="13" t="s">
        <v>31</v>
      </c>
    </row>
    <row r="151" spans="1:13">
      <c r="A151" s="12" t="s">
        <v>135</v>
      </c>
      <c r="B151" s="13">
        <f>15.527*(2.2-1)</f>
        <v>18.632400000000001</v>
      </c>
      <c r="C151" s="13" t="s">
        <v>37</v>
      </c>
      <c r="D151" s="13" t="s">
        <v>40</v>
      </c>
      <c r="E151" s="13" t="s">
        <v>29</v>
      </c>
      <c r="F151" s="13" t="s">
        <v>82</v>
      </c>
      <c r="G151" s="13" t="s">
        <v>33</v>
      </c>
      <c r="H151" s="13">
        <v>2</v>
      </c>
      <c r="I151" s="13">
        <v>7.1283395581514224</v>
      </c>
      <c r="J151" s="13">
        <v>0.30331501776206199</v>
      </c>
      <c r="K151" s="13" t="s">
        <v>31</v>
      </c>
      <c r="L151" s="13" t="s">
        <v>31</v>
      </c>
      <c r="M151" s="13" t="s">
        <v>31</v>
      </c>
    </row>
    <row r="152" spans="1:13">
      <c r="A152" s="12" t="s">
        <v>88</v>
      </c>
      <c r="B152" s="13">
        <f>15.527*(2.2-1)</f>
        <v>18.632400000000001</v>
      </c>
      <c r="C152" s="13" t="s">
        <v>37</v>
      </c>
      <c r="D152" s="13" t="s">
        <v>40</v>
      </c>
      <c r="E152" s="13" t="s">
        <v>29</v>
      </c>
      <c r="F152" s="13" t="s">
        <v>59</v>
      </c>
      <c r="G152" s="13" t="s">
        <v>136</v>
      </c>
      <c r="H152" s="13">
        <v>2</v>
      </c>
      <c r="I152" s="13">
        <f t="shared" si="3"/>
        <v>2.9249020007929873</v>
      </c>
      <c r="J152" s="13">
        <v>0.30331501776206199</v>
      </c>
      <c r="K152" s="13" t="s">
        <v>31</v>
      </c>
      <c r="L152" s="13" t="s">
        <v>31</v>
      </c>
      <c r="M152" s="13" t="s">
        <v>31</v>
      </c>
    </row>
    <row r="153" spans="1:13">
      <c r="A153" s="12" t="s">
        <v>151</v>
      </c>
      <c r="B153" s="13">
        <f>7.337*1.2</f>
        <v>8.8043999999999993</v>
      </c>
      <c r="C153" s="13" t="s">
        <v>37</v>
      </c>
      <c r="D153" s="13" t="s">
        <v>40</v>
      </c>
      <c r="E153" s="13" t="s">
        <v>29</v>
      </c>
      <c r="F153" s="13" t="s">
        <v>59</v>
      </c>
      <c r="G153" s="13" t="s">
        <v>33</v>
      </c>
      <c r="H153" s="13">
        <v>2</v>
      </c>
      <c r="I153" s="13">
        <f t="shared" si="3"/>
        <v>2.1752515965258117</v>
      </c>
      <c r="J153" s="13">
        <v>0.30331501776206199</v>
      </c>
      <c r="K153" s="13" t="s">
        <v>31</v>
      </c>
      <c r="L153" s="13" t="s">
        <v>31</v>
      </c>
      <c r="M153" s="13" t="s">
        <v>31</v>
      </c>
    </row>
    <row r="154" spans="1:13">
      <c r="A154" s="12" t="s">
        <v>135</v>
      </c>
      <c r="B154" s="13">
        <f>7.337*(1.2-1)</f>
        <v>1.4673999999999996</v>
      </c>
      <c r="C154" s="13" t="s">
        <v>37</v>
      </c>
      <c r="D154" s="13" t="s">
        <v>40</v>
      </c>
      <c r="E154" s="13" t="s">
        <v>29</v>
      </c>
      <c r="F154" s="13" t="s">
        <v>82</v>
      </c>
      <c r="G154" s="13" t="s">
        <v>33</v>
      </c>
      <c r="H154" s="13">
        <v>2</v>
      </c>
      <c r="I154" s="13">
        <v>7.1283395581514224</v>
      </c>
      <c r="J154" s="13">
        <v>0.30331501776206199</v>
      </c>
      <c r="K154" s="13" t="s">
        <v>31</v>
      </c>
      <c r="L154" s="13" t="s">
        <v>31</v>
      </c>
      <c r="M154" s="13" t="s">
        <v>31</v>
      </c>
    </row>
    <row r="155" spans="1:13">
      <c r="A155" s="12" t="s">
        <v>151</v>
      </c>
      <c r="B155" s="13">
        <f>7.337*(1.2-1)</f>
        <v>1.4673999999999996</v>
      </c>
      <c r="C155" s="13" t="s">
        <v>37</v>
      </c>
      <c r="D155" s="13" t="s">
        <v>40</v>
      </c>
      <c r="E155" s="13" t="s">
        <v>29</v>
      </c>
      <c r="F155" s="13" t="s">
        <v>59</v>
      </c>
      <c r="G155" s="13" t="s">
        <v>136</v>
      </c>
      <c r="H155" s="13">
        <v>2</v>
      </c>
      <c r="I155" s="13">
        <f t="shared" si="3"/>
        <v>0.38349212729775656</v>
      </c>
      <c r="J155" s="13">
        <v>0.30331501776206199</v>
      </c>
      <c r="K155" s="13" t="s">
        <v>31</v>
      </c>
      <c r="L155" s="13" t="s">
        <v>31</v>
      </c>
      <c r="M155" s="13" t="s">
        <v>31</v>
      </c>
    </row>
    <row r="156" spans="1:13">
      <c r="A156" s="12" t="s">
        <v>152</v>
      </c>
      <c r="B156" s="13">
        <f>47.819*2.2</f>
        <v>105.20180000000002</v>
      </c>
      <c r="C156" s="13" t="s">
        <v>37</v>
      </c>
      <c r="D156" s="13" t="s">
        <v>40</v>
      </c>
      <c r="E156" s="13" t="s">
        <v>29</v>
      </c>
      <c r="F156" s="13" t="s">
        <v>59</v>
      </c>
      <c r="G156" s="13" t="s">
        <v>33</v>
      </c>
      <c r="H156" s="13">
        <v>2</v>
      </c>
      <c r="I156" s="13">
        <f t="shared" si="3"/>
        <v>4.6558804104233902</v>
      </c>
      <c r="J156" s="13">
        <v>0.30331501776206199</v>
      </c>
      <c r="K156" s="13" t="s">
        <v>31</v>
      </c>
      <c r="L156" s="13" t="s">
        <v>31</v>
      </c>
      <c r="M156" s="13" t="s">
        <v>31</v>
      </c>
    </row>
    <row r="157" spans="1:13">
      <c r="A157" s="12" t="s">
        <v>135</v>
      </c>
      <c r="B157" s="13">
        <f>47.819*(2.2-1)</f>
        <v>57.38280000000001</v>
      </c>
      <c r="C157" s="13" t="s">
        <v>37</v>
      </c>
      <c r="D157" s="13" t="s">
        <v>40</v>
      </c>
      <c r="E157" s="13" t="s">
        <v>29</v>
      </c>
      <c r="F157" s="13" t="s">
        <v>82</v>
      </c>
      <c r="G157" s="13" t="s">
        <v>33</v>
      </c>
      <c r="H157" s="13">
        <v>2</v>
      </c>
      <c r="I157" s="13">
        <v>7.1283395581514224</v>
      </c>
      <c r="J157" s="13">
        <v>0.30331501776206199</v>
      </c>
      <c r="K157" s="13" t="s">
        <v>31</v>
      </c>
      <c r="L157" s="13" t="s">
        <v>31</v>
      </c>
      <c r="M157" s="13" t="s">
        <v>31</v>
      </c>
    </row>
    <row r="158" spans="1:13">
      <c r="A158" s="12" t="s">
        <v>152</v>
      </c>
      <c r="B158" s="13">
        <f>47.819*(2.2-1)</f>
        <v>57.38280000000001</v>
      </c>
      <c r="C158" s="13" t="s">
        <v>37</v>
      </c>
      <c r="D158" s="13" t="s">
        <v>40</v>
      </c>
      <c r="E158" s="13" t="s">
        <v>29</v>
      </c>
      <c r="F158" s="13" t="s">
        <v>59</v>
      </c>
      <c r="G158" s="13" t="s">
        <v>136</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0850E-1A0C-4667-B52B-1A0DF48AF82C}">
  <sheetPr>
    <tabColor theme="7"/>
  </sheetPr>
  <dimension ref="A1:U363"/>
  <sheetViews>
    <sheetView zoomScale="85" zoomScaleNormal="85" workbookViewId="0">
      <selection activeCell="H21" sqref="H21"/>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1117</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1148</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2</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1117</v>
      </c>
      <c r="B12" s="188">
        <f>'2C. N-ISOLATING DCDC CONVERTER'!B16</f>
        <v>2</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1149</v>
      </c>
      <c r="B13" s="188">
        <v>1</v>
      </c>
      <c r="C13" s="188" t="s">
        <v>18</v>
      </c>
      <c r="D13" s="386" t="s">
        <v>2</v>
      </c>
      <c r="E13" s="188" t="s">
        <v>29</v>
      </c>
      <c r="F13" s="37" t="s">
        <v>14</v>
      </c>
      <c r="G13" s="188" t="s">
        <v>33</v>
      </c>
      <c r="H13" s="188">
        <v>1</v>
      </c>
      <c r="I13" s="188">
        <f>B13</f>
        <v>1</v>
      </c>
      <c r="J13" s="188" t="s">
        <v>31</v>
      </c>
      <c r="K13" s="188" t="s">
        <v>31</v>
      </c>
      <c r="L13" s="188" t="s">
        <v>31</v>
      </c>
      <c r="M13" s="188" t="s">
        <v>31</v>
      </c>
      <c r="N13" s="188"/>
      <c r="O13" s="188"/>
      <c r="P13" s="188"/>
      <c r="Q13" s="188"/>
      <c r="R13" s="188"/>
      <c r="S13" s="188"/>
      <c r="T13" s="188"/>
      <c r="U13" s="188"/>
    </row>
    <row r="14" spans="1:21">
      <c r="A14" s="188" t="s">
        <v>1150</v>
      </c>
      <c r="B14" s="188">
        <v>1</v>
      </c>
      <c r="C14" s="188" t="s">
        <v>18</v>
      </c>
      <c r="D14" s="386" t="s">
        <v>2</v>
      </c>
      <c r="E14" s="188" t="s">
        <v>29</v>
      </c>
      <c r="F14" s="37" t="s">
        <v>14</v>
      </c>
      <c r="G14" s="188" t="s">
        <v>33</v>
      </c>
      <c r="H14" s="188">
        <v>1</v>
      </c>
      <c r="I14" s="188">
        <f>B14</f>
        <v>1</v>
      </c>
      <c r="J14" s="188" t="s">
        <v>31</v>
      </c>
      <c r="K14" s="188" t="s">
        <v>31</v>
      </c>
      <c r="L14" s="188" t="s">
        <v>31</v>
      </c>
      <c r="M14" s="188" t="s">
        <v>31</v>
      </c>
      <c r="N14" s="188"/>
      <c r="O14" s="188"/>
      <c r="P14" s="188"/>
      <c r="Q14" s="188"/>
      <c r="R14" s="188"/>
      <c r="S14" s="188"/>
      <c r="T14" s="188"/>
      <c r="U14" s="188"/>
    </row>
    <row r="15" spans="1:21">
      <c r="A15" s="84" t="s">
        <v>179</v>
      </c>
      <c r="B15" s="370">
        <f>R15</f>
        <v>1.9000000000000001E-4</v>
      </c>
      <c r="C15" s="188" t="s">
        <v>37</v>
      </c>
      <c r="D15" s="188" t="s">
        <v>40</v>
      </c>
      <c r="E15" s="188" t="s">
        <v>29</v>
      </c>
      <c r="F15" s="37" t="s">
        <v>35</v>
      </c>
      <c r="G15" s="188" t="s">
        <v>33</v>
      </c>
      <c r="H15" s="188">
        <v>2</v>
      </c>
      <c r="I15" s="188">
        <f>LN(B15)</f>
        <v>-8.5684864858037884</v>
      </c>
      <c r="J15" s="188">
        <v>2.8722813232690055E-2</v>
      </c>
      <c r="K15" s="188" t="s">
        <v>31</v>
      </c>
      <c r="L15" s="188" t="s">
        <v>31</v>
      </c>
      <c r="M15" s="188" t="s">
        <v>31</v>
      </c>
      <c r="N15" s="188"/>
      <c r="O15" s="361" t="s">
        <v>857</v>
      </c>
      <c r="P15" s="107">
        <v>0.19</v>
      </c>
      <c r="Q15" s="188" t="s">
        <v>275</v>
      </c>
      <c r="R15" s="370">
        <f>P15*0.001</f>
        <v>1.9000000000000001E-4</v>
      </c>
      <c r="S15" s="188"/>
      <c r="T15" s="188"/>
      <c r="U15" s="188"/>
    </row>
    <row r="16" spans="1:21">
      <c r="A16" s="347" t="s">
        <v>5</v>
      </c>
      <c r="B16" s="348" t="s">
        <v>1150</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1151</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1150</v>
      </c>
      <c r="B26" s="188">
        <v>1</v>
      </c>
      <c r="C26" s="188" t="s">
        <v>18</v>
      </c>
      <c r="D26" s="386" t="s">
        <v>2</v>
      </c>
      <c r="E26" s="188" t="s">
        <v>29</v>
      </c>
      <c r="F26" s="37" t="s">
        <v>14</v>
      </c>
      <c r="G26" s="188" t="s">
        <v>30</v>
      </c>
      <c r="H26" s="188">
        <v>1</v>
      </c>
      <c r="I26" s="188">
        <f>B26</f>
        <v>1</v>
      </c>
      <c r="J26" s="188" t="s">
        <v>31</v>
      </c>
      <c r="K26" s="188" t="s">
        <v>31</v>
      </c>
      <c r="L26" s="188" t="s">
        <v>31</v>
      </c>
      <c r="M26" s="188" t="s">
        <v>31</v>
      </c>
      <c r="N26" s="188"/>
      <c r="O26" s="188"/>
      <c r="P26" s="188"/>
      <c r="Q26" s="188"/>
      <c r="R26" s="188"/>
      <c r="S26" s="188"/>
      <c r="T26" s="188"/>
      <c r="U26" s="188"/>
    </row>
    <row r="27" spans="1:21">
      <c r="A27" s="84" t="s">
        <v>966</v>
      </c>
      <c r="B27" s="188">
        <f>P27</f>
        <v>0.38</v>
      </c>
      <c r="C27" s="188" t="s">
        <v>37</v>
      </c>
      <c r="D27" s="188" t="s">
        <v>40</v>
      </c>
      <c r="E27" s="188" t="s">
        <v>29</v>
      </c>
      <c r="F27" s="188" t="s">
        <v>59</v>
      </c>
      <c r="G27" s="188" t="s">
        <v>33</v>
      </c>
      <c r="H27" s="188">
        <v>1</v>
      </c>
      <c r="I27" s="188">
        <f>B27</f>
        <v>0.38</v>
      </c>
      <c r="J27" s="188" t="s">
        <v>31</v>
      </c>
      <c r="K27" s="188" t="s">
        <v>31</v>
      </c>
      <c r="L27" s="188" t="s">
        <v>31</v>
      </c>
      <c r="M27" s="188" t="s">
        <v>31</v>
      </c>
      <c r="N27" s="188"/>
      <c r="O27" s="188" t="s">
        <v>275</v>
      </c>
      <c r="P27" s="188">
        <v>0.38</v>
      </c>
      <c r="Q27" s="188"/>
      <c r="R27" s="188"/>
      <c r="S27" s="188"/>
      <c r="T27" s="188"/>
      <c r="U27" s="188"/>
    </row>
    <row r="28" spans="1:21">
      <c r="A28" s="84" t="s">
        <v>967</v>
      </c>
      <c r="B28" s="188">
        <f>R28</f>
        <v>0.249</v>
      </c>
      <c r="C28" s="188" t="s">
        <v>37</v>
      </c>
      <c r="D28" s="188" t="s">
        <v>40</v>
      </c>
      <c r="E28" s="188" t="s">
        <v>29</v>
      </c>
      <c r="F28" s="188" t="s">
        <v>59</v>
      </c>
      <c r="G28" s="188" t="s">
        <v>33</v>
      </c>
      <c r="H28" s="188">
        <v>2</v>
      </c>
      <c r="I28" s="188">
        <f>LN(B28)</f>
        <v>-1.3903023825174294</v>
      </c>
      <c r="J28" s="188">
        <v>3.7749172176353707E-2</v>
      </c>
      <c r="K28" s="188" t="s">
        <v>31</v>
      </c>
      <c r="L28" s="188" t="s">
        <v>31</v>
      </c>
      <c r="M28" s="188" t="s">
        <v>31</v>
      </c>
      <c r="N28" s="188"/>
      <c r="O28" s="379" t="s">
        <v>857</v>
      </c>
      <c r="P28" s="107">
        <v>249</v>
      </c>
      <c r="Q28" s="188" t="s">
        <v>275</v>
      </c>
      <c r="R28" s="188">
        <f>P28*0.001</f>
        <v>0.249</v>
      </c>
      <c r="S28" s="188"/>
      <c r="T28" s="188"/>
      <c r="U28" s="188"/>
    </row>
    <row r="29" spans="1:21">
      <c r="A29" s="84" t="s">
        <v>968</v>
      </c>
      <c r="B29" s="188">
        <f>R29</f>
        <v>1.49E-2</v>
      </c>
      <c r="C29" s="188" t="s">
        <v>37</v>
      </c>
      <c r="D29" s="188" t="s">
        <v>40</v>
      </c>
      <c r="E29" s="188" t="s">
        <v>29</v>
      </c>
      <c r="F29" s="188" t="s">
        <v>59</v>
      </c>
      <c r="G29" s="188" t="s">
        <v>33</v>
      </c>
      <c r="H29" s="188">
        <v>2</v>
      </c>
      <c r="I29" s="188">
        <f>LN(B29)</f>
        <v>-4.2063940660307235</v>
      </c>
      <c r="J29" s="188">
        <v>3.7749172176353707E-2</v>
      </c>
      <c r="K29" s="188" t="s">
        <v>31</v>
      </c>
      <c r="L29" s="188" t="s">
        <v>31</v>
      </c>
      <c r="M29" s="188" t="s">
        <v>31</v>
      </c>
      <c r="N29" s="188"/>
      <c r="O29" s="379" t="s">
        <v>857</v>
      </c>
      <c r="P29" s="107">
        <v>14.9</v>
      </c>
      <c r="Q29" s="188" t="s">
        <v>275</v>
      </c>
      <c r="R29" s="188">
        <f t="shared" ref="R29:R30" si="0">P29*0.001</f>
        <v>1.49E-2</v>
      </c>
      <c r="S29" s="188"/>
      <c r="T29" s="188"/>
      <c r="U29" s="188"/>
    </row>
    <row r="30" spans="1:21">
      <c r="A30" s="84" t="s">
        <v>969</v>
      </c>
      <c r="B30" s="188">
        <f>R30</f>
        <v>0.113</v>
      </c>
      <c r="C30" s="188" t="s">
        <v>37</v>
      </c>
      <c r="D30" s="188" t="s">
        <v>40</v>
      </c>
      <c r="E30" s="188" t="s">
        <v>29</v>
      </c>
      <c r="F30" s="188" t="s">
        <v>59</v>
      </c>
      <c r="G30" s="188" t="s">
        <v>33</v>
      </c>
      <c r="H30" s="188">
        <v>2</v>
      </c>
      <c r="I30" s="188">
        <f>LN(B30)</f>
        <v>-2.1803674602697964</v>
      </c>
      <c r="J30" s="188">
        <v>3.7749172176353707E-2</v>
      </c>
      <c r="K30" s="188" t="s">
        <v>31</v>
      </c>
      <c r="L30" s="188" t="s">
        <v>31</v>
      </c>
      <c r="M30" s="188" t="s">
        <v>31</v>
      </c>
      <c r="N30" s="188"/>
      <c r="O30" s="379" t="s">
        <v>857</v>
      </c>
      <c r="P30" s="107">
        <v>113</v>
      </c>
      <c r="Q30" s="188" t="s">
        <v>275</v>
      </c>
      <c r="R30" s="188">
        <f t="shared" si="0"/>
        <v>0.113</v>
      </c>
      <c r="S30" s="188"/>
      <c r="T30" s="188"/>
      <c r="U30" s="188"/>
    </row>
    <row r="31" spans="1:21">
      <c r="A31" s="347" t="s">
        <v>5</v>
      </c>
      <c r="B31" s="348" t="s">
        <v>1149</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1152</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1149</v>
      </c>
      <c r="B41" s="188">
        <v>1</v>
      </c>
      <c r="C41" s="188" t="s">
        <v>18</v>
      </c>
      <c r="D41" s="386" t="s">
        <v>2</v>
      </c>
      <c r="E41" s="188" t="s">
        <v>29</v>
      </c>
      <c r="F41" s="37" t="s">
        <v>14</v>
      </c>
      <c r="G41" s="188" t="s">
        <v>30</v>
      </c>
      <c r="H41" s="188">
        <v>1</v>
      </c>
      <c r="I41" s="188">
        <f>B41</f>
        <v>1</v>
      </c>
      <c r="J41" s="188" t="s">
        <v>31</v>
      </c>
      <c r="K41" s="188" t="s">
        <v>31</v>
      </c>
      <c r="L41" s="188" t="s">
        <v>31</v>
      </c>
      <c r="M41" s="188" t="s">
        <v>31</v>
      </c>
      <c r="N41" s="188"/>
      <c r="O41" s="188"/>
      <c r="P41" s="188"/>
      <c r="Q41" s="188"/>
      <c r="R41" s="188"/>
      <c r="S41" s="188"/>
      <c r="T41" s="188"/>
      <c r="U41" s="188"/>
    </row>
    <row r="42" spans="1:21">
      <c r="A42" s="84" t="s">
        <v>1153</v>
      </c>
      <c r="B42" s="188">
        <f>B55</f>
        <v>0.13400000000000001</v>
      </c>
      <c r="C42" s="188" t="s">
        <v>37</v>
      </c>
      <c r="D42" s="386" t="s">
        <v>2</v>
      </c>
      <c r="E42" s="188" t="s">
        <v>29</v>
      </c>
      <c r="F42" s="37" t="s">
        <v>14</v>
      </c>
      <c r="G42" s="188" t="s">
        <v>33</v>
      </c>
      <c r="H42" s="188">
        <v>1</v>
      </c>
      <c r="I42" s="188">
        <f>B42</f>
        <v>0.13400000000000001</v>
      </c>
      <c r="J42" s="188" t="s">
        <v>31</v>
      </c>
      <c r="K42" s="188" t="s">
        <v>31</v>
      </c>
      <c r="L42" s="188" t="s">
        <v>31</v>
      </c>
      <c r="M42" s="188" t="s">
        <v>31</v>
      </c>
      <c r="N42" s="188"/>
      <c r="O42" s="192"/>
      <c r="P42" s="399"/>
      <c r="Q42" s="188"/>
      <c r="R42" s="188"/>
      <c r="S42" s="188"/>
      <c r="T42" s="188"/>
      <c r="U42" s="188"/>
    </row>
    <row r="43" spans="1:21">
      <c r="A43" s="84" t="s">
        <v>1154</v>
      </c>
      <c r="B43" s="188">
        <v>1</v>
      </c>
      <c r="C43" s="188" t="s">
        <v>18</v>
      </c>
      <c r="D43" s="386" t="s">
        <v>2</v>
      </c>
      <c r="E43" s="188" t="s">
        <v>29</v>
      </c>
      <c r="F43" s="37" t="s">
        <v>14</v>
      </c>
      <c r="G43" s="188" t="s">
        <v>33</v>
      </c>
      <c r="H43" s="188">
        <v>1</v>
      </c>
      <c r="I43" s="188">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1153</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1155</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0.13400000000000001</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1153</v>
      </c>
      <c r="B55" s="188">
        <f>P55</f>
        <v>0.13400000000000001</v>
      </c>
      <c r="C55" s="188" t="s">
        <v>37</v>
      </c>
      <c r="D55" s="386" t="s">
        <v>2</v>
      </c>
      <c r="E55" s="188" t="s">
        <v>29</v>
      </c>
      <c r="F55" s="37" t="s">
        <v>14</v>
      </c>
      <c r="G55" s="188" t="s">
        <v>30</v>
      </c>
      <c r="H55" s="188">
        <v>1</v>
      </c>
      <c r="I55" s="188">
        <f>B55</f>
        <v>0.13400000000000001</v>
      </c>
      <c r="J55" s="188" t="s">
        <v>31</v>
      </c>
      <c r="K55" s="188" t="s">
        <v>31</v>
      </c>
      <c r="L55" s="188" t="s">
        <v>31</v>
      </c>
      <c r="M55" s="188" t="s">
        <v>31</v>
      </c>
      <c r="N55" s="188"/>
      <c r="O55" s="459" t="s">
        <v>275</v>
      </c>
      <c r="P55" s="460">
        <v>0.13400000000000001</v>
      </c>
      <c r="Q55" s="188" t="s">
        <v>275</v>
      </c>
      <c r="R55" s="188">
        <f>P55</f>
        <v>0.13400000000000001</v>
      </c>
      <c r="S55" s="188"/>
      <c r="T55" s="188"/>
      <c r="U55" s="188"/>
    </row>
    <row r="56" spans="1:21">
      <c r="A56" s="84" t="s">
        <v>179</v>
      </c>
      <c r="B56" s="370">
        <f>R56</f>
        <v>0.13400000000000001</v>
      </c>
      <c r="C56" s="188" t="s">
        <v>37</v>
      </c>
      <c r="D56" s="188" t="s">
        <v>40</v>
      </c>
      <c r="E56" s="188" t="s">
        <v>29</v>
      </c>
      <c r="F56" s="37" t="s">
        <v>35</v>
      </c>
      <c r="G56" s="188" t="s">
        <v>33</v>
      </c>
      <c r="H56" s="188">
        <v>2</v>
      </c>
      <c r="I56" s="188">
        <f>LN(B56)</f>
        <v>-2.0099154790312257</v>
      </c>
      <c r="J56" s="188">
        <v>2.8722813232690055E-2</v>
      </c>
      <c r="K56" s="188" t="s">
        <v>31</v>
      </c>
      <c r="L56" s="188" t="s">
        <v>31</v>
      </c>
      <c r="M56" s="188" t="s">
        <v>31</v>
      </c>
      <c r="N56" s="188"/>
      <c r="O56" s="461" t="s">
        <v>275</v>
      </c>
      <c r="P56" s="107">
        <v>0.13400000000000001</v>
      </c>
      <c r="Q56" s="188" t="s">
        <v>275</v>
      </c>
      <c r="R56" s="370">
        <f>P56</f>
        <v>0.13400000000000001</v>
      </c>
      <c r="S56" s="188"/>
      <c r="T56" s="188"/>
      <c r="U56" s="188"/>
    </row>
    <row r="57" spans="1:21">
      <c r="A57" s="323" t="s">
        <v>265</v>
      </c>
      <c r="B57" s="327">
        <f>R57</f>
        <v>0.04</v>
      </c>
      <c r="C57" s="188" t="s">
        <v>39</v>
      </c>
      <c r="D57" s="188" t="s">
        <v>40</v>
      </c>
      <c r="E57" s="188" t="s">
        <v>29</v>
      </c>
      <c r="F57" s="37" t="s">
        <v>35</v>
      </c>
      <c r="G57" s="188" t="s">
        <v>33</v>
      </c>
      <c r="H57" s="188">
        <v>2</v>
      </c>
      <c r="I57" s="188">
        <f t="shared" ref="I57" si="2">LN(B57)</f>
        <v>-3.2188758248682006</v>
      </c>
      <c r="J57" s="188">
        <v>7.2284161474004766E-2</v>
      </c>
      <c r="K57" s="188" t="s">
        <v>31</v>
      </c>
      <c r="L57" s="188" t="s">
        <v>31</v>
      </c>
      <c r="M57" s="188" t="s">
        <v>31</v>
      </c>
      <c r="N57" s="188"/>
      <c r="O57" s="361" t="s">
        <v>271</v>
      </c>
      <c r="P57" s="107">
        <v>0.04</v>
      </c>
      <c r="Q57" s="188" t="s">
        <v>271</v>
      </c>
      <c r="R57" s="327">
        <f>P57</f>
        <v>0.04</v>
      </c>
      <c r="S57" s="188"/>
      <c r="T57" s="188"/>
      <c r="U57" s="188"/>
    </row>
    <row r="58" spans="1:21">
      <c r="A58" s="347" t="s">
        <v>5</v>
      </c>
      <c r="B58" s="126" t="s">
        <v>1154</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1156</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1154</v>
      </c>
      <c r="B68" s="188">
        <v>1</v>
      </c>
      <c r="C68" s="188" t="s">
        <v>18</v>
      </c>
      <c r="D68" s="386" t="s">
        <v>2</v>
      </c>
      <c r="E68" s="188" t="s">
        <v>29</v>
      </c>
      <c r="F68" s="37" t="s">
        <v>14</v>
      </c>
      <c r="G68" s="188" t="s">
        <v>30</v>
      </c>
      <c r="H68" s="188">
        <v>1</v>
      </c>
      <c r="I68" s="188">
        <f>B68</f>
        <v>1</v>
      </c>
      <c r="J68" s="188" t="s">
        <v>31</v>
      </c>
      <c r="K68" s="188" t="s">
        <v>31</v>
      </c>
      <c r="L68" s="188" t="s">
        <v>31</v>
      </c>
      <c r="M68" s="188" t="s">
        <v>31</v>
      </c>
      <c r="N68" s="188"/>
      <c r="O68" s="188"/>
      <c r="P68" s="188"/>
      <c r="Q68" s="188"/>
      <c r="R68" s="188"/>
      <c r="S68" s="188"/>
      <c r="T68" s="188"/>
      <c r="U68" s="188"/>
    </row>
    <row r="69" spans="1:21">
      <c r="A69" s="84" t="s">
        <v>1157</v>
      </c>
      <c r="B69" s="370">
        <f>B77</f>
        <v>7.0000000000000007E-2</v>
      </c>
      <c r="C69" s="188" t="s">
        <v>37</v>
      </c>
      <c r="D69" s="386" t="s">
        <v>2</v>
      </c>
      <c r="E69" s="188" t="s">
        <v>29</v>
      </c>
      <c r="F69" s="37" t="s">
        <v>14</v>
      </c>
      <c r="G69" s="188" t="s">
        <v>33</v>
      </c>
      <c r="H69" s="188">
        <v>1</v>
      </c>
      <c r="I69" s="188">
        <f>B69</f>
        <v>7.0000000000000007E-2</v>
      </c>
      <c r="J69" s="188" t="s">
        <v>31</v>
      </c>
      <c r="K69" s="188" t="s">
        <v>31</v>
      </c>
      <c r="L69" s="188" t="s">
        <v>31</v>
      </c>
      <c r="M69" s="188" t="s">
        <v>31</v>
      </c>
      <c r="N69" s="188"/>
      <c r="O69" s="361"/>
      <c r="P69" s="372"/>
      <c r="Q69" s="188" t="s">
        <v>275</v>
      </c>
      <c r="R69" s="370">
        <v>0.01</v>
      </c>
      <c r="S69" s="188"/>
      <c r="T69" s="188"/>
      <c r="U69" s="188"/>
    </row>
    <row r="70" spans="1:21">
      <c r="A70" s="84" t="s">
        <v>1158</v>
      </c>
      <c r="B70" s="327">
        <v>1</v>
      </c>
      <c r="C70" s="188" t="s">
        <v>18</v>
      </c>
      <c r="D70" s="386" t="s">
        <v>2</v>
      </c>
      <c r="E70" s="188" t="s">
        <v>29</v>
      </c>
      <c r="F70" s="37" t="s">
        <v>14</v>
      </c>
      <c r="G70" s="188" t="s">
        <v>33</v>
      </c>
      <c r="H70" s="188">
        <v>1</v>
      </c>
      <c r="I70" s="188">
        <f>B70</f>
        <v>1</v>
      </c>
      <c r="J70" s="188" t="s">
        <v>31</v>
      </c>
      <c r="K70" s="188" t="s">
        <v>31</v>
      </c>
      <c r="L70" s="188" t="s">
        <v>31</v>
      </c>
      <c r="M70" s="188" t="s">
        <v>31</v>
      </c>
      <c r="N70" s="188"/>
      <c r="O70" s="361"/>
      <c r="P70" s="418"/>
      <c r="Q70" s="188"/>
      <c r="R70" s="327"/>
      <c r="S70" s="188"/>
      <c r="T70" s="188"/>
      <c r="U70" s="188"/>
    </row>
    <row r="71" spans="1:21">
      <c r="A71" s="323" t="s">
        <v>265</v>
      </c>
      <c r="B71" s="327">
        <f>R71</f>
        <v>0.46</v>
      </c>
      <c r="C71" s="188" t="s">
        <v>39</v>
      </c>
      <c r="D71" s="188" t="s">
        <v>40</v>
      </c>
      <c r="E71" s="188" t="s">
        <v>29</v>
      </c>
      <c r="F71" s="37" t="s">
        <v>35</v>
      </c>
      <c r="G71" s="188" t="s">
        <v>33</v>
      </c>
      <c r="H71" s="188">
        <v>2</v>
      </c>
      <c r="I71" s="188">
        <f t="shared" ref="I71" si="3">LN(B71)</f>
        <v>-0.77652878949899629</v>
      </c>
      <c r="J71" s="188">
        <v>7.2284161474004766E-2</v>
      </c>
      <c r="K71" s="188" t="s">
        <v>31</v>
      </c>
      <c r="L71" s="188" t="s">
        <v>31</v>
      </c>
      <c r="M71" s="188" t="s">
        <v>31</v>
      </c>
      <c r="N71" s="188"/>
      <c r="O71" s="361" t="s">
        <v>271</v>
      </c>
      <c r="P71" s="418">
        <v>0.46</v>
      </c>
      <c r="Q71" s="188" t="s">
        <v>271</v>
      </c>
      <c r="R71" s="327">
        <f>P71</f>
        <v>0.46</v>
      </c>
      <c r="S71" s="188"/>
      <c r="T71" s="188"/>
      <c r="U71" s="188"/>
    </row>
    <row r="72" spans="1:21">
      <c r="A72" s="347" t="s">
        <v>5</v>
      </c>
      <c r="B72" s="126" t="s">
        <v>1157</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1159</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7.0000000000000007E-2</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1157</v>
      </c>
      <c r="B82" s="188">
        <v>7.0000000000000007E-2</v>
      </c>
      <c r="C82" s="188" t="s">
        <v>37</v>
      </c>
      <c r="D82" s="386" t="s">
        <v>2</v>
      </c>
      <c r="E82" s="188" t="s">
        <v>29</v>
      </c>
      <c r="F82" s="37" t="s">
        <v>14</v>
      </c>
      <c r="G82" s="188" t="s">
        <v>30</v>
      </c>
      <c r="H82" s="188">
        <v>1</v>
      </c>
      <c r="I82" s="188">
        <f>B82</f>
        <v>7.0000000000000007E-2</v>
      </c>
      <c r="J82" s="188" t="s">
        <v>31</v>
      </c>
      <c r="K82" s="188" t="s">
        <v>31</v>
      </c>
      <c r="L82" s="188" t="s">
        <v>31</v>
      </c>
      <c r="M82" s="188" t="s">
        <v>31</v>
      </c>
      <c r="N82" s="188"/>
      <c r="O82" s="361"/>
      <c r="P82" s="372"/>
      <c r="Q82" s="188" t="s">
        <v>275</v>
      </c>
      <c r="R82" s="370">
        <v>0.01</v>
      </c>
      <c r="S82" s="188"/>
      <c r="T82" s="188"/>
      <c r="U82" s="188"/>
    </row>
    <row r="83" spans="1:21">
      <c r="A83" s="84" t="s">
        <v>755</v>
      </c>
      <c r="B83" s="188">
        <v>7.0000000000000007E-2</v>
      </c>
      <c r="C83" s="188" t="s">
        <v>37</v>
      </c>
      <c r="D83" s="188" t="s">
        <v>40</v>
      </c>
      <c r="E83" s="188" t="s">
        <v>29</v>
      </c>
      <c r="F83" s="37" t="s">
        <v>59</v>
      </c>
      <c r="G83" s="188" t="s">
        <v>33</v>
      </c>
      <c r="H83" s="188">
        <v>1</v>
      </c>
      <c r="I83" s="188">
        <f>B83</f>
        <v>7.0000000000000007E-2</v>
      </c>
      <c r="J83" s="188" t="s">
        <v>31</v>
      </c>
      <c r="K83" s="188" t="s">
        <v>31</v>
      </c>
      <c r="L83" s="188" t="s">
        <v>31</v>
      </c>
      <c r="M83" s="188" t="s">
        <v>31</v>
      </c>
      <c r="N83" s="188"/>
      <c r="O83" s="361"/>
      <c r="P83" s="418"/>
      <c r="Q83" s="188"/>
      <c r="R83" s="327"/>
      <c r="S83" s="188"/>
      <c r="T83" s="188"/>
      <c r="U83" s="188"/>
    </row>
    <row r="84" spans="1:21">
      <c r="A84" s="84" t="s">
        <v>757</v>
      </c>
      <c r="B84" s="188">
        <v>7.0000000000000007E-2</v>
      </c>
      <c r="C84" s="188" t="s">
        <v>37</v>
      </c>
      <c r="D84" s="188" t="s">
        <v>40</v>
      </c>
      <c r="E84" s="188" t="s">
        <v>29</v>
      </c>
      <c r="F84" s="188" t="s">
        <v>59</v>
      </c>
      <c r="G84" s="188" t="s">
        <v>33</v>
      </c>
      <c r="H84" s="188">
        <v>1</v>
      </c>
      <c r="I84" s="188">
        <f>B84</f>
        <v>7.0000000000000007E-2</v>
      </c>
      <c r="J84" s="188" t="s">
        <v>31</v>
      </c>
      <c r="K84" s="188" t="s">
        <v>31</v>
      </c>
      <c r="L84" s="188" t="s">
        <v>31</v>
      </c>
      <c r="M84" s="188" t="s">
        <v>31</v>
      </c>
      <c r="N84" s="188"/>
      <c r="O84" s="188"/>
      <c r="P84" s="188"/>
      <c r="Q84" s="188"/>
      <c r="R84" s="188"/>
      <c r="S84" s="188"/>
      <c r="T84" s="188"/>
      <c r="U84" s="188"/>
    </row>
    <row r="85" spans="1:21" s="73" customFormat="1">
      <c r="A85" s="347" t="s">
        <v>5</v>
      </c>
      <c r="B85" s="126" t="s">
        <v>1158</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1160</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1158</v>
      </c>
      <c r="B95" s="327">
        <v>1</v>
      </c>
      <c r="C95" s="188" t="s">
        <v>18</v>
      </c>
      <c r="D95" s="386" t="s">
        <v>2</v>
      </c>
      <c r="E95" s="188" t="s">
        <v>29</v>
      </c>
      <c r="F95" s="37" t="s">
        <v>14</v>
      </c>
      <c r="G95" s="188" t="s">
        <v>30</v>
      </c>
      <c r="H95" s="188">
        <v>1</v>
      </c>
      <c r="I95" s="188">
        <f>B95</f>
        <v>1</v>
      </c>
      <c r="J95" s="188" t="s">
        <v>31</v>
      </c>
      <c r="K95" s="188" t="s">
        <v>31</v>
      </c>
      <c r="L95" s="188" t="s">
        <v>31</v>
      </c>
      <c r="M95" s="188" t="s">
        <v>31</v>
      </c>
      <c r="N95" s="188"/>
      <c r="O95" s="361"/>
      <c r="P95" s="418"/>
      <c r="Q95" s="188"/>
      <c r="R95" s="327"/>
      <c r="S95" s="188"/>
      <c r="T95" s="188"/>
      <c r="U95" s="188"/>
    </row>
    <row r="96" spans="1:21">
      <c r="A96" s="84" t="s">
        <v>1161</v>
      </c>
      <c r="B96" s="188">
        <v>1</v>
      </c>
      <c r="C96" s="188" t="s">
        <v>18</v>
      </c>
      <c r="D96" s="386" t="s">
        <v>2</v>
      </c>
      <c r="E96" s="188" t="s">
        <v>29</v>
      </c>
      <c r="F96" s="37" t="s">
        <v>14</v>
      </c>
      <c r="G96" s="188" t="s">
        <v>33</v>
      </c>
      <c r="H96" s="188">
        <v>1</v>
      </c>
      <c r="I96" s="188">
        <f>B96</f>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1161</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1162</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1161</v>
      </c>
      <c r="B108" s="188">
        <v>1</v>
      </c>
      <c r="C108" s="188" t="s">
        <v>18</v>
      </c>
      <c r="D108" s="188" t="s">
        <v>2</v>
      </c>
      <c r="E108" s="188" t="s">
        <v>29</v>
      </c>
      <c r="F108" s="37" t="s">
        <v>14</v>
      </c>
      <c r="G108" s="188" t="s">
        <v>30</v>
      </c>
      <c r="H108" s="188">
        <v>1</v>
      </c>
      <c r="I108" s="188">
        <f>B108</f>
        <v>1</v>
      </c>
      <c r="J108" s="188" t="s">
        <v>31</v>
      </c>
      <c r="K108" s="188" t="s">
        <v>31</v>
      </c>
      <c r="L108" s="188" t="s">
        <v>31</v>
      </c>
      <c r="M108" s="188" t="s">
        <v>31</v>
      </c>
      <c r="N108" s="188"/>
      <c r="O108" s="188"/>
      <c r="P108" s="446"/>
      <c r="Q108" s="188"/>
      <c r="R108" s="188"/>
      <c r="S108" s="188"/>
      <c r="T108" s="188"/>
      <c r="U108" s="188"/>
    </row>
    <row r="109" spans="1:21">
      <c r="A109" s="323" t="s">
        <v>1163</v>
      </c>
      <c r="B109" s="419">
        <f>B133</f>
        <v>4.2999999999999997E-2</v>
      </c>
      <c r="C109" s="188" t="s">
        <v>853</v>
      </c>
      <c r="D109" s="188" t="s">
        <v>2</v>
      </c>
      <c r="E109" s="188" t="s">
        <v>29</v>
      </c>
      <c r="F109" s="37" t="s">
        <v>14</v>
      </c>
      <c r="G109" s="188" t="s">
        <v>33</v>
      </c>
      <c r="H109" s="188">
        <v>1</v>
      </c>
      <c r="I109" s="188">
        <f>B109</f>
        <v>4.2999999999999997E-2</v>
      </c>
      <c r="J109" s="188" t="s">
        <v>31</v>
      </c>
      <c r="K109" s="188" t="s">
        <v>31</v>
      </c>
      <c r="L109" s="188" t="s">
        <v>31</v>
      </c>
      <c r="M109" s="188" t="s">
        <v>31</v>
      </c>
      <c r="N109" s="188"/>
      <c r="O109" s="387"/>
      <c r="P109" s="388"/>
      <c r="Q109" s="327" t="s">
        <v>1164</v>
      </c>
      <c r="R109" s="188"/>
      <c r="S109" s="188"/>
      <c r="T109" s="188"/>
      <c r="U109" s="188"/>
    </row>
    <row r="110" spans="1:21">
      <c r="A110" s="188" t="s">
        <v>1118</v>
      </c>
      <c r="B110" s="370">
        <f>S110</f>
        <v>6.2962962962962964E-3</v>
      </c>
      <c r="C110" s="359" t="s">
        <v>853</v>
      </c>
      <c r="D110" s="188" t="s">
        <v>2</v>
      </c>
      <c r="E110" s="188" t="s">
        <v>29</v>
      </c>
      <c r="F110" s="37" t="s">
        <v>14</v>
      </c>
      <c r="G110" s="188" t="s">
        <v>33</v>
      </c>
      <c r="H110" s="188">
        <v>1</v>
      </c>
      <c r="I110" s="188">
        <f>B110</f>
        <v>6.2962962962962964E-3</v>
      </c>
      <c r="J110" s="188" t="s">
        <v>31</v>
      </c>
      <c r="K110" s="188" t="s">
        <v>31</v>
      </c>
      <c r="L110" s="188" t="s">
        <v>31</v>
      </c>
      <c r="M110" s="188" t="s">
        <v>31</v>
      </c>
      <c r="N110" s="188"/>
      <c r="O110" s="420" t="s">
        <v>857</v>
      </c>
      <c r="P110" s="421">
        <v>34</v>
      </c>
      <c r="Q110" s="188">
        <f>'2C. Reusable'!P38</f>
        <v>0.18518518518518517</v>
      </c>
      <c r="R110" s="188" t="s">
        <v>888</v>
      </c>
      <c r="S110" s="370">
        <f>P110*0.001*Q110</f>
        <v>6.2962962962962964E-3</v>
      </c>
      <c r="T110" s="188"/>
      <c r="U110" s="188"/>
    </row>
    <row r="111" spans="1:21">
      <c r="A111" s="188" t="s">
        <v>1165</v>
      </c>
      <c r="B111" s="188">
        <v>1</v>
      </c>
      <c r="C111" s="188" t="s">
        <v>18</v>
      </c>
      <c r="D111" s="188" t="s">
        <v>2</v>
      </c>
      <c r="E111" s="188" t="s">
        <v>29</v>
      </c>
      <c r="F111" s="37" t="s">
        <v>14</v>
      </c>
      <c r="G111" s="188" t="s">
        <v>33</v>
      </c>
      <c r="H111" s="188">
        <v>1</v>
      </c>
      <c r="I111" s="188">
        <f>B111</f>
        <v>1</v>
      </c>
      <c r="J111" s="188" t="s">
        <v>31</v>
      </c>
      <c r="K111" s="188" t="s">
        <v>31</v>
      </c>
      <c r="L111" s="188" t="s">
        <v>31</v>
      </c>
      <c r="M111" s="188" t="s">
        <v>31</v>
      </c>
      <c r="N111" s="188"/>
      <c r="O111" s="387"/>
      <c r="P111" s="388"/>
      <c r="Q111" s="188"/>
      <c r="R111" s="188"/>
      <c r="S111" s="188"/>
      <c r="T111" s="188"/>
      <c r="U111" s="188"/>
    </row>
    <row r="112" spans="1:21">
      <c r="A112" s="84" t="s">
        <v>179</v>
      </c>
      <c r="B112" s="370">
        <f>R112</f>
        <v>1.9000000000000001E-4</v>
      </c>
      <c r="C112" s="188" t="s">
        <v>37</v>
      </c>
      <c r="D112" s="188" t="s">
        <v>40</v>
      </c>
      <c r="E112" s="188" t="s">
        <v>29</v>
      </c>
      <c r="F112" s="37" t="s">
        <v>35</v>
      </c>
      <c r="G112" s="188" t="s">
        <v>33</v>
      </c>
      <c r="H112" s="188">
        <v>2</v>
      </c>
      <c r="I112" s="188">
        <f>LN(B112)</f>
        <v>-8.5684864858037884</v>
      </c>
      <c r="J112" s="188">
        <v>2.8722813232690055E-2</v>
      </c>
      <c r="K112" s="188" t="s">
        <v>31</v>
      </c>
      <c r="L112" s="188" t="s">
        <v>31</v>
      </c>
      <c r="M112" s="188" t="s">
        <v>31</v>
      </c>
      <c r="N112" s="188"/>
      <c r="O112" s="420" t="s">
        <v>857</v>
      </c>
      <c r="P112" s="153">
        <v>0.19</v>
      </c>
      <c r="Q112" s="188" t="s">
        <v>275</v>
      </c>
      <c r="R112" s="370">
        <f>P112*10^-3</f>
        <v>1.9000000000000001E-4</v>
      </c>
      <c r="S112" s="188"/>
      <c r="T112" s="188"/>
      <c r="U112" s="188"/>
    </row>
    <row r="113" spans="1:21" s="73" customFormat="1">
      <c r="A113" s="347" t="s">
        <v>5</v>
      </c>
      <c r="B113" s="348" t="s">
        <v>1165</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1166</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1165</v>
      </c>
      <c r="B123" s="188">
        <v>1</v>
      </c>
      <c r="C123" s="188" t="s">
        <v>18</v>
      </c>
      <c r="D123" s="386" t="s">
        <v>2</v>
      </c>
      <c r="E123" s="188" t="s">
        <v>29</v>
      </c>
      <c r="F123" s="37" t="s">
        <v>14</v>
      </c>
      <c r="G123" s="188" t="s">
        <v>30</v>
      </c>
      <c r="H123" s="188">
        <v>1</v>
      </c>
      <c r="I123" s="188">
        <f>B123</f>
        <v>1</v>
      </c>
      <c r="J123" s="188" t="s">
        <v>31</v>
      </c>
      <c r="K123" s="188" t="s">
        <v>31</v>
      </c>
      <c r="L123" s="188" t="s">
        <v>31</v>
      </c>
      <c r="M123" s="188" t="s">
        <v>31</v>
      </c>
      <c r="N123" s="188"/>
      <c r="O123" s="188"/>
      <c r="P123" s="188"/>
      <c r="Q123" s="188"/>
      <c r="R123" s="188"/>
      <c r="S123" s="188"/>
      <c r="T123" s="188"/>
      <c r="U123" s="188"/>
    </row>
    <row r="124" spans="1:21">
      <c r="A124" s="84" t="s">
        <v>966</v>
      </c>
      <c r="B124" s="188">
        <f>R124</f>
        <v>0.38</v>
      </c>
      <c r="C124" s="188" t="s">
        <v>37</v>
      </c>
      <c r="D124" s="188" t="s">
        <v>40</v>
      </c>
      <c r="E124" s="188" t="s">
        <v>29</v>
      </c>
      <c r="F124" s="188" t="s">
        <v>59</v>
      </c>
      <c r="G124" s="188" t="s">
        <v>33</v>
      </c>
      <c r="H124" s="188">
        <v>1</v>
      </c>
      <c r="I124" s="188">
        <f>B124</f>
        <v>0.38</v>
      </c>
      <c r="J124" s="188" t="s">
        <v>31</v>
      </c>
      <c r="K124" s="188" t="s">
        <v>31</v>
      </c>
      <c r="L124" s="188" t="s">
        <v>31</v>
      </c>
      <c r="M124" s="188" t="s">
        <v>31</v>
      </c>
      <c r="N124" s="188"/>
      <c r="O124" s="188"/>
      <c r="P124" s="188">
        <v>0.38</v>
      </c>
      <c r="Q124" s="188" t="s">
        <v>275</v>
      </c>
      <c r="R124" s="188">
        <f>P124</f>
        <v>0.38</v>
      </c>
      <c r="S124" s="188"/>
      <c r="T124" s="188"/>
      <c r="U124" s="188"/>
    </row>
    <row r="125" spans="1:21">
      <c r="A125" s="84" t="s">
        <v>967</v>
      </c>
      <c r="B125" s="188">
        <f t="shared" ref="B125:B127" si="5">R125</f>
        <v>0.249</v>
      </c>
      <c r="C125" s="188" t="s">
        <v>37</v>
      </c>
      <c r="D125" s="188" t="s">
        <v>40</v>
      </c>
      <c r="E125" s="188" t="s">
        <v>29</v>
      </c>
      <c r="F125" s="188" t="s">
        <v>59</v>
      </c>
      <c r="G125" s="188" t="s">
        <v>33</v>
      </c>
      <c r="H125" s="188">
        <v>2</v>
      </c>
      <c r="I125" s="188">
        <f>LN(B125)</f>
        <v>-1.3903023825174294</v>
      </c>
      <c r="J125" s="188">
        <v>3.7749172176353707E-2</v>
      </c>
      <c r="K125" s="188" t="s">
        <v>31</v>
      </c>
      <c r="L125" s="188" t="s">
        <v>31</v>
      </c>
      <c r="M125" s="188" t="s">
        <v>31</v>
      </c>
      <c r="N125" s="188"/>
      <c r="O125" s="379" t="s">
        <v>857</v>
      </c>
      <c r="P125" s="107">
        <v>249</v>
      </c>
      <c r="Q125" s="188" t="s">
        <v>275</v>
      </c>
      <c r="R125" s="188">
        <f>P125*0.001</f>
        <v>0.249</v>
      </c>
      <c r="S125" s="188"/>
      <c r="T125" s="188"/>
      <c r="U125" s="188"/>
    </row>
    <row r="126" spans="1:21">
      <c r="A126" s="84" t="s">
        <v>968</v>
      </c>
      <c r="B126" s="188">
        <f t="shared" si="5"/>
        <v>1.49E-2</v>
      </c>
      <c r="C126" s="188" t="s">
        <v>37</v>
      </c>
      <c r="D126" s="188" t="s">
        <v>40</v>
      </c>
      <c r="E126" s="188" t="s">
        <v>29</v>
      </c>
      <c r="F126" s="188" t="s">
        <v>59</v>
      </c>
      <c r="G126" s="188" t="s">
        <v>33</v>
      </c>
      <c r="H126" s="188">
        <v>2</v>
      </c>
      <c r="I126" s="188">
        <f>LN(B126)</f>
        <v>-4.2063940660307235</v>
      </c>
      <c r="J126" s="188">
        <v>3.7749172176353707E-2</v>
      </c>
      <c r="K126" s="188" t="s">
        <v>31</v>
      </c>
      <c r="L126" s="188" t="s">
        <v>31</v>
      </c>
      <c r="M126" s="188" t="s">
        <v>31</v>
      </c>
      <c r="N126" s="188"/>
      <c r="O126" s="379" t="s">
        <v>857</v>
      </c>
      <c r="P126" s="107">
        <v>14.9</v>
      </c>
      <c r="Q126" s="188" t="s">
        <v>275</v>
      </c>
      <c r="R126" s="188">
        <f t="shared" ref="R126:R127" si="6">P126*0.001</f>
        <v>1.49E-2</v>
      </c>
      <c r="S126" s="188"/>
      <c r="T126" s="188"/>
      <c r="U126" s="188"/>
    </row>
    <row r="127" spans="1:21">
      <c r="A127" s="84" t="s">
        <v>969</v>
      </c>
      <c r="B127" s="188">
        <f t="shared" si="5"/>
        <v>0.113</v>
      </c>
      <c r="C127" s="188" t="s">
        <v>37</v>
      </c>
      <c r="D127" s="188" t="s">
        <v>40</v>
      </c>
      <c r="E127" s="188" t="s">
        <v>29</v>
      </c>
      <c r="F127" s="188" t="s">
        <v>59</v>
      </c>
      <c r="G127" s="188" t="s">
        <v>33</v>
      </c>
      <c r="H127" s="188">
        <v>2</v>
      </c>
      <c r="I127" s="188">
        <f>LN(B127)</f>
        <v>-2.1803674602697964</v>
      </c>
      <c r="J127" s="188">
        <v>3.7749172176353707E-2</v>
      </c>
      <c r="K127" s="188" t="s">
        <v>31</v>
      </c>
      <c r="L127" s="188" t="s">
        <v>31</v>
      </c>
      <c r="M127" s="188" t="s">
        <v>31</v>
      </c>
      <c r="N127" s="188"/>
      <c r="O127" s="379" t="s">
        <v>857</v>
      </c>
      <c r="P127" s="107">
        <v>113</v>
      </c>
      <c r="Q127" s="188" t="s">
        <v>275</v>
      </c>
      <c r="R127" s="188">
        <f t="shared" si="6"/>
        <v>0.113</v>
      </c>
      <c r="S127" s="188"/>
      <c r="T127" s="188"/>
      <c r="U127" s="188"/>
    </row>
    <row r="128" spans="1:21" s="73" customFormat="1">
      <c r="A128" s="347" t="s">
        <v>5</v>
      </c>
      <c r="B128" s="126" t="s">
        <v>1163</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1167</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4.2999999999999997E-2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1163</v>
      </c>
      <c r="B138" s="403">
        <f>P138</f>
        <v>4.2999999999999997E-2</v>
      </c>
      <c r="C138" s="188" t="s">
        <v>853</v>
      </c>
      <c r="D138" s="386" t="s">
        <v>2</v>
      </c>
      <c r="E138" s="188" t="s">
        <v>29</v>
      </c>
      <c r="F138" s="37" t="s">
        <v>14</v>
      </c>
      <c r="G138" s="188" t="s">
        <v>30</v>
      </c>
      <c r="H138" s="188">
        <v>1</v>
      </c>
      <c r="I138" s="188">
        <f>B138</f>
        <v>4.2999999999999997E-2</v>
      </c>
      <c r="J138" s="188" t="s">
        <v>31</v>
      </c>
      <c r="K138" s="188" t="s">
        <v>31</v>
      </c>
      <c r="L138" s="188" t="s">
        <v>31</v>
      </c>
      <c r="M138" s="188" t="s">
        <v>31</v>
      </c>
      <c r="N138" s="188"/>
      <c r="O138" s="387"/>
      <c r="P138" s="448">
        <v>4.2999999999999997E-2</v>
      </c>
      <c r="Q138" s="327"/>
      <c r="R138" s="188"/>
      <c r="S138" s="188"/>
      <c r="T138" s="188"/>
      <c r="U138" s="188"/>
    </row>
    <row r="139" spans="1:21">
      <c r="A139" s="192" t="s">
        <v>1168</v>
      </c>
      <c r="B139" s="403">
        <f>P139</f>
        <v>4.2999999999999997E-2</v>
      </c>
      <c r="C139" s="188" t="s">
        <v>853</v>
      </c>
      <c r="D139" s="386" t="s">
        <v>2</v>
      </c>
      <c r="E139" s="188" t="s">
        <v>29</v>
      </c>
      <c r="F139" s="37" t="s">
        <v>14</v>
      </c>
      <c r="G139" s="188" t="s">
        <v>33</v>
      </c>
      <c r="H139" s="188">
        <v>1</v>
      </c>
      <c r="I139" s="188">
        <f>B139</f>
        <v>4.2999999999999997E-2</v>
      </c>
      <c r="J139" s="188" t="s">
        <v>31</v>
      </c>
      <c r="K139" s="188" t="s">
        <v>31</v>
      </c>
      <c r="L139" s="188" t="s">
        <v>31</v>
      </c>
      <c r="M139" s="188" t="s">
        <v>31</v>
      </c>
      <c r="N139" s="188"/>
      <c r="O139" s="188"/>
      <c r="P139" s="448">
        <v>4.2999999999999997E-2</v>
      </c>
      <c r="Q139" s="188"/>
      <c r="R139" s="188"/>
      <c r="S139" s="188"/>
      <c r="T139" s="188"/>
      <c r="U139" s="188"/>
    </row>
    <row r="140" spans="1:21">
      <c r="A140" s="84" t="s">
        <v>731</v>
      </c>
      <c r="B140" s="188">
        <f>R140</f>
        <v>3.8999999999999998E-3</v>
      </c>
      <c r="C140" s="188" t="s">
        <v>37</v>
      </c>
      <c r="D140" s="188" t="s">
        <v>40</v>
      </c>
      <c r="E140" s="188" t="s">
        <v>29</v>
      </c>
      <c r="F140" s="188" t="s">
        <v>35</v>
      </c>
      <c r="G140" s="188" t="s">
        <v>33</v>
      </c>
      <c r="H140" s="188">
        <v>2</v>
      </c>
      <c r="I140" s="188">
        <f>LN(B140)</f>
        <v>-5.5467787258465364</v>
      </c>
      <c r="J140" s="188">
        <v>0.20928449536456342</v>
      </c>
      <c r="K140" s="188" t="s">
        <v>31</v>
      </c>
      <c r="L140" s="188" t="s">
        <v>31</v>
      </c>
      <c r="M140" s="188" t="s">
        <v>31</v>
      </c>
      <c r="N140" s="188"/>
      <c r="O140" s="379" t="s">
        <v>857</v>
      </c>
      <c r="P140" s="392">
        <v>3.9</v>
      </c>
      <c r="Q140" s="188" t="s">
        <v>275</v>
      </c>
      <c r="R140" s="188">
        <f>0.001*P140</f>
        <v>3.8999999999999998E-3</v>
      </c>
      <c r="S140" s="188"/>
      <c r="T140" s="188"/>
      <c r="U140" s="188"/>
    </row>
    <row r="141" spans="1:21">
      <c r="A141" s="84" t="s">
        <v>987</v>
      </c>
      <c r="B141" s="188">
        <f>R141</f>
        <v>3.8999999999999998E-3</v>
      </c>
      <c r="C141" s="188" t="s">
        <v>37</v>
      </c>
      <c r="D141" s="188" t="s">
        <v>40</v>
      </c>
      <c r="E141" s="188" t="s">
        <v>29</v>
      </c>
      <c r="F141" s="188" t="s">
        <v>35</v>
      </c>
      <c r="G141" s="188" t="s">
        <v>33</v>
      </c>
      <c r="H141" s="188">
        <v>2</v>
      </c>
      <c r="I141" s="188">
        <f>LN(B141)</f>
        <v>-5.5467787258465364</v>
      </c>
      <c r="J141" s="188">
        <v>0.20928449536456342</v>
      </c>
      <c r="K141" s="188" t="s">
        <v>31</v>
      </c>
      <c r="L141" s="188" t="s">
        <v>31</v>
      </c>
      <c r="M141" s="188" t="s">
        <v>31</v>
      </c>
      <c r="N141" s="188"/>
      <c r="O141" s="379" t="s">
        <v>857</v>
      </c>
      <c r="P141" s="392">
        <v>3.9</v>
      </c>
      <c r="Q141" s="188" t="s">
        <v>275</v>
      </c>
      <c r="R141" s="188">
        <f>0.001*P141</f>
        <v>3.8999999999999998E-3</v>
      </c>
      <c r="S141" s="188"/>
      <c r="T141" s="188"/>
      <c r="U141" s="188"/>
    </row>
    <row r="142" spans="1:21" s="73" customFormat="1">
      <c r="A142" s="347" t="s">
        <v>5</v>
      </c>
      <c r="B142" s="424" t="s">
        <v>1168</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1169</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4.2999999999999997E-2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1168</v>
      </c>
      <c r="B152" s="423">
        <f>P152</f>
        <v>4.2999999999999997E-2</v>
      </c>
      <c r="C152" s="188" t="s">
        <v>853</v>
      </c>
      <c r="D152" s="386" t="s">
        <v>2</v>
      </c>
      <c r="E152" s="188" t="s">
        <v>29</v>
      </c>
      <c r="F152" s="37" t="s">
        <v>14</v>
      </c>
      <c r="G152" s="188" t="s">
        <v>30</v>
      </c>
      <c r="H152" s="188">
        <v>1</v>
      </c>
      <c r="I152" s="188">
        <f>B152</f>
        <v>4.2999999999999997E-2</v>
      </c>
      <c r="J152" s="188" t="s">
        <v>31</v>
      </c>
      <c r="K152" s="188" t="s">
        <v>31</v>
      </c>
      <c r="L152" s="188" t="s">
        <v>31</v>
      </c>
      <c r="M152" s="188" t="s">
        <v>31</v>
      </c>
      <c r="N152" s="188"/>
      <c r="O152" s="449" t="s">
        <v>855</v>
      </c>
      <c r="P152" s="447">
        <v>4.2999999999999997E-2</v>
      </c>
      <c r="Q152" s="188"/>
      <c r="R152" s="188"/>
      <c r="S152" s="188"/>
      <c r="T152" s="188"/>
      <c r="U152" s="188"/>
    </row>
    <row r="153" spans="1:21">
      <c r="A153" s="188" t="s">
        <v>1170</v>
      </c>
      <c r="B153" s="423">
        <f t="shared" ref="B153:B156" si="7">P153</f>
        <v>1.2999999999999999E-2</v>
      </c>
      <c r="C153" s="188" t="s">
        <v>853</v>
      </c>
      <c r="D153" s="386" t="s">
        <v>2</v>
      </c>
      <c r="E153" s="188" t="s">
        <v>29</v>
      </c>
      <c r="F153" s="37" t="s">
        <v>14</v>
      </c>
      <c r="G153" s="188" t="s">
        <v>33</v>
      </c>
      <c r="H153" s="188">
        <v>1</v>
      </c>
      <c r="I153" s="188">
        <f>B153</f>
        <v>1.2999999999999999E-2</v>
      </c>
      <c r="J153" s="188" t="s">
        <v>31</v>
      </c>
      <c r="K153" s="188" t="s">
        <v>31</v>
      </c>
      <c r="L153" s="188" t="s">
        <v>31</v>
      </c>
      <c r="M153" s="188" t="s">
        <v>31</v>
      </c>
      <c r="N153" s="188"/>
      <c r="O153" s="449" t="s">
        <v>873</v>
      </c>
      <c r="P153" s="450">
        <v>1.2999999999999999E-2</v>
      </c>
      <c r="Q153" s="188"/>
      <c r="R153" s="188"/>
      <c r="S153" s="188"/>
      <c r="T153" s="188"/>
      <c r="U153" s="188"/>
    </row>
    <row r="154" spans="1:21">
      <c r="A154" s="188" t="s">
        <v>1171</v>
      </c>
      <c r="B154" s="423">
        <f t="shared" si="7"/>
        <v>4.2999999999999997E-2</v>
      </c>
      <c r="C154" s="188" t="s">
        <v>853</v>
      </c>
      <c r="D154" s="386" t="s">
        <v>2</v>
      </c>
      <c r="E154" s="188" t="s">
        <v>29</v>
      </c>
      <c r="F154" s="37" t="s">
        <v>14</v>
      </c>
      <c r="G154" s="188" t="s">
        <v>33</v>
      </c>
      <c r="H154" s="188">
        <v>1</v>
      </c>
      <c r="I154" s="188">
        <f>B154</f>
        <v>4.2999999999999997E-2</v>
      </c>
      <c r="J154" s="188" t="s">
        <v>31</v>
      </c>
      <c r="K154" s="188" t="s">
        <v>31</v>
      </c>
      <c r="L154" s="188" t="s">
        <v>31</v>
      </c>
      <c r="M154" s="188" t="s">
        <v>31</v>
      </c>
      <c r="N154" s="188"/>
      <c r="O154" s="378" t="s">
        <v>873</v>
      </c>
      <c r="P154" s="447">
        <v>4.2999999999999997E-2</v>
      </c>
      <c r="Q154" s="188"/>
      <c r="R154" s="188"/>
      <c r="S154" s="188"/>
      <c r="T154" s="188"/>
      <c r="U154" s="188"/>
    </row>
    <row r="155" spans="1:21">
      <c r="A155" s="323" t="s">
        <v>265</v>
      </c>
      <c r="B155" s="423">
        <f t="shared" si="7"/>
        <v>1.04</v>
      </c>
      <c r="C155" s="188" t="s">
        <v>39</v>
      </c>
      <c r="D155" s="188" t="s">
        <v>40</v>
      </c>
      <c r="E155" s="188" t="s">
        <v>29</v>
      </c>
      <c r="F155" s="37" t="s">
        <v>35</v>
      </c>
      <c r="G155" s="188" t="s">
        <v>33</v>
      </c>
      <c r="H155" s="188">
        <v>2</v>
      </c>
      <c r="I155" s="188">
        <f t="shared" ref="I155:I156" si="8">LN(B155)</f>
        <v>3.9220713153281329E-2</v>
      </c>
      <c r="J155" s="188">
        <v>9.7082439194738052E-2</v>
      </c>
      <c r="K155" s="188" t="s">
        <v>31</v>
      </c>
      <c r="L155" s="188" t="s">
        <v>31</v>
      </c>
      <c r="M155" s="188" t="s">
        <v>31</v>
      </c>
      <c r="N155" s="188"/>
      <c r="O155" s="379" t="s">
        <v>271</v>
      </c>
      <c r="P155" s="107">
        <v>1.04</v>
      </c>
      <c r="Q155" s="188" t="s">
        <v>271</v>
      </c>
      <c r="R155" s="327">
        <f>P155</f>
        <v>1.04</v>
      </c>
      <c r="S155" s="188"/>
      <c r="T155" s="188"/>
      <c r="U155" s="188"/>
    </row>
    <row r="156" spans="1:21">
      <c r="A156" s="323" t="s">
        <v>845</v>
      </c>
      <c r="B156" s="423">
        <f t="shared" si="7"/>
        <v>2.8</v>
      </c>
      <c r="C156" s="188" t="s">
        <v>37</v>
      </c>
      <c r="D156" s="188" t="s">
        <v>40</v>
      </c>
      <c r="E156" s="188" t="s">
        <v>29</v>
      </c>
      <c r="F156" s="37" t="s">
        <v>35</v>
      </c>
      <c r="G156" s="188" t="s">
        <v>33</v>
      </c>
      <c r="H156" s="188">
        <v>2</v>
      </c>
      <c r="I156" s="188">
        <f t="shared" si="8"/>
        <v>1.0296194171811581</v>
      </c>
      <c r="J156" s="188">
        <v>9.7082439194738052E-2</v>
      </c>
      <c r="K156" s="188" t="s">
        <v>31</v>
      </c>
      <c r="L156" s="188" t="s">
        <v>31</v>
      </c>
      <c r="M156" s="188" t="s">
        <v>31</v>
      </c>
      <c r="N156" s="188"/>
      <c r="O156" s="379" t="s">
        <v>275</v>
      </c>
      <c r="P156" s="107">
        <v>2.8</v>
      </c>
      <c r="Q156" s="188"/>
      <c r="R156" s="188"/>
      <c r="S156" s="188"/>
      <c r="T156" s="188"/>
      <c r="U156" s="188"/>
    </row>
    <row r="157" spans="1:21" s="73" customFormat="1">
      <c r="A157" s="347" t="s">
        <v>5</v>
      </c>
      <c r="B157" s="348" t="s">
        <v>1171</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1172</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23">
        <f>B167</f>
        <v>4.2999999999999997E-2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1171</v>
      </c>
      <c r="B167" s="393">
        <f>P167</f>
        <v>4.2999999999999997E-2</v>
      </c>
      <c r="C167" s="188" t="s">
        <v>853</v>
      </c>
      <c r="D167" s="386" t="s">
        <v>2</v>
      </c>
      <c r="E167" s="188" t="s">
        <v>29</v>
      </c>
      <c r="F167" s="37" t="s">
        <v>14</v>
      </c>
      <c r="G167" s="188" t="s">
        <v>30</v>
      </c>
      <c r="H167" s="188">
        <v>1</v>
      </c>
      <c r="I167" s="188">
        <f>B167</f>
        <v>4.2999999999999997E-2</v>
      </c>
      <c r="J167" s="188" t="s">
        <v>31</v>
      </c>
      <c r="K167" s="188" t="s">
        <v>31</v>
      </c>
      <c r="L167" s="188" t="s">
        <v>31</v>
      </c>
      <c r="M167" s="188" t="s">
        <v>31</v>
      </c>
      <c r="N167" s="188"/>
      <c r="O167" s="188"/>
      <c r="P167" s="447">
        <v>4.2999999999999997E-2</v>
      </c>
      <c r="Q167" s="188"/>
      <c r="R167" s="188"/>
      <c r="S167" s="188"/>
      <c r="T167" s="188"/>
      <c r="U167" s="188"/>
    </row>
    <row r="168" spans="1:21">
      <c r="A168" s="192" t="s">
        <v>1173</v>
      </c>
      <c r="B168" s="393">
        <f>P168</f>
        <v>4.2999999999999997E-2</v>
      </c>
      <c r="C168" s="188" t="s">
        <v>853</v>
      </c>
      <c r="D168" s="386" t="s">
        <v>2</v>
      </c>
      <c r="E168" s="188" t="s">
        <v>29</v>
      </c>
      <c r="F168" s="37" t="s">
        <v>14</v>
      </c>
      <c r="G168" s="188" t="s">
        <v>33</v>
      </c>
      <c r="H168" s="188">
        <v>1</v>
      </c>
      <c r="I168" s="188">
        <f>B168</f>
        <v>4.2999999999999997E-2</v>
      </c>
      <c r="J168" s="188" t="s">
        <v>31</v>
      </c>
      <c r="K168" s="188" t="s">
        <v>31</v>
      </c>
      <c r="L168" s="188" t="s">
        <v>31</v>
      </c>
      <c r="M168" s="188" t="s">
        <v>31</v>
      </c>
      <c r="N168" s="188"/>
      <c r="O168" s="188"/>
      <c r="P168" s="447">
        <v>4.2999999999999997E-2</v>
      </c>
      <c r="Q168" s="188"/>
      <c r="R168" s="188"/>
      <c r="S168" s="188"/>
      <c r="T168" s="188"/>
      <c r="U168" s="188"/>
    </row>
    <row r="169" spans="1:21">
      <c r="A169" s="323" t="s">
        <v>265</v>
      </c>
      <c r="B169" s="327">
        <f>R169</f>
        <v>0.12</v>
      </c>
      <c r="C169" s="188" t="s">
        <v>39</v>
      </c>
      <c r="D169" s="188" t="s">
        <v>40</v>
      </c>
      <c r="E169" s="188" t="s">
        <v>29</v>
      </c>
      <c r="F169" s="37" t="s">
        <v>35</v>
      </c>
      <c r="G169" s="188" t="s">
        <v>33</v>
      </c>
      <c r="H169" s="188">
        <v>2</v>
      </c>
      <c r="I169" s="188">
        <f t="shared" ref="I169:I173" si="9">LN(B169)</f>
        <v>-2.120263536200091</v>
      </c>
      <c r="J169" s="188">
        <v>0.20928449536456342</v>
      </c>
      <c r="K169" s="188" t="s">
        <v>31</v>
      </c>
      <c r="L169" s="188" t="s">
        <v>31</v>
      </c>
      <c r="M169" s="188" t="s">
        <v>31</v>
      </c>
      <c r="N169" s="188"/>
      <c r="O169" s="361" t="s">
        <v>271</v>
      </c>
      <c r="P169" s="107">
        <v>0.12</v>
      </c>
      <c r="Q169" s="188" t="s">
        <v>271</v>
      </c>
      <c r="R169" s="327">
        <f>P169</f>
        <v>0.12</v>
      </c>
      <c r="S169" s="188"/>
      <c r="T169" s="188"/>
      <c r="U169" s="188"/>
    </row>
    <row r="170" spans="1:21">
      <c r="A170" s="84" t="s">
        <v>843</v>
      </c>
      <c r="B170" s="188">
        <f>R170</f>
        <v>3.7000000000000002E-3</v>
      </c>
      <c r="C170" s="188" t="s">
        <v>37</v>
      </c>
      <c r="D170" s="188" t="s">
        <v>40</v>
      </c>
      <c r="E170" s="188" t="s">
        <v>29</v>
      </c>
      <c r="F170" s="37" t="s">
        <v>35</v>
      </c>
      <c r="G170" s="188" t="s">
        <v>33</v>
      </c>
      <c r="H170" s="188">
        <v>2</v>
      </c>
      <c r="I170" s="188">
        <f t="shared" si="9"/>
        <v>-5.5994224593319579</v>
      </c>
      <c r="J170" s="188">
        <v>0.20928449536456342</v>
      </c>
      <c r="K170" s="188" t="s">
        <v>31</v>
      </c>
      <c r="L170" s="188" t="s">
        <v>31</v>
      </c>
      <c r="M170" s="188" t="s">
        <v>31</v>
      </c>
      <c r="N170" s="188"/>
      <c r="O170" s="379" t="s">
        <v>857</v>
      </c>
      <c r="P170" s="107">
        <v>3.7</v>
      </c>
      <c r="Q170" s="188" t="s">
        <v>275</v>
      </c>
      <c r="R170" s="188">
        <f>0.001*P170</f>
        <v>3.7000000000000002E-3</v>
      </c>
      <c r="S170" s="188"/>
      <c r="T170" s="188"/>
      <c r="U170" s="188"/>
    </row>
    <row r="171" spans="1:21">
      <c r="A171" s="84" t="s">
        <v>489</v>
      </c>
      <c r="B171" s="188">
        <f>R171</f>
        <v>5.9999999999999995E-4</v>
      </c>
      <c r="C171" s="188" t="s">
        <v>37</v>
      </c>
      <c r="D171" s="188" t="s">
        <v>40</v>
      </c>
      <c r="E171" s="188" t="s">
        <v>29</v>
      </c>
      <c r="F171" s="37" t="s">
        <v>59</v>
      </c>
      <c r="G171" s="188" t="s">
        <v>33</v>
      </c>
      <c r="H171" s="188">
        <v>2</v>
      </c>
      <c r="I171" s="188">
        <f t="shared" si="9"/>
        <v>-7.4185809027481282</v>
      </c>
      <c r="J171" s="188">
        <v>0.20928449536456342</v>
      </c>
      <c r="K171" s="188" t="s">
        <v>31</v>
      </c>
      <c r="L171" s="188" t="s">
        <v>31</v>
      </c>
      <c r="M171" s="188" t="s">
        <v>31</v>
      </c>
      <c r="N171" s="188"/>
      <c r="O171" s="379" t="s">
        <v>857</v>
      </c>
      <c r="P171" s="107">
        <v>0.6</v>
      </c>
      <c r="Q171" s="188" t="s">
        <v>275</v>
      </c>
      <c r="R171" s="188">
        <f t="shared" ref="R171:R173" si="10">0.001*P171</f>
        <v>5.9999999999999995E-4</v>
      </c>
      <c r="S171" s="188"/>
      <c r="T171" s="188"/>
      <c r="U171" s="188"/>
    </row>
    <row r="172" spans="1:21">
      <c r="A172" s="323" t="s">
        <v>844</v>
      </c>
      <c r="B172" s="188">
        <f>R172</f>
        <v>1.8100000000000002E-2</v>
      </c>
      <c r="C172" s="188" t="s">
        <v>37</v>
      </c>
      <c r="D172" s="188" t="s">
        <v>40</v>
      </c>
      <c r="E172" s="188" t="s">
        <v>29</v>
      </c>
      <c r="F172" s="37" t="s">
        <v>74</v>
      </c>
      <c r="G172" s="188" t="s">
        <v>33</v>
      </c>
      <c r="H172" s="188">
        <v>2</v>
      </c>
      <c r="I172" s="188">
        <f t="shared" si="9"/>
        <v>-4.0118433407103566</v>
      </c>
      <c r="J172" s="188">
        <v>0.20928449536456342</v>
      </c>
      <c r="K172" s="188" t="s">
        <v>31</v>
      </c>
      <c r="L172" s="188" t="s">
        <v>31</v>
      </c>
      <c r="M172" s="188" t="s">
        <v>31</v>
      </c>
      <c r="N172" s="188"/>
      <c r="O172" s="379" t="s">
        <v>857</v>
      </c>
      <c r="P172" s="107">
        <v>18.100000000000001</v>
      </c>
      <c r="Q172" s="188" t="s">
        <v>275</v>
      </c>
      <c r="R172" s="188">
        <f t="shared" si="10"/>
        <v>1.8100000000000002E-2</v>
      </c>
      <c r="S172" s="188"/>
      <c r="T172" s="188"/>
      <c r="U172" s="188"/>
    </row>
    <row r="173" spans="1:21">
      <c r="A173" s="188" t="s">
        <v>829</v>
      </c>
      <c r="B173" s="188">
        <f>R173</f>
        <v>4.2000000000000006E-3</v>
      </c>
      <c r="C173" s="188" t="s">
        <v>37</v>
      </c>
      <c r="D173" s="386" t="s">
        <v>2</v>
      </c>
      <c r="E173" s="188" t="s">
        <v>29</v>
      </c>
      <c r="F173" s="37" t="s">
        <v>74</v>
      </c>
      <c r="G173" s="188" t="s">
        <v>33</v>
      </c>
      <c r="H173" s="188">
        <v>2</v>
      </c>
      <c r="I173" s="188">
        <f t="shared" si="9"/>
        <v>-5.4726707536928139</v>
      </c>
      <c r="J173" s="188">
        <v>0.20928449536456342</v>
      </c>
      <c r="K173" s="188" t="s">
        <v>31</v>
      </c>
      <c r="L173" s="188" t="s">
        <v>31</v>
      </c>
      <c r="M173" s="188" t="s">
        <v>31</v>
      </c>
      <c r="N173" s="188"/>
      <c r="O173" s="425" t="s">
        <v>857</v>
      </c>
      <c r="P173" s="123">
        <v>4.2</v>
      </c>
      <c r="Q173" s="188" t="s">
        <v>275</v>
      </c>
      <c r="R173" s="188">
        <f t="shared" si="10"/>
        <v>4.2000000000000006E-3</v>
      </c>
      <c r="S173" s="188"/>
      <c r="T173" s="188"/>
      <c r="U173" s="188"/>
    </row>
    <row r="174" spans="1:21" s="73" customFormat="1">
      <c r="A174" s="347" t="s">
        <v>5</v>
      </c>
      <c r="B174" s="348" t="s">
        <v>1173</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1174</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4.2999999999999997E-2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1173</v>
      </c>
      <c r="B184" s="393">
        <v>4.2999999999999997E-2</v>
      </c>
      <c r="C184" s="188" t="s">
        <v>853</v>
      </c>
      <c r="D184" s="386" t="s">
        <v>2</v>
      </c>
      <c r="E184" s="188" t="s">
        <v>29</v>
      </c>
      <c r="F184" s="37" t="s">
        <v>14</v>
      </c>
      <c r="G184" s="188" t="s">
        <v>30</v>
      </c>
      <c r="H184" s="188">
        <v>1</v>
      </c>
      <c r="I184" s="188">
        <f>B184</f>
        <v>4.2999999999999997E-2</v>
      </c>
      <c r="J184" s="188" t="s">
        <v>31</v>
      </c>
      <c r="K184" s="188" t="s">
        <v>31</v>
      </c>
      <c r="L184" s="188" t="s">
        <v>31</v>
      </c>
      <c r="M184" s="188" t="s">
        <v>31</v>
      </c>
      <c r="N184" s="188"/>
      <c r="O184" s="188"/>
      <c r="P184" s="188"/>
      <c r="Q184" s="188"/>
      <c r="R184" s="188"/>
      <c r="S184" s="188"/>
      <c r="T184" s="188"/>
      <c r="U184" s="188"/>
    </row>
    <row r="185" spans="1:21">
      <c r="A185" s="188" t="s">
        <v>1175</v>
      </c>
      <c r="B185" s="393">
        <v>4.2999999999999997E-2</v>
      </c>
      <c r="C185" s="188" t="s">
        <v>853</v>
      </c>
      <c r="D185" s="386" t="s">
        <v>2</v>
      </c>
      <c r="E185" s="188" t="s">
        <v>29</v>
      </c>
      <c r="F185" s="37" t="s">
        <v>14</v>
      </c>
      <c r="G185" s="188" t="s">
        <v>33</v>
      </c>
      <c r="H185" s="188">
        <v>1</v>
      </c>
      <c r="I185" s="188">
        <f>B185</f>
        <v>4.2999999999999997E-2</v>
      </c>
      <c r="J185" s="188" t="s">
        <v>31</v>
      </c>
      <c r="K185" s="188" t="s">
        <v>31</v>
      </c>
      <c r="L185" s="188" t="s">
        <v>31</v>
      </c>
      <c r="M185" s="188" t="s">
        <v>31</v>
      </c>
      <c r="N185" s="188"/>
      <c r="O185" s="188"/>
      <c r="P185" s="188"/>
      <c r="Q185" s="188"/>
      <c r="R185" s="188"/>
      <c r="S185" s="188"/>
      <c r="T185" s="188"/>
      <c r="U185" s="188"/>
    </row>
    <row r="186" spans="1:21">
      <c r="A186" s="323" t="s">
        <v>265</v>
      </c>
      <c r="B186" s="327">
        <f>P186</f>
        <v>2.54</v>
      </c>
      <c r="C186" s="188" t="s">
        <v>39</v>
      </c>
      <c r="D186" s="188" t="s">
        <v>40</v>
      </c>
      <c r="E186" s="188" t="s">
        <v>29</v>
      </c>
      <c r="F186" s="37" t="s">
        <v>35</v>
      </c>
      <c r="G186" s="188" t="s">
        <v>33</v>
      </c>
      <c r="H186" s="188">
        <v>2</v>
      </c>
      <c r="I186" s="188">
        <f t="shared" ref="I186:I187" si="11">LN(B186)</f>
        <v>0.93216408103044524</v>
      </c>
      <c r="J186" s="188">
        <v>0.20928449536456342</v>
      </c>
      <c r="K186" s="188" t="s">
        <v>31</v>
      </c>
      <c r="L186" s="188" t="s">
        <v>31</v>
      </c>
      <c r="M186" s="188" t="s">
        <v>31</v>
      </c>
      <c r="N186" s="188"/>
      <c r="O186" s="379" t="s">
        <v>271</v>
      </c>
      <c r="P186" s="107">
        <f>0.79+1.75</f>
        <v>2.54</v>
      </c>
      <c r="Q186" s="188"/>
      <c r="R186" s="188"/>
      <c r="S186" s="188"/>
      <c r="T186" s="188"/>
      <c r="U186" s="188"/>
    </row>
    <row r="187" spans="1:21">
      <c r="A187" s="323" t="s">
        <v>844</v>
      </c>
      <c r="B187" s="188">
        <f>R187</f>
        <v>5.0999999999999995E-3</v>
      </c>
      <c r="C187" s="188" t="s">
        <v>37</v>
      </c>
      <c r="D187" s="188" t="s">
        <v>40</v>
      </c>
      <c r="E187" s="188" t="s">
        <v>29</v>
      </c>
      <c r="F187" s="37" t="s">
        <v>74</v>
      </c>
      <c r="G187" s="188" t="s">
        <v>33</v>
      </c>
      <c r="H187" s="188">
        <v>2</v>
      </c>
      <c r="I187" s="188">
        <f t="shared" si="11"/>
        <v>-5.2785147392518574</v>
      </c>
      <c r="J187" s="188">
        <v>0.20928449536456342</v>
      </c>
      <c r="K187" s="188" t="s">
        <v>31</v>
      </c>
      <c r="L187" s="188" t="s">
        <v>31</v>
      </c>
      <c r="M187" s="188" t="s">
        <v>31</v>
      </c>
      <c r="N187" s="188"/>
      <c r="O187" s="379" t="s">
        <v>857</v>
      </c>
      <c r="P187" s="107">
        <v>5.0999999999999996</v>
      </c>
      <c r="Q187" s="188" t="s">
        <v>275</v>
      </c>
      <c r="R187" s="188">
        <f>P187*0.001</f>
        <v>5.0999999999999995E-3</v>
      </c>
      <c r="S187" s="188"/>
      <c r="T187" s="188"/>
      <c r="U187" s="188"/>
    </row>
    <row r="188" spans="1:21">
      <c r="A188" s="84" t="s">
        <v>987</v>
      </c>
      <c r="B188" s="188">
        <f>R188</f>
        <v>6.2000000000000006E-3</v>
      </c>
      <c r="C188" s="188" t="s">
        <v>37</v>
      </c>
      <c r="D188" s="188" t="s">
        <v>40</v>
      </c>
      <c r="E188" s="188" t="s">
        <v>29</v>
      </c>
      <c r="F188" s="188" t="s">
        <v>35</v>
      </c>
      <c r="G188" s="188" t="s">
        <v>33</v>
      </c>
      <c r="H188" s="188">
        <v>2</v>
      </c>
      <c r="I188" s="188">
        <f>LN(B188)</f>
        <v>-5.083205986931091</v>
      </c>
      <c r="J188" s="188">
        <v>0.20928449536456342</v>
      </c>
      <c r="K188" s="188" t="s">
        <v>31</v>
      </c>
      <c r="L188" s="188" t="s">
        <v>31</v>
      </c>
      <c r="M188" s="188" t="s">
        <v>31</v>
      </c>
      <c r="N188" s="188"/>
      <c r="O188" s="379" t="s">
        <v>857</v>
      </c>
      <c r="P188" s="107">
        <v>6.2</v>
      </c>
      <c r="Q188" s="188" t="s">
        <v>275</v>
      </c>
      <c r="R188" s="188">
        <f>P188*0.001</f>
        <v>6.2000000000000006E-3</v>
      </c>
      <c r="S188" s="188"/>
      <c r="T188" s="188"/>
      <c r="U188" s="188"/>
    </row>
    <row r="189" spans="1:21">
      <c r="A189" s="188" t="s">
        <v>829</v>
      </c>
      <c r="B189" s="188">
        <f>R189</f>
        <v>6.2000000000000006E-3</v>
      </c>
      <c r="C189" s="188" t="s">
        <v>37</v>
      </c>
      <c r="D189" s="386" t="s">
        <v>2</v>
      </c>
      <c r="E189" s="188" t="s">
        <v>29</v>
      </c>
      <c r="F189" s="37" t="s">
        <v>74</v>
      </c>
      <c r="G189" s="188" t="s">
        <v>33</v>
      </c>
      <c r="H189" s="188">
        <v>2</v>
      </c>
      <c r="I189" s="188">
        <f t="shared" ref="I189" si="12">LN(B189)</f>
        <v>-5.083205986931091</v>
      </c>
      <c r="J189" s="188">
        <v>0.20928449536456342</v>
      </c>
      <c r="K189" s="188" t="s">
        <v>31</v>
      </c>
      <c r="L189" s="188" t="s">
        <v>31</v>
      </c>
      <c r="M189" s="188" t="s">
        <v>31</v>
      </c>
      <c r="N189" s="188"/>
      <c r="O189" s="425" t="s">
        <v>857</v>
      </c>
      <c r="P189" s="123">
        <v>6.2</v>
      </c>
      <c r="Q189" s="188" t="s">
        <v>275</v>
      </c>
      <c r="R189" s="188">
        <f t="shared" ref="R189" si="13">0.001*P189</f>
        <v>6.2000000000000006E-3</v>
      </c>
      <c r="S189" s="188"/>
      <c r="T189" s="188"/>
      <c r="U189" s="188"/>
    </row>
    <row r="190" spans="1:21" s="73" customFormat="1">
      <c r="A190" s="347" t="s">
        <v>5</v>
      </c>
      <c r="B190" s="348" t="s">
        <v>1175</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1176</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23" t="s">
        <v>15</v>
      </c>
      <c r="B195" s="403">
        <f>B200</f>
        <v>0.78</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c r="R196" s="321" t="s">
        <v>937</v>
      </c>
      <c r="S196" s="188"/>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t="s">
        <v>938</v>
      </c>
      <c r="S197" s="188">
        <v>8900</v>
      </c>
      <c r="T197" s="188" t="s">
        <v>939</v>
      </c>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t="s">
        <v>940</v>
      </c>
      <c r="S198" s="188">
        <f>5*10^-6</f>
        <v>4.9999999999999996E-6</v>
      </c>
      <c r="T198" s="188" t="s">
        <v>941</v>
      </c>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c r="R199" s="405" t="s">
        <v>942</v>
      </c>
      <c r="S199" s="406">
        <v>0.86</v>
      </c>
      <c r="T199" s="407" t="s">
        <v>943</v>
      </c>
      <c r="U199" s="188"/>
    </row>
    <row r="200" spans="1:21">
      <c r="A200" s="188" t="s">
        <v>1175</v>
      </c>
      <c r="B200" s="451">
        <v>0.78</v>
      </c>
      <c r="C200" s="188" t="s">
        <v>853</v>
      </c>
      <c r="D200" s="386" t="s">
        <v>2</v>
      </c>
      <c r="E200" s="188" t="s">
        <v>29</v>
      </c>
      <c r="F200" s="188" t="s">
        <v>14</v>
      </c>
      <c r="G200" s="188" t="s">
        <v>30</v>
      </c>
      <c r="H200" s="188">
        <v>1</v>
      </c>
      <c r="I200" s="188">
        <f>B200</f>
        <v>0.78</v>
      </c>
      <c r="J200" s="188" t="s">
        <v>31</v>
      </c>
      <c r="K200" s="188" t="s">
        <v>31</v>
      </c>
      <c r="L200" s="188" t="s">
        <v>31</v>
      </c>
      <c r="M200" s="188" t="s">
        <v>31</v>
      </c>
      <c r="N200" s="188"/>
      <c r="O200" s="427" t="s">
        <v>944</v>
      </c>
      <c r="P200" s="428">
        <f>B200*100</f>
        <v>78</v>
      </c>
      <c r="Q200" s="188"/>
      <c r="R200" s="188"/>
      <c r="S200" s="188"/>
      <c r="T200" s="188"/>
      <c r="U200" s="188"/>
    </row>
    <row r="201" spans="1:21">
      <c r="A201" s="188" t="s">
        <v>1177</v>
      </c>
      <c r="B201" s="451">
        <v>0.78</v>
      </c>
      <c r="C201" s="188" t="s">
        <v>853</v>
      </c>
      <c r="D201" s="386" t="s">
        <v>2</v>
      </c>
      <c r="E201" s="188" t="s">
        <v>29</v>
      </c>
      <c r="F201" s="188" t="s">
        <v>14</v>
      </c>
      <c r="G201" s="188" t="s">
        <v>33</v>
      </c>
      <c r="H201" s="188">
        <v>1</v>
      </c>
      <c r="I201" s="188">
        <f>B201</f>
        <v>0.78</v>
      </c>
      <c r="J201" s="188">
        <v>7.2284161474004766E-2</v>
      </c>
      <c r="K201" s="188" t="s">
        <v>31</v>
      </c>
      <c r="L201" s="188" t="s">
        <v>31</v>
      </c>
      <c r="M201" s="188" t="s">
        <v>31</v>
      </c>
      <c r="N201" s="188"/>
      <c r="O201" s="379" t="s">
        <v>944</v>
      </c>
      <c r="P201" s="392">
        <f>B201*100</f>
        <v>78</v>
      </c>
      <c r="Q201" s="188"/>
      <c r="R201" s="188" t="s">
        <v>945</v>
      </c>
      <c r="S201" s="188"/>
      <c r="T201" s="188"/>
      <c r="U201" s="388"/>
    </row>
    <row r="202" spans="1:21">
      <c r="A202" s="192" t="s">
        <v>1132</v>
      </c>
      <c r="B202" s="398">
        <f>T202</f>
        <v>0.6966</v>
      </c>
      <c r="C202" s="188" t="s">
        <v>37</v>
      </c>
      <c r="D202" s="386" t="s">
        <v>2</v>
      </c>
      <c r="E202" s="188" t="s">
        <v>29</v>
      </c>
      <c r="F202" s="37" t="s">
        <v>14</v>
      </c>
      <c r="G202" s="188" t="s">
        <v>33</v>
      </c>
      <c r="H202" s="188">
        <v>1</v>
      </c>
      <c r="I202" s="188">
        <f>B202</f>
        <v>0.6966</v>
      </c>
      <c r="J202" s="188">
        <v>7.2284161474004766E-2</v>
      </c>
      <c r="K202" s="188" t="s">
        <v>31</v>
      </c>
      <c r="L202" s="188" t="s">
        <v>31</v>
      </c>
      <c r="M202" s="188" t="s">
        <v>31</v>
      </c>
      <c r="N202" s="188"/>
      <c r="O202" s="192"/>
      <c r="P202" s="399"/>
      <c r="Q202" s="188"/>
      <c r="R202" s="408">
        <v>0.81</v>
      </c>
      <c r="S202" s="409" t="s">
        <v>855</v>
      </c>
      <c r="T202" s="408">
        <f>R202*S199</f>
        <v>0.6966</v>
      </c>
      <c r="U202" s="409" t="s">
        <v>275</v>
      </c>
    </row>
    <row r="203" spans="1:21">
      <c r="A203" s="323" t="s">
        <v>844</v>
      </c>
      <c r="B203" s="188">
        <f>P203</f>
        <v>6.5</v>
      </c>
      <c r="C203" s="188" t="s">
        <v>37</v>
      </c>
      <c r="D203" s="188" t="s">
        <v>40</v>
      </c>
      <c r="E203" s="188" t="s">
        <v>29</v>
      </c>
      <c r="F203" s="37" t="s">
        <v>74</v>
      </c>
      <c r="G203" s="188" t="s">
        <v>33</v>
      </c>
      <c r="H203" s="188">
        <v>2</v>
      </c>
      <c r="I203" s="188">
        <f t="shared" ref="I203" si="14">LN(B203)</f>
        <v>1.8718021769015913</v>
      </c>
      <c r="J203" s="188">
        <v>7.2284161474004766E-2</v>
      </c>
      <c r="K203" s="188" t="s">
        <v>31</v>
      </c>
      <c r="L203" s="188" t="s">
        <v>31</v>
      </c>
      <c r="M203" s="188" t="s">
        <v>31</v>
      </c>
      <c r="N203" s="188"/>
      <c r="O203" s="379" t="s">
        <v>275</v>
      </c>
      <c r="P203" s="107">
        <v>6.5</v>
      </c>
      <c r="Q203" s="188"/>
      <c r="R203" s="188"/>
      <c r="S203" s="188"/>
      <c r="T203" s="188"/>
      <c r="U203" s="188"/>
    </row>
    <row r="204" spans="1:21">
      <c r="A204" s="84" t="s">
        <v>924</v>
      </c>
      <c r="B204" s="429">
        <f>R204</f>
        <v>2.9999999999999999E-7</v>
      </c>
      <c r="C204" s="188" t="s">
        <v>37</v>
      </c>
      <c r="D204" s="188" t="s">
        <v>40</v>
      </c>
      <c r="E204" s="188" t="s">
        <v>29</v>
      </c>
      <c r="F204" s="37" t="s">
        <v>59</v>
      </c>
      <c r="G204" s="188" t="s">
        <v>33</v>
      </c>
      <c r="H204" s="188">
        <v>2</v>
      </c>
      <c r="I204" s="188">
        <f>LN(B204)</f>
        <v>-15.01948336229021</v>
      </c>
      <c r="J204" s="188">
        <v>7.2284161474004766E-2</v>
      </c>
      <c r="K204" s="188" t="s">
        <v>31</v>
      </c>
      <c r="L204" s="188" t="s">
        <v>31</v>
      </c>
      <c r="M204" s="188" t="s">
        <v>31</v>
      </c>
      <c r="N204" s="188"/>
      <c r="O204" s="394" t="s">
        <v>862</v>
      </c>
      <c r="P204" s="145">
        <v>0.3</v>
      </c>
      <c r="Q204" s="188" t="s">
        <v>275</v>
      </c>
      <c r="R204" s="188">
        <f>0.000001*P204</f>
        <v>2.9999999999999999E-7</v>
      </c>
      <c r="S204" s="188"/>
      <c r="T204" s="188"/>
      <c r="U204" s="188"/>
    </row>
    <row r="205" spans="1:21">
      <c r="A205" s="84" t="s">
        <v>76</v>
      </c>
      <c r="B205" s="429">
        <f>R205</f>
        <v>6.5000000000000006E-3</v>
      </c>
      <c r="C205" s="188" t="s">
        <v>42</v>
      </c>
      <c r="D205" s="188" t="s">
        <v>40</v>
      </c>
      <c r="E205" s="188" t="s">
        <v>29</v>
      </c>
      <c r="F205" s="37" t="s">
        <v>74</v>
      </c>
      <c r="G205" s="188" t="s">
        <v>33</v>
      </c>
      <c r="H205" s="188">
        <v>2</v>
      </c>
      <c r="I205" s="188">
        <f t="shared" ref="I205" si="15">LN(B205)</f>
        <v>-5.0359531020805459</v>
      </c>
      <c r="J205" s="188">
        <v>7.2284161474004766E-2</v>
      </c>
      <c r="K205" s="188" t="s">
        <v>31</v>
      </c>
      <c r="L205" s="188" t="s">
        <v>31</v>
      </c>
      <c r="M205" s="188" t="s">
        <v>31</v>
      </c>
      <c r="N205" s="188"/>
      <c r="O205" s="396" t="s">
        <v>913</v>
      </c>
      <c r="P205" s="123">
        <v>6.5</v>
      </c>
      <c r="Q205" s="188" t="s">
        <v>274</v>
      </c>
      <c r="R205" s="188">
        <f>0.001*P205</f>
        <v>6.5000000000000006E-3</v>
      </c>
      <c r="S205" s="188"/>
      <c r="T205" s="188"/>
      <c r="U205" s="188"/>
    </row>
    <row r="206" spans="1:21" s="73" customFormat="1">
      <c r="A206" s="347" t="s">
        <v>5</v>
      </c>
      <c r="B206" s="348" t="s">
        <v>1177</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1178</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f>B216</f>
        <v>0.78</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1177</v>
      </c>
      <c r="B216" s="393">
        <v>0.78</v>
      </c>
      <c r="C216" s="188" t="s">
        <v>853</v>
      </c>
      <c r="D216" s="386" t="s">
        <v>2</v>
      </c>
      <c r="E216" s="188" t="s">
        <v>29</v>
      </c>
      <c r="F216" s="188" t="s">
        <v>14</v>
      </c>
      <c r="G216" s="188" t="s">
        <v>30</v>
      </c>
      <c r="H216" s="188">
        <v>1</v>
      </c>
      <c r="I216" s="188">
        <f>B216</f>
        <v>0.78</v>
      </c>
      <c r="J216" s="188" t="s">
        <v>31</v>
      </c>
      <c r="K216" s="188" t="s">
        <v>31</v>
      </c>
      <c r="L216" s="188" t="s">
        <v>31</v>
      </c>
      <c r="M216" s="188" t="s">
        <v>31</v>
      </c>
      <c r="N216" s="188"/>
      <c r="O216" s="379" t="s">
        <v>855</v>
      </c>
      <c r="P216" s="157">
        <v>0.82</v>
      </c>
      <c r="Q216" s="188"/>
      <c r="R216" s="188"/>
      <c r="S216" s="188"/>
      <c r="T216" s="188"/>
      <c r="U216" s="188"/>
    </row>
    <row r="217" spans="1:21">
      <c r="A217" s="188" t="s">
        <v>1135</v>
      </c>
      <c r="B217" s="393">
        <f>'2C. Reusable'!B81</f>
        <v>4.46</v>
      </c>
      <c r="C217" s="188" t="s">
        <v>37</v>
      </c>
      <c r="D217" s="386" t="s">
        <v>2</v>
      </c>
      <c r="E217" s="188" t="s">
        <v>29</v>
      </c>
      <c r="F217" s="188" t="s">
        <v>14</v>
      </c>
      <c r="G217" s="188" t="s">
        <v>33</v>
      </c>
      <c r="H217" s="188">
        <v>1</v>
      </c>
      <c r="I217" s="188">
        <f>B217</f>
        <v>4.46</v>
      </c>
      <c r="J217" s="188" t="s">
        <v>31</v>
      </c>
      <c r="K217" s="188" t="s">
        <v>31</v>
      </c>
      <c r="L217" s="188" t="s">
        <v>31</v>
      </c>
      <c r="M217" s="188" t="s">
        <v>31</v>
      </c>
      <c r="N217" s="188"/>
      <c r="O217" s="410"/>
      <c r="P217" s="433">
        <v>0.93</v>
      </c>
      <c r="Q217" s="188" t="s">
        <v>1100</v>
      </c>
      <c r="R217" s="188"/>
      <c r="S217" s="188"/>
      <c r="T217" s="188"/>
      <c r="U217" s="188"/>
    </row>
    <row r="218" spans="1:21">
      <c r="A218" s="323" t="s">
        <v>265</v>
      </c>
      <c r="B218" s="327">
        <f>P218</f>
        <v>0.36</v>
      </c>
      <c r="C218" s="188" t="s">
        <v>39</v>
      </c>
      <c r="D218" s="188" t="s">
        <v>40</v>
      </c>
      <c r="E218" s="188" t="s">
        <v>29</v>
      </c>
      <c r="F218" s="37" t="s">
        <v>35</v>
      </c>
      <c r="G218" s="188" t="s">
        <v>33</v>
      </c>
      <c r="H218" s="188">
        <v>2</v>
      </c>
      <c r="I218" s="188">
        <f t="shared" ref="I218:I219" si="16">LN(B218)</f>
        <v>-1.0216512475319814</v>
      </c>
      <c r="J218" s="188">
        <v>7.2284161474004766E-2</v>
      </c>
      <c r="K218" s="188" t="s">
        <v>31</v>
      </c>
      <c r="L218" s="188" t="s">
        <v>31</v>
      </c>
      <c r="M218" s="188" t="s">
        <v>31</v>
      </c>
      <c r="N218" s="188"/>
      <c r="O218" s="379" t="s">
        <v>271</v>
      </c>
      <c r="P218" s="107">
        <v>0.36</v>
      </c>
      <c r="Q218" s="188"/>
      <c r="R218" s="188"/>
      <c r="S218" s="188"/>
      <c r="T218" s="188"/>
      <c r="U218" s="188"/>
    </row>
    <row r="219" spans="1:21">
      <c r="A219" s="84" t="s">
        <v>491</v>
      </c>
      <c r="B219" s="188">
        <f>R219</f>
        <v>9.0000000000000011E-3</v>
      </c>
      <c r="C219" s="393" t="s">
        <v>37</v>
      </c>
      <c r="D219" s="188" t="s">
        <v>40</v>
      </c>
      <c r="E219" s="188" t="s">
        <v>29</v>
      </c>
      <c r="F219" s="188" t="s">
        <v>59</v>
      </c>
      <c r="G219" s="188" t="s">
        <v>33</v>
      </c>
      <c r="H219" s="188">
        <v>2</v>
      </c>
      <c r="I219" s="188">
        <f t="shared" si="16"/>
        <v>-4.7105307016459177</v>
      </c>
      <c r="J219" s="188">
        <v>7.2284161474004766E-2</v>
      </c>
      <c r="K219" s="188" t="s">
        <v>31</v>
      </c>
      <c r="L219" s="188" t="s">
        <v>31</v>
      </c>
      <c r="M219" s="188" t="s">
        <v>31</v>
      </c>
      <c r="N219" s="188"/>
      <c r="O219" s="379" t="s">
        <v>857</v>
      </c>
      <c r="P219" s="107">
        <v>9</v>
      </c>
      <c r="Q219" s="188" t="s">
        <v>275</v>
      </c>
      <c r="R219" s="188">
        <f>P219*0.001</f>
        <v>9.0000000000000011E-3</v>
      </c>
      <c r="S219" s="188"/>
      <c r="T219" s="188"/>
      <c r="U219" s="188"/>
    </row>
    <row r="220" spans="1:21">
      <c r="A220" s="116" t="s">
        <v>921</v>
      </c>
      <c r="B220" s="188">
        <f t="shared" ref="B220:B221" si="17">R220</f>
        <v>1.4999999999999999E-2</v>
      </c>
      <c r="C220" s="188" t="s">
        <v>37</v>
      </c>
      <c r="D220" s="188" t="s">
        <v>40</v>
      </c>
      <c r="E220" s="188" t="s">
        <v>29</v>
      </c>
      <c r="F220" s="37" t="s">
        <v>35</v>
      </c>
      <c r="G220" s="188" t="s">
        <v>33</v>
      </c>
      <c r="H220" s="188">
        <v>2</v>
      </c>
      <c r="I220" s="188">
        <f>LN(B220)</f>
        <v>-4.1997050778799272</v>
      </c>
      <c r="J220" s="188">
        <v>7.2284161474004766E-2</v>
      </c>
      <c r="K220" s="188" t="s">
        <v>31</v>
      </c>
      <c r="L220" s="188" t="s">
        <v>31</v>
      </c>
      <c r="M220" s="188" t="s">
        <v>31</v>
      </c>
      <c r="N220" s="188"/>
      <c r="O220" s="379" t="s">
        <v>857</v>
      </c>
      <c r="P220" s="107">
        <v>15</v>
      </c>
      <c r="Q220" s="188" t="s">
        <v>275</v>
      </c>
      <c r="R220" s="188">
        <f>P220*0.001</f>
        <v>1.4999999999999999E-2</v>
      </c>
      <c r="S220" s="188"/>
      <c r="T220" s="188"/>
      <c r="U220" s="188"/>
    </row>
    <row r="221" spans="1:21">
      <c r="A221" s="323" t="s">
        <v>844</v>
      </c>
      <c r="B221" s="188">
        <f t="shared" si="17"/>
        <v>13.7</v>
      </c>
      <c r="C221" s="188" t="s">
        <v>37</v>
      </c>
      <c r="D221" s="188" t="s">
        <v>40</v>
      </c>
      <c r="E221" s="188" t="s">
        <v>29</v>
      </c>
      <c r="F221" s="37" t="s">
        <v>74</v>
      </c>
      <c r="G221" s="188" t="s">
        <v>33</v>
      </c>
      <c r="H221" s="188">
        <v>2</v>
      </c>
      <c r="I221" s="188">
        <f t="shared" ref="I221:I222" si="18">LN(B221)</f>
        <v>2.6173958328340792</v>
      </c>
      <c r="J221" s="188">
        <v>7.2284161474004766E-2</v>
      </c>
      <c r="K221" s="188" t="s">
        <v>31</v>
      </c>
      <c r="L221" s="188" t="s">
        <v>31</v>
      </c>
      <c r="M221" s="188" t="s">
        <v>31</v>
      </c>
      <c r="N221" s="188"/>
      <c r="O221" s="379" t="s">
        <v>275</v>
      </c>
      <c r="P221" s="107">
        <v>13.7</v>
      </c>
      <c r="Q221" s="188" t="s">
        <v>275</v>
      </c>
      <c r="R221" s="188">
        <f>P221</f>
        <v>13.7</v>
      </c>
      <c r="S221" s="188"/>
      <c r="T221" s="188"/>
      <c r="U221" s="188"/>
    </row>
    <row r="222" spans="1:21">
      <c r="A222" s="84" t="s">
        <v>76</v>
      </c>
      <c r="B222" s="188">
        <f>R222</f>
        <v>1.37E-2</v>
      </c>
      <c r="C222" s="188" t="s">
        <v>42</v>
      </c>
      <c r="D222" s="188" t="s">
        <v>40</v>
      </c>
      <c r="E222" s="188" t="s">
        <v>29</v>
      </c>
      <c r="F222" s="37" t="s">
        <v>74</v>
      </c>
      <c r="G222" s="188" t="s">
        <v>33</v>
      </c>
      <c r="H222" s="188">
        <v>2</v>
      </c>
      <c r="I222" s="188">
        <f t="shared" si="18"/>
        <v>-4.2903594461480576</v>
      </c>
      <c r="J222" s="188">
        <v>7.2284161474004766E-2</v>
      </c>
      <c r="K222" s="188" t="s">
        <v>31</v>
      </c>
      <c r="L222" s="188" t="s">
        <v>31</v>
      </c>
      <c r="M222" s="188" t="s">
        <v>31</v>
      </c>
      <c r="N222" s="188"/>
      <c r="O222" s="396" t="s">
        <v>913</v>
      </c>
      <c r="P222" s="123">
        <v>13.7</v>
      </c>
      <c r="Q222" s="188" t="s">
        <v>274</v>
      </c>
      <c r="R222" s="188">
        <f>0.001*P222</f>
        <v>1.37E-2</v>
      </c>
      <c r="S222" s="188"/>
      <c r="T222" s="188"/>
      <c r="U222" s="188"/>
    </row>
    <row r="223" spans="1:21" s="73" customFormat="1">
      <c r="A223" s="347" t="s">
        <v>5</v>
      </c>
      <c r="B223" s="424" t="s">
        <v>1170</v>
      </c>
      <c r="C223" s="349"/>
      <c r="D223" s="330"/>
      <c r="E223" s="330"/>
      <c r="F223" s="330"/>
      <c r="G223" s="330"/>
      <c r="H223" s="330"/>
      <c r="I223" s="330"/>
      <c r="J223" s="330"/>
      <c r="K223" s="330"/>
      <c r="L223" s="330"/>
      <c r="M223" s="330"/>
      <c r="N223" s="330"/>
      <c r="O223" s="330"/>
      <c r="P223" s="188"/>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1179</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1.2999999999999999E-2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1170</v>
      </c>
      <c r="B233" s="393">
        <f>P233</f>
        <v>1.2999999999999999E-2</v>
      </c>
      <c r="C233" s="188" t="s">
        <v>853</v>
      </c>
      <c r="D233" s="386" t="s">
        <v>2</v>
      </c>
      <c r="E233" s="188" t="s">
        <v>29</v>
      </c>
      <c r="F233" s="37" t="s">
        <v>14</v>
      </c>
      <c r="G233" s="188" t="s">
        <v>30</v>
      </c>
      <c r="H233" s="188">
        <v>1</v>
      </c>
      <c r="I233" s="188">
        <f>B233</f>
        <v>1.2999999999999999E-2</v>
      </c>
      <c r="J233" s="188" t="s">
        <v>31</v>
      </c>
      <c r="K233" s="188" t="s">
        <v>31</v>
      </c>
      <c r="L233" s="188" t="s">
        <v>31</v>
      </c>
      <c r="M233" s="188" t="s">
        <v>31</v>
      </c>
      <c r="N233" s="188"/>
      <c r="O233" s="449" t="s">
        <v>873</v>
      </c>
      <c r="P233" s="450">
        <v>1.2999999999999999E-2</v>
      </c>
      <c r="Q233" s="188"/>
      <c r="R233" s="188"/>
      <c r="S233" s="188"/>
      <c r="T233" s="188"/>
      <c r="U233" s="188"/>
    </row>
    <row r="234" spans="1:21">
      <c r="A234" s="188" t="s">
        <v>1180</v>
      </c>
      <c r="B234" s="393">
        <f>B254</f>
        <v>1.2999999999999999E-2</v>
      </c>
      <c r="C234" s="188" t="s">
        <v>853</v>
      </c>
      <c r="D234" s="386" t="s">
        <v>2</v>
      </c>
      <c r="E234" s="188" t="s">
        <v>29</v>
      </c>
      <c r="F234" s="37" t="s">
        <v>14</v>
      </c>
      <c r="G234" s="188" t="s">
        <v>33</v>
      </c>
      <c r="H234" s="188">
        <v>1</v>
      </c>
      <c r="I234" s="188">
        <f>B234</f>
        <v>1.2999999999999999E-2</v>
      </c>
      <c r="J234" s="188" t="s">
        <v>31</v>
      </c>
      <c r="K234" s="188" t="s">
        <v>31</v>
      </c>
      <c r="L234" s="188" t="s">
        <v>31</v>
      </c>
      <c r="M234" s="188" t="s">
        <v>31</v>
      </c>
      <c r="N234" s="188"/>
      <c r="O234" s="449" t="s">
        <v>873</v>
      </c>
      <c r="P234" s="450">
        <v>1.2999999999999999E-2</v>
      </c>
      <c r="Q234" s="188"/>
      <c r="R234" s="188"/>
      <c r="S234" s="188"/>
      <c r="T234" s="188"/>
      <c r="U234" s="188"/>
    </row>
    <row r="235" spans="1:21">
      <c r="A235" s="188" t="s">
        <v>1181</v>
      </c>
      <c r="B235" s="393">
        <f>B242</f>
        <v>2.2899999999999999E-3</v>
      </c>
      <c r="C235" s="188" t="s">
        <v>853</v>
      </c>
      <c r="D235" s="386" t="s">
        <v>2</v>
      </c>
      <c r="E235" s="188" t="s">
        <v>29</v>
      </c>
      <c r="F235" s="37" t="s">
        <v>14</v>
      </c>
      <c r="G235" s="188" t="s">
        <v>33</v>
      </c>
      <c r="H235" s="188">
        <v>1</v>
      </c>
      <c r="I235" s="188">
        <f>B235</f>
        <v>2.2899999999999999E-3</v>
      </c>
      <c r="J235" s="188" t="s">
        <v>31</v>
      </c>
      <c r="K235" s="188" t="s">
        <v>31</v>
      </c>
      <c r="L235" s="188" t="s">
        <v>31</v>
      </c>
      <c r="M235" s="188" t="s">
        <v>31</v>
      </c>
      <c r="N235" s="188"/>
      <c r="O235" s="378" t="s">
        <v>873</v>
      </c>
      <c r="P235" s="447">
        <f>B242</f>
        <v>2.2899999999999999E-3</v>
      </c>
      <c r="Q235" s="188"/>
      <c r="R235" s="188"/>
      <c r="S235" s="188"/>
      <c r="T235" s="188"/>
      <c r="U235" s="188"/>
    </row>
    <row r="236" spans="1:21">
      <c r="A236" s="323" t="s">
        <v>265</v>
      </c>
      <c r="B236" s="393">
        <f>P236</f>
        <v>0.32</v>
      </c>
      <c r="C236" s="188" t="s">
        <v>39</v>
      </c>
      <c r="D236" s="188" t="s">
        <v>40</v>
      </c>
      <c r="E236" s="188" t="s">
        <v>29</v>
      </c>
      <c r="F236" s="37" t="s">
        <v>35</v>
      </c>
      <c r="G236" s="188" t="s">
        <v>33</v>
      </c>
      <c r="H236" s="188">
        <v>2</v>
      </c>
      <c r="I236" s="188">
        <f t="shared" ref="I236" si="19">LN(B236)</f>
        <v>-1.1394342831883648</v>
      </c>
      <c r="J236" s="188">
        <v>0.20928449536456342</v>
      </c>
      <c r="K236" s="188" t="s">
        <v>31</v>
      </c>
      <c r="L236" s="188" t="s">
        <v>31</v>
      </c>
      <c r="M236" s="188" t="s">
        <v>31</v>
      </c>
      <c r="N236" s="188"/>
      <c r="O236" s="379" t="s">
        <v>271</v>
      </c>
      <c r="P236" s="392">
        <v>0.32</v>
      </c>
      <c r="Q236" s="188"/>
      <c r="R236" s="188"/>
      <c r="S236" s="188"/>
      <c r="T236" s="188"/>
      <c r="U236" s="188"/>
    </row>
    <row r="237" spans="1:21" s="73" customFormat="1">
      <c r="A237" s="347" t="s">
        <v>5</v>
      </c>
      <c r="B237" s="424" t="s">
        <v>1181</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1182</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2.2899999999999999E-3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1181</v>
      </c>
      <c r="B247" s="393">
        <f>S247</f>
        <v>2.2899999999999999E-3</v>
      </c>
      <c r="C247" s="188" t="s">
        <v>853</v>
      </c>
      <c r="D247" s="386" t="s">
        <v>2</v>
      </c>
      <c r="E247" s="188" t="s">
        <v>29</v>
      </c>
      <c r="F247" s="37" t="s">
        <v>14</v>
      </c>
      <c r="G247" s="188" t="s">
        <v>30</v>
      </c>
      <c r="H247" s="188">
        <v>1</v>
      </c>
      <c r="I247" s="188">
        <f>B247</f>
        <v>2.2899999999999999E-3</v>
      </c>
      <c r="J247" s="188" t="s">
        <v>31</v>
      </c>
      <c r="K247" s="188" t="s">
        <v>31</v>
      </c>
      <c r="L247" s="188" t="s">
        <v>31</v>
      </c>
      <c r="M247" s="188" t="s">
        <v>31</v>
      </c>
      <c r="N247" s="188"/>
      <c r="O247" s="188"/>
      <c r="P247" s="379" t="s">
        <v>1183</v>
      </c>
      <c r="Q247" s="392">
        <v>22.9</v>
      </c>
      <c r="R247" s="188" t="s">
        <v>855</v>
      </c>
      <c r="S247" s="188">
        <f>Q247*0.0001</f>
        <v>2.2899999999999999E-3</v>
      </c>
      <c r="T247" s="188"/>
      <c r="U247" s="188"/>
    </row>
    <row r="248" spans="1:21">
      <c r="A248" s="84" t="s">
        <v>1002</v>
      </c>
      <c r="B248" s="393">
        <f>S248</f>
        <v>2.2899999999999999E-3</v>
      </c>
      <c r="C248" s="188" t="s">
        <v>853</v>
      </c>
      <c r="D248" s="188" t="s">
        <v>40</v>
      </c>
      <c r="E248" s="188" t="s">
        <v>29</v>
      </c>
      <c r="F248" s="188" t="s">
        <v>59</v>
      </c>
      <c r="G248" s="188" t="s">
        <v>33</v>
      </c>
      <c r="H248" s="188">
        <v>2</v>
      </c>
      <c r="I248" s="188">
        <f>LN(B248)</f>
        <v>-6.0792034614159887</v>
      </c>
      <c r="J248" s="188">
        <v>3.7749172176353707E-2</v>
      </c>
      <c r="K248" s="188" t="s">
        <v>31</v>
      </c>
      <c r="L248" s="188" t="s">
        <v>31</v>
      </c>
      <c r="M248" s="188" t="s">
        <v>31</v>
      </c>
      <c r="N248" s="188"/>
      <c r="O248" s="188"/>
      <c r="P248" s="378" t="s">
        <v>1183</v>
      </c>
      <c r="Q248" s="433">
        <v>22.9</v>
      </c>
      <c r="R248" s="188" t="s">
        <v>855</v>
      </c>
      <c r="S248" s="188">
        <f>Q248*0.0001</f>
        <v>2.2899999999999999E-3</v>
      </c>
      <c r="T248" s="188"/>
      <c r="U248" s="188"/>
    </row>
    <row r="249" spans="1:21" s="73" customFormat="1">
      <c r="A249" s="347" t="s">
        <v>5</v>
      </c>
      <c r="B249" s="348" t="s">
        <v>1180</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1184</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1.2999999999999999E-2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1180</v>
      </c>
      <c r="B259" s="393">
        <f>B260</f>
        <v>1.2999999999999999E-2</v>
      </c>
      <c r="C259" s="188" t="s">
        <v>853</v>
      </c>
      <c r="D259" s="386" t="s">
        <v>2</v>
      </c>
      <c r="E259" s="188" t="s">
        <v>29</v>
      </c>
      <c r="F259" s="37" t="s">
        <v>14</v>
      </c>
      <c r="G259" s="188" t="s">
        <v>30</v>
      </c>
      <c r="H259" s="188">
        <v>1</v>
      </c>
      <c r="I259" s="188">
        <f t="shared" ref="I259:I260" si="20">B259</f>
        <v>1.2999999999999999E-2</v>
      </c>
      <c r="J259" s="188" t="s">
        <v>31</v>
      </c>
      <c r="K259" s="188" t="s">
        <v>31</v>
      </c>
      <c r="L259" s="188" t="s">
        <v>31</v>
      </c>
      <c r="M259" s="188" t="s">
        <v>31</v>
      </c>
      <c r="N259" s="188"/>
      <c r="O259" s="188"/>
      <c r="P259" s="188"/>
      <c r="Q259" s="188"/>
      <c r="R259" s="188"/>
      <c r="S259" s="188"/>
      <c r="T259" s="188"/>
      <c r="U259" s="188"/>
    </row>
    <row r="260" spans="1:21">
      <c r="A260" s="188" t="s">
        <v>1185</v>
      </c>
      <c r="B260" s="393">
        <f>P260</f>
        <v>1.2999999999999999E-2</v>
      </c>
      <c r="C260" s="188" t="s">
        <v>853</v>
      </c>
      <c r="D260" s="386" t="s">
        <v>2</v>
      </c>
      <c r="E260" s="188" t="s">
        <v>29</v>
      </c>
      <c r="F260" s="188" t="s">
        <v>14</v>
      </c>
      <c r="G260" s="188" t="s">
        <v>33</v>
      </c>
      <c r="H260" s="188">
        <v>1</v>
      </c>
      <c r="I260" s="188">
        <f t="shared" si="20"/>
        <v>1.2999999999999999E-2</v>
      </c>
      <c r="J260" s="188" t="s">
        <v>31</v>
      </c>
      <c r="K260" s="188" t="s">
        <v>31</v>
      </c>
      <c r="L260" s="188" t="s">
        <v>31</v>
      </c>
      <c r="M260" s="188" t="s">
        <v>31</v>
      </c>
      <c r="N260" s="188"/>
      <c r="O260" s="188"/>
      <c r="P260" s="448">
        <v>1.2999999999999999E-2</v>
      </c>
      <c r="Q260" s="188"/>
      <c r="R260" s="188"/>
      <c r="S260" s="188"/>
      <c r="T260" s="188"/>
      <c r="U260" s="188"/>
    </row>
    <row r="261" spans="1:21">
      <c r="A261" s="323" t="s">
        <v>265</v>
      </c>
      <c r="B261" s="327">
        <f>R261</f>
        <v>0.12</v>
      </c>
      <c r="C261" s="188" t="s">
        <v>39</v>
      </c>
      <c r="D261" s="188" t="s">
        <v>40</v>
      </c>
      <c r="E261" s="188" t="s">
        <v>29</v>
      </c>
      <c r="F261" s="37" t="s">
        <v>35</v>
      </c>
      <c r="G261" s="188" t="s">
        <v>33</v>
      </c>
      <c r="H261" s="188">
        <v>2</v>
      </c>
      <c r="I261" s="188">
        <f t="shared" ref="I261:I265" si="21">LN(B261)</f>
        <v>-2.120263536200091</v>
      </c>
      <c r="J261" s="188">
        <v>0.20928449536456342</v>
      </c>
      <c r="K261" s="188" t="s">
        <v>31</v>
      </c>
      <c r="L261" s="188" t="s">
        <v>31</v>
      </c>
      <c r="M261" s="188" t="s">
        <v>31</v>
      </c>
      <c r="N261" s="188"/>
      <c r="O261" s="361" t="s">
        <v>271</v>
      </c>
      <c r="P261" s="107">
        <v>0.12</v>
      </c>
      <c r="Q261" s="188" t="s">
        <v>271</v>
      </c>
      <c r="R261" s="327">
        <f>P261</f>
        <v>0.12</v>
      </c>
      <c r="S261" s="188"/>
      <c r="T261" s="188"/>
      <c r="U261" s="188"/>
    </row>
    <row r="262" spans="1:21">
      <c r="A262" s="84" t="s">
        <v>843</v>
      </c>
      <c r="B262" s="188">
        <f>R262</f>
        <v>3.7000000000000002E-3</v>
      </c>
      <c r="C262" s="188" t="s">
        <v>37</v>
      </c>
      <c r="D262" s="188" t="s">
        <v>40</v>
      </c>
      <c r="E262" s="188" t="s">
        <v>29</v>
      </c>
      <c r="F262" s="37" t="s">
        <v>35</v>
      </c>
      <c r="G262" s="188" t="s">
        <v>33</v>
      </c>
      <c r="H262" s="188">
        <v>2</v>
      </c>
      <c r="I262" s="188">
        <f t="shared" si="21"/>
        <v>-5.5994224593319579</v>
      </c>
      <c r="J262" s="188">
        <v>0.20928449536456342</v>
      </c>
      <c r="K262" s="188" t="s">
        <v>31</v>
      </c>
      <c r="L262" s="188" t="s">
        <v>31</v>
      </c>
      <c r="M262" s="188" t="s">
        <v>31</v>
      </c>
      <c r="N262" s="188"/>
      <c r="O262" s="379" t="s">
        <v>857</v>
      </c>
      <c r="P262" s="107">
        <v>3.7</v>
      </c>
      <c r="Q262" s="188" t="s">
        <v>275</v>
      </c>
      <c r="R262" s="188">
        <f>0.001*P262</f>
        <v>3.7000000000000002E-3</v>
      </c>
      <c r="S262" s="188"/>
      <c r="T262" s="188"/>
      <c r="U262" s="188"/>
    </row>
    <row r="263" spans="1:21">
      <c r="A263" s="84" t="s">
        <v>489</v>
      </c>
      <c r="B263" s="188">
        <f>R263</f>
        <v>5.9999999999999995E-4</v>
      </c>
      <c r="C263" s="188" t="s">
        <v>37</v>
      </c>
      <c r="D263" s="188" t="s">
        <v>40</v>
      </c>
      <c r="E263" s="188" t="s">
        <v>29</v>
      </c>
      <c r="F263" s="37" t="s">
        <v>59</v>
      </c>
      <c r="G263" s="188" t="s">
        <v>33</v>
      </c>
      <c r="H263" s="188">
        <v>2</v>
      </c>
      <c r="I263" s="188">
        <f t="shared" si="21"/>
        <v>-7.4185809027481282</v>
      </c>
      <c r="J263" s="188">
        <v>0.20928449536456342</v>
      </c>
      <c r="K263" s="188" t="s">
        <v>31</v>
      </c>
      <c r="L263" s="188" t="s">
        <v>31</v>
      </c>
      <c r="M263" s="188" t="s">
        <v>31</v>
      </c>
      <c r="N263" s="188"/>
      <c r="O263" s="379" t="s">
        <v>857</v>
      </c>
      <c r="P263" s="107">
        <v>0.6</v>
      </c>
      <c r="Q263" s="188" t="s">
        <v>275</v>
      </c>
      <c r="R263" s="188">
        <f>0.001*P263</f>
        <v>5.9999999999999995E-4</v>
      </c>
      <c r="S263" s="188"/>
      <c r="T263" s="188"/>
      <c r="U263" s="188"/>
    </row>
    <row r="264" spans="1:21">
      <c r="A264" s="323" t="s">
        <v>844</v>
      </c>
      <c r="B264" s="188">
        <f>R264</f>
        <v>1.8100000000000002E-2</v>
      </c>
      <c r="C264" s="188" t="s">
        <v>37</v>
      </c>
      <c r="D264" s="188" t="s">
        <v>40</v>
      </c>
      <c r="E264" s="188" t="s">
        <v>29</v>
      </c>
      <c r="F264" s="37" t="s">
        <v>74</v>
      </c>
      <c r="G264" s="188" t="s">
        <v>33</v>
      </c>
      <c r="H264" s="188">
        <v>2</v>
      </c>
      <c r="I264" s="188">
        <f t="shared" si="21"/>
        <v>-4.0118433407103566</v>
      </c>
      <c r="J264" s="188">
        <v>0.20928449536456342</v>
      </c>
      <c r="K264" s="188" t="s">
        <v>31</v>
      </c>
      <c r="L264" s="188" t="s">
        <v>31</v>
      </c>
      <c r="M264" s="188" t="s">
        <v>31</v>
      </c>
      <c r="N264" s="188"/>
      <c r="O264" s="379" t="s">
        <v>857</v>
      </c>
      <c r="P264" s="107">
        <v>18.100000000000001</v>
      </c>
      <c r="Q264" s="188" t="s">
        <v>275</v>
      </c>
      <c r="R264" s="188">
        <f>0.001*P264</f>
        <v>1.8100000000000002E-2</v>
      </c>
      <c r="S264" s="188"/>
      <c r="T264" s="188"/>
      <c r="U264" s="188"/>
    </row>
    <row r="265" spans="1:21">
      <c r="A265" s="188" t="s">
        <v>829</v>
      </c>
      <c r="B265" s="188">
        <f>R265</f>
        <v>4.2000000000000006E-3</v>
      </c>
      <c r="C265" s="188" t="s">
        <v>37</v>
      </c>
      <c r="D265" s="386" t="s">
        <v>2</v>
      </c>
      <c r="E265" s="188" t="s">
        <v>29</v>
      </c>
      <c r="F265" s="37" t="s">
        <v>74</v>
      </c>
      <c r="G265" s="188" t="s">
        <v>33</v>
      </c>
      <c r="H265" s="188">
        <v>2</v>
      </c>
      <c r="I265" s="188">
        <f t="shared" si="21"/>
        <v>-5.4726707536928139</v>
      </c>
      <c r="J265" s="188">
        <v>0.20928449536456342</v>
      </c>
      <c r="K265" s="188" t="s">
        <v>31</v>
      </c>
      <c r="L265" s="188" t="s">
        <v>31</v>
      </c>
      <c r="M265" s="188" t="s">
        <v>31</v>
      </c>
      <c r="N265" s="188"/>
      <c r="O265" s="425" t="s">
        <v>857</v>
      </c>
      <c r="P265" s="123">
        <v>4.2</v>
      </c>
      <c r="Q265" s="188" t="s">
        <v>275</v>
      </c>
      <c r="R265" s="188">
        <f>0.001*P265</f>
        <v>4.2000000000000006E-3</v>
      </c>
      <c r="S265" s="188"/>
      <c r="T265" s="188"/>
      <c r="U265" s="188"/>
    </row>
    <row r="266" spans="1:21" s="73" customFormat="1">
      <c r="A266" s="347" t="s">
        <v>5</v>
      </c>
      <c r="B266" s="348" t="s">
        <v>1185</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1186</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1.2999999999999999E-2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1185</v>
      </c>
      <c r="B276" s="393">
        <f>P277</f>
        <v>1.2999999999999999E-2</v>
      </c>
      <c r="C276" s="188" t="s">
        <v>853</v>
      </c>
      <c r="D276" s="386" t="s">
        <v>2</v>
      </c>
      <c r="E276" s="188" t="s">
        <v>29</v>
      </c>
      <c r="F276" s="188" t="s">
        <v>14</v>
      </c>
      <c r="G276" s="188" t="s">
        <v>30</v>
      </c>
      <c r="H276" s="188">
        <v>1</v>
      </c>
      <c r="I276" s="188">
        <f t="shared" ref="I276:I277" si="22">B276</f>
        <v>1.2999999999999999E-2</v>
      </c>
      <c r="J276" s="188" t="s">
        <v>31</v>
      </c>
      <c r="K276" s="188" t="s">
        <v>31</v>
      </c>
      <c r="L276" s="188" t="s">
        <v>31</v>
      </c>
      <c r="M276" s="188" t="s">
        <v>31</v>
      </c>
      <c r="N276" s="188"/>
      <c r="O276" s="188"/>
      <c r="P276" s="188"/>
      <c r="Q276" s="188"/>
      <c r="R276" s="188"/>
      <c r="S276" s="188"/>
      <c r="T276" s="188"/>
      <c r="U276" s="188"/>
    </row>
    <row r="277" spans="1:21">
      <c r="A277" s="188" t="s">
        <v>1187</v>
      </c>
      <c r="B277" s="393">
        <f>P277</f>
        <v>1.2999999999999999E-2</v>
      </c>
      <c r="C277" s="188" t="s">
        <v>853</v>
      </c>
      <c r="D277" s="386" t="s">
        <v>2</v>
      </c>
      <c r="E277" s="188" t="s">
        <v>29</v>
      </c>
      <c r="F277" s="188" t="s">
        <v>14</v>
      </c>
      <c r="G277" s="188" t="s">
        <v>33</v>
      </c>
      <c r="H277" s="188">
        <v>1</v>
      </c>
      <c r="I277" s="188">
        <f t="shared" si="22"/>
        <v>1.2999999999999999E-2</v>
      </c>
      <c r="J277" s="188" t="s">
        <v>31</v>
      </c>
      <c r="K277" s="188" t="s">
        <v>31</v>
      </c>
      <c r="L277" s="188" t="s">
        <v>31</v>
      </c>
      <c r="M277" s="188" t="s">
        <v>31</v>
      </c>
      <c r="N277" s="188"/>
      <c r="O277" s="188"/>
      <c r="P277" s="448">
        <v>1.2999999999999999E-2</v>
      </c>
      <c r="Q277" s="188"/>
      <c r="R277" s="188"/>
      <c r="S277" s="188"/>
      <c r="T277" s="188"/>
      <c r="U277" s="188"/>
    </row>
    <row r="278" spans="1:21">
      <c r="A278" s="323" t="s">
        <v>265</v>
      </c>
      <c r="B278" s="327">
        <f>P278</f>
        <v>2.54</v>
      </c>
      <c r="C278" s="188" t="s">
        <v>39</v>
      </c>
      <c r="D278" s="188" t="s">
        <v>40</v>
      </c>
      <c r="E278" s="188" t="s">
        <v>29</v>
      </c>
      <c r="F278" s="37" t="s">
        <v>35</v>
      </c>
      <c r="G278" s="188" t="s">
        <v>33</v>
      </c>
      <c r="H278" s="188">
        <v>2</v>
      </c>
      <c r="I278" s="188">
        <f t="shared" ref="I278:I279" si="23">LN(B278)</f>
        <v>0.93216408103044524</v>
      </c>
      <c r="J278" s="188">
        <v>0.20928449536456342</v>
      </c>
      <c r="K278" s="188" t="s">
        <v>31</v>
      </c>
      <c r="L278" s="188" t="s">
        <v>31</v>
      </c>
      <c r="M278" s="188" t="s">
        <v>31</v>
      </c>
      <c r="N278" s="188"/>
      <c r="O278" s="379" t="s">
        <v>271</v>
      </c>
      <c r="P278" s="107">
        <f>1.75+0.79</f>
        <v>2.54</v>
      </c>
      <c r="Q278" s="188"/>
      <c r="R278" s="188"/>
      <c r="S278" s="188"/>
      <c r="T278" s="188"/>
      <c r="U278" s="188"/>
    </row>
    <row r="279" spans="1:21">
      <c r="A279" s="323" t="s">
        <v>844</v>
      </c>
      <c r="B279" s="327">
        <f>R279</f>
        <v>5.0999999999999995E-3</v>
      </c>
      <c r="C279" s="188" t="s">
        <v>37</v>
      </c>
      <c r="D279" s="188" t="s">
        <v>40</v>
      </c>
      <c r="E279" s="188" t="s">
        <v>29</v>
      </c>
      <c r="F279" s="37" t="s">
        <v>74</v>
      </c>
      <c r="G279" s="188" t="s">
        <v>33</v>
      </c>
      <c r="H279" s="188">
        <v>2</v>
      </c>
      <c r="I279" s="188">
        <f t="shared" si="23"/>
        <v>-5.2785147392518574</v>
      </c>
      <c r="J279" s="188">
        <v>0.20928449536456342</v>
      </c>
      <c r="K279" s="188" t="s">
        <v>31</v>
      </c>
      <c r="L279" s="188" t="s">
        <v>31</v>
      </c>
      <c r="M279" s="188" t="s">
        <v>31</v>
      </c>
      <c r="N279" s="188"/>
      <c r="O279" s="379" t="s">
        <v>857</v>
      </c>
      <c r="P279" s="107">
        <v>5.0999999999999996</v>
      </c>
      <c r="Q279" s="188" t="s">
        <v>275</v>
      </c>
      <c r="R279" s="188">
        <f>P279*0.001</f>
        <v>5.0999999999999995E-3</v>
      </c>
      <c r="S279" s="188"/>
      <c r="T279" s="188"/>
      <c r="U279" s="188"/>
    </row>
    <row r="280" spans="1:21">
      <c r="A280" s="84" t="s">
        <v>987</v>
      </c>
      <c r="B280" s="327">
        <f>R280</f>
        <v>6.2000000000000006E-3</v>
      </c>
      <c r="C280" s="188" t="s">
        <v>37</v>
      </c>
      <c r="D280" s="188" t="s">
        <v>40</v>
      </c>
      <c r="E280" s="188" t="s">
        <v>29</v>
      </c>
      <c r="F280" s="188" t="s">
        <v>35</v>
      </c>
      <c r="G280" s="188" t="s">
        <v>33</v>
      </c>
      <c r="H280" s="188">
        <v>2</v>
      </c>
      <c r="I280" s="188">
        <f>LN(B280)</f>
        <v>-5.083205986931091</v>
      </c>
      <c r="J280" s="188">
        <v>0.20928449536456342</v>
      </c>
      <c r="K280" s="188" t="s">
        <v>31</v>
      </c>
      <c r="L280" s="188" t="s">
        <v>31</v>
      </c>
      <c r="M280" s="188" t="s">
        <v>31</v>
      </c>
      <c r="N280" s="188"/>
      <c r="O280" s="379" t="s">
        <v>857</v>
      </c>
      <c r="P280" s="107">
        <v>6.2</v>
      </c>
      <c r="Q280" s="188" t="s">
        <v>275</v>
      </c>
      <c r="R280" s="188">
        <f>P280*0.001</f>
        <v>6.2000000000000006E-3</v>
      </c>
      <c r="S280" s="188"/>
      <c r="T280" s="188"/>
      <c r="U280" s="188"/>
    </row>
    <row r="281" spans="1:21">
      <c r="A281" s="188" t="s">
        <v>829</v>
      </c>
      <c r="B281" s="327">
        <f>R281</f>
        <v>6.2000000000000006E-3</v>
      </c>
      <c r="C281" s="188" t="s">
        <v>37</v>
      </c>
      <c r="D281" s="386" t="s">
        <v>2</v>
      </c>
      <c r="E281" s="188" t="s">
        <v>29</v>
      </c>
      <c r="F281" s="37" t="s">
        <v>74</v>
      </c>
      <c r="G281" s="188" t="s">
        <v>33</v>
      </c>
      <c r="H281" s="188">
        <v>2</v>
      </c>
      <c r="I281" s="188">
        <f t="shared" ref="I281" si="24">LN(B281)</f>
        <v>-5.083205986931091</v>
      </c>
      <c r="J281" s="188">
        <v>0.20928449536456342</v>
      </c>
      <c r="K281" s="188" t="s">
        <v>31</v>
      </c>
      <c r="L281" s="188" t="s">
        <v>31</v>
      </c>
      <c r="M281" s="188" t="s">
        <v>31</v>
      </c>
      <c r="N281" s="188"/>
      <c r="O281" s="425" t="s">
        <v>857</v>
      </c>
      <c r="P281" s="123">
        <v>6.2</v>
      </c>
      <c r="Q281" s="188" t="s">
        <v>275</v>
      </c>
      <c r="R281" s="188">
        <f>0.001*P281</f>
        <v>6.2000000000000006E-3</v>
      </c>
      <c r="S281" s="188"/>
      <c r="T281" s="188"/>
      <c r="U281" s="188"/>
    </row>
    <row r="282" spans="1:21" s="73" customFormat="1">
      <c r="A282" s="347" t="s">
        <v>5</v>
      </c>
      <c r="B282" s="348" t="s">
        <v>1187</v>
      </c>
      <c r="C282" s="330"/>
      <c r="D282" s="330"/>
      <c r="E282" s="330"/>
      <c r="F282" s="330"/>
      <c r="G282" s="330"/>
      <c r="H282" s="330"/>
      <c r="I282" s="330"/>
      <c r="J282" s="330"/>
      <c r="K282" s="330"/>
      <c r="L282" s="330"/>
      <c r="M282" s="330"/>
      <c r="N282" s="330"/>
      <c r="O282" s="330"/>
      <c r="P282" s="415"/>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1188</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321" t="s">
        <v>937</v>
      </c>
      <c r="S288" s="188"/>
      <c r="T288" s="188"/>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938</v>
      </c>
      <c r="S289" s="188">
        <v>8900</v>
      </c>
      <c r="T289" s="188" t="s">
        <v>939</v>
      </c>
      <c r="U289" s="188"/>
    </row>
    <row r="290" spans="1:21">
      <c r="A290" s="320" t="s">
        <v>19</v>
      </c>
      <c r="B290" s="188"/>
      <c r="C290" s="188"/>
      <c r="D290" s="188"/>
      <c r="E290" s="188"/>
      <c r="F290" s="188"/>
      <c r="G290" s="188"/>
      <c r="H290" s="188"/>
      <c r="I290" s="188"/>
      <c r="J290" s="188"/>
      <c r="K290" s="188"/>
      <c r="L290" s="188"/>
      <c r="M290" s="188"/>
      <c r="N290" s="188"/>
      <c r="O290" s="188"/>
      <c r="P290" s="188"/>
      <c r="Q290" s="188"/>
      <c r="R290" s="188" t="s">
        <v>940</v>
      </c>
      <c r="S290" s="188">
        <f>5*10^-6</f>
        <v>4.9999999999999996E-6</v>
      </c>
      <c r="T290" s="188" t="s">
        <v>941</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405" t="s">
        <v>942</v>
      </c>
      <c r="S291" s="406">
        <f>S290*S289</f>
        <v>4.4499999999999998E-2</v>
      </c>
      <c r="T291" s="407" t="s">
        <v>943</v>
      </c>
      <c r="U291" s="188"/>
    </row>
    <row r="292" spans="1:21">
      <c r="A292" s="188" t="s">
        <v>1187</v>
      </c>
      <c r="B292" s="393">
        <v>0.02</v>
      </c>
      <c r="C292" s="188" t="s">
        <v>853</v>
      </c>
      <c r="D292" s="386" t="s">
        <v>2</v>
      </c>
      <c r="E292" s="188" t="s">
        <v>29</v>
      </c>
      <c r="F292" s="188" t="s">
        <v>14</v>
      </c>
      <c r="G292" s="188" t="s">
        <v>30</v>
      </c>
      <c r="H292" s="188">
        <v>1</v>
      </c>
      <c r="I292" s="188">
        <f t="shared" ref="I292:I294" si="25">B292</f>
        <v>0.02</v>
      </c>
      <c r="J292" s="188" t="s">
        <v>31</v>
      </c>
      <c r="K292" s="188" t="s">
        <v>31</v>
      </c>
      <c r="L292" s="188" t="s">
        <v>31</v>
      </c>
      <c r="M292" s="188" t="s">
        <v>31</v>
      </c>
      <c r="N292" s="188"/>
      <c r="O292" s="379" t="s">
        <v>944</v>
      </c>
      <c r="P292" s="392">
        <f>B292*100</f>
        <v>2</v>
      </c>
      <c r="Q292" s="188"/>
      <c r="R292" s="188"/>
      <c r="S292" s="188"/>
      <c r="T292" s="188"/>
      <c r="U292" s="188"/>
    </row>
    <row r="293" spans="1:21">
      <c r="A293" s="188" t="s">
        <v>1189</v>
      </c>
      <c r="B293" s="393">
        <v>0.02</v>
      </c>
      <c r="C293" s="188" t="s">
        <v>853</v>
      </c>
      <c r="D293" s="386" t="s">
        <v>2</v>
      </c>
      <c r="E293" s="188" t="s">
        <v>29</v>
      </c>
      <c r="F293" s="188" t="s">
        <v>14</v>
      </c>
      <c r="G293" s="188" t="s">
        <v>33</v>
      </c>
      <c r="H293" s="188">
        <v>1</v>
      </c>
      <c r="I293" s="188">
        <f t="shared" si="25"/>
        <v>0.02</v>
      </c>
      <c r="J293" s="188">
        <v>7.2284161474004766E-2</v>
      </c>
      <c r="K293" s="188" t="s">
        <v>31</v>
      </c>
      <c r="L293" s="188" t="s">
        <v>31</v>
      </c>
      <c r="M293" s="188" t="s">
        <v>31</v>
      </c>
      <c r="N293" s="188"/>
      <c r="O293" s="379" t="s">
        <v>944</v>
      </c>
      <c r="P293" s="392">
        <f>B293*100</f>
        <v>2</v>
      </c>
      <c r="Q293" s="188"/>
      <c r="R293" s="188" t="s">
        <v>945</v>
      </c>
      <c r="S293" s="188"/>
      <c r="T293" s="188"/>
      <c r="U293" s="388"/>
    </row>
    <row r="294" spans="1:21">
      <c r="A294" s="192" t="s">
        <v>1132</v>
      </c>
      <c r="B294" s="398">
        <f>T294</f>
        <v>3.6045000000000001E-2</v>
      </c>
      <c r="C294" s="188" t="s">
        <v>37</v>
      </c>
      <c r="D294" s="386" t="s">
        <v>2</v>
      </c>
      <c r="E294" s="188" t="s">
        <v>29</v>
      </c>
      <c r="F294" s="37" t="s">
        <v>14</v>
      </c>
      <c r="G294" s="188" t="s">
        <v>33</v>
      </c>
      <c r="H294" s="188">
        <v>1</v>
      </c>
      <c r="I294" s="188">
        <f t="shared" si="25"/>
        <v>3.6045000000000001E-2</v>
      </c>
      <c r="J294" s="188">
        <v>7.2284161474004766E-2</v>
      </c>
      <c r="K294" s="188" t="s">
        <v>31</v>
      </c>
      <c r="L294" s="188" t="s">
        <v>31</v>
      </c>
      <c r="M294" s="188" t="s">
        <v>31</v>
      </c>
      <c r="N294" s="188"/>
      <c r="O294" s="410"/>
      <c r="P294" s="411"/>
      <c r="Q294" s="188"/>
      <c r="R294" s="408">
        <v>0.81</v>
      </c>
      <c r="S294" s="409" t="s">
        <v>855</v>
      </c>
      <c r="T294" s="408">
        <f>R294*S291</f>
        <v>3.6045000000000001E-2</v>
      </c>
      <c r="U294" s="409" t="s">
        <v>275</v>
      </c>
    </row>
    <row r="295" spans="1:21">
      <c r="A295" s="323" t="s">
        <v>844</v>
      </c>
      <c r="B295" s="188">
        <f>P295</f>
        <v>6.5</v>
      </c>
      <c r="C295" s="188" t="s">
        <v>37</v>
      </c>
      <c r="D295" s="188" t="s">
        <v>40</v>
      </c>
      <c r="E295" s="188" t="s">
        <v>29</v>
      </c>
      <c r="F295" s="37" t="s">
        <v>74</v>
      </c>
      <c r="G295" s="188" t="s">
        <v>33</v>
      </c>
      <c r="H295" s="188">
        <v>2</v>
      </c>
      <c r="I295" s="188">
        <f t="shared" ref="I295" si="26">LN(B295)</f>
        <v>1.8718021769015913</v>
      </c>
      <c r="J295" s="188">
        <v>7.2284161474004766E-2</v>
      </c>
      <c r="K295" s="188" t="s">
        <v>31</v>
      </c>
      <c r="L295" s="188" t="s">
        <v>31</v>
      </c>
      <c r="M295" s="188" t="s">
        <v>31</v>
      </c>
      <c r="N295" s="188"/>
      <c r="O295" s="379" t="s">
        <v>275</v>
      </c>
      <c r="P295" s="107">
        <v>6.5</v>
      </c>
      <c r="Q295" s="188"/>
      <c r="R295" s="188"/>
      <c r="S295" s="188"/>
      <c r="T295" s="188"/>
      <c r="U295" s="188"/>
    </row>
    <row r="296" spans="1:21">
      <c r="A296" s="84" t="s">
        <v>924</v>
      </c>
      <c r="B296" s="327">
        <f>R296</f>
        <v>2.9999999999999997E-4</v>
      </c>
      <c r="C296" s="188" t="s">
        <v>37</v>
      </c>
      <c r="D296" s="188" t="s">
        <v>40</v>
      </c>
      <c r="E296" s="188" t="s">
        <v>29</v>
      </c>
      <c r="F296" s="37" t="s">
        <v>59</v>
      </c>
      <c r="G296" s="188" t="s">
        <v>33</v>
      </c>
      <c r="H296" s="188">
        <v>2</v>
      </c>
      <c r="I296" s="188">
        <f>LN(B296)</f>
        <v>-8.1117280833080727</v>
      </c>
      <c r="J296" s="188">
        <v>7.2284161474004766E-2</v>
      </c>
      <c r="K296" s="188" t="s">
        <v>31</v>
      </c>
      <c r="L296" s="188" t="s">
        <v>31</v>
      </c>
      <c r="M296" s="188" t="s">
        <v>31</v>
      </c>
      <c r="N296" s="188"/>
      <c r="O296" s="394" t="s">
        <v>862</v>
      </c>
      <c r="P296" s="145">
        <v>0.3</v>
      </c>
      <c r="Q296" s="379" t="s">
        <v>275</v>
      </c>
      <c r="R296" s="188">
        <f>P296*0.001</f>
        <v>2.9999999999999997E-4</v>
      </c>
      <c r="S296" s="188"/>
      <c r="T296" s="188"/>
      <c r="U296" s="188"/>
    </row>
    <row r="297" spans="1:21">
      <c r="A297" s="84" t="s">
        <v>76</v>
      </c>
      <c r="B297" s="188">
        <f>R297</f>
        <v>6.5000000000000006E-3</v>
      </c>
      <c r="C297" s="188" t="s">
        <v>42</v>
      </c>
      <c r="D297" s="188" t="s">
        <v>40</v>
      </c>
      <c r="E297" s="188" t="s">
        <v>29</v>
      </c>
      <c r="F297" s="37" t="s">
        <v>74</v>
      </c>
      <c r="G297" s="188" t="s">
        <v>33</v>
      </c>
      <c r="H297" s="188">
        <v>2</v>
      </c>
      <c r="I297" s="188">
        <f t="shared" ref="I297" si="27">LN(B297)</f>
        <v>-5.0359531020805459</v>
      </c>
      <c r="J297" s="188">
        <v>7.2284161474004766E-2</v>
      </c>
      <c r="K297" s="188" t="s">
        <v>31</v>
      </c>
      <c r="L297" s="188" t="s">
        <v>31</v>
      </c>
      <c r="M297" s="188" t="s">
        <v>31</v>
      </c>
      <c r="N297" s="188"/>
      <c r="O297" s="396" t="s">
        <v>913</v>
      </c>
      <c r="P297" s="123">
        <v>6.5</v>
      </c>
      <c r="Q297" s="188" t="s">
        <v>274</v>
      </c>
      <c r="R297" s="188">
        <f>P297*0.001</f>
        <v>6.5000000000000006E-3</v>
      </c>
      <c r="S297" s="188"/>
      <c r="T297" s="188"/>
      <c r="U297" s="188"/>
    </row>
    <row r="298" spans="1:21" s="73" customFormat="1">
      <c r="A298" s="347" t="s">
        <v>5</v>
      </c>
      <c r="B298" s="348" t="s">
        <v>1189</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1190</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1.2999999999999999E-2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1189</v>
      </c>
      <c r="B308" s="393">
        <f t="shared" ref="B308:B318" si="28">P308</f>
        <v>1.2999999999999999E-2</v>
      </c>
      <c r="C308" s="188" t="s">
        <v>853</v>
      </c>
      <c r="D308" s="386" t="s">
        <v>2</v>
      </c>
      <c r="E308" s="188" t="s">
        <v>29</v>
      </c>
      <c r="F308" s="188" t="s">
        <v>14</v>
      </c>
      <c r="G308" s="188" t="s">
        <v>30</v>
      </c>
      <c r="H308" s="188">
        <v>1</v>
      </c>
      <c r="I308" s="188">
        <f t="shared" ref="I308:I309" si="29">B308</f>
        <v>1.2999999999999999E-2</v>
      </c>
      <c r="J308" s="188" t="s">
        <v>31</v>
      </c>
      <c r="K308" s="188" t="s">
        <v>31</v>
      </c>
      <c r="L308" s="188" t="s">
        <v>31</v>
      </c>
      <c r="M308" s="188" t="s">
        <v>31</v>
      </c>
      <c r="N308" s="188"/>
      <c r="O308" s="188"/>
      <c r="P308" s="447">
        <v>1.2999999999999999E-2</v>
      </c>
      <c r="Q308" s="188"/>
      <c r="R308" s="188"/>
      <c r="S308" s="188"/>
      <c r="T308" s="188"/>
      <c r="U308" s="188"/>
    </row>
    <row r="309" spans="1:21">
      <c r="A309" s="188" t="s">
        <v>1191</v>
      </c>
      <c r="B309" s="393">
        <f t="shared" si="28"/>
        <v>1.2999999999999999E-2</v>
      </c>
      <c r="C309" s="188" t="s">
        <v>853</v>
      </c>
      <c r="D309" s="386" t="s">
        <v>2</v>
      </c>
      <c r="E309" s="188" t="s">
        <v>29</v>
      </c>
      <c r="F309" s="188" t="s">
        <v>14</v>
      </c>
      <c r="G309" s="188" t="s">
        <v>33</v>
      </c>
      <c r="H309" s="188">
        <v>1</v>
      </c>
      <c r="I309" s="188">
        <f t="shared" si="29"/>
        <v>1.2999999999999999E-2</v>
      </c>
      <c r="J309" s="188" t="s">
        <v>31</v>
      </c>
      <c r="K309" s="188" t="s">
        <v>31</v>
      </c>
      <c r="L309" s="188" t="s">
        <v>31</v>
      </c>
      <c r="M309" s="188" t="s">
        <v>31</v>
      </c>
      <c r="N309" s="188"/>
      <c r="O309" s="188"/>
      <c r="P309" s="447">
        <v>1.2999999999999999E-2</v>
      </c>
      <c r="Q309" s="188"/>
      <c r="R309" s="188"/>
      <c r="S309" s="188"/>
      <c r="T309" s="188"/>
      <c r="U309" s="188"/>
    </row>
    <row r="310" spans="1:21">
      <c r="A310" s="323" t="s">
        <v>265</v>
      </c>
      <c r="B310" s="327">
        <f t="shared" si="28"/>
        <v>0.17</v>
      </c>
      <c r="C310" s="188" t="s">
        <v>39</v>
      </c>
      <c r="D310" s="188" t="s">
        <v>40</v>
      </c>
      <c r="E310" s="188" t="s">
        <v>29</v>
      </c>
      <c r="F310" s="37" t="s">
        <v>35</v>
      </c>
      <c r="G310" s="188" t="s">
        <v>33</v>
      </c>
      <c r="H310" s="188">
        <v>2</v>
      </c>
      <c r="I310" s="188">
        <f t="shared" ref="I310" si="30">LN(B310)</f>
        <v>-1.7719568419318752</v>
      </c>
      <c r="J310" s="188">
        <v>0.22500000000000006</v>
      </c>
      <c r="K310" s="188" t="s">
        <v>31</v>
      </c>
      <c r="L310" s="188" t="s">
        <v>31</v>
      </c>
      <c r="M310" s="188" t="s">
        <v>31</v>
      </c>
      <c r="N310" s="188"/>
      <c r="O310" s="379" t="s">
        <v>271</v>
      </c>
      <c r="P310" s="392">
        <v>0.17</v>
      </c>
      <c r="Q310" s="188"/>
      <c r="R310" s="188"/>
      <c r="S310" s="188"/>
      <c r="T310" s="188"/>
      <c r="U310" s="188"/>
    </row>
    <row r="311" spans="1:21">
      <c r="A311" s="84" t="s">
        <v>731</v>
      </c>
      <c r="B311" s="393">
        <f t="shared" si="28"/>
        <v>8.0000000000000002E-3</v>
      </c>
      <c r="C311" s="188" t="s">
        <v>37</v>
      </c>
      <c r="D311" s="188" t="s">
        <v>40</v>
      </c>
      <c r="E311" s="188" t="s">
        <v>29</v>
      </c>
      <c r="F311" s="188" t="s">
        <v>35</v>
      </c>
      <c r="G311" s="188" t="s">
        <v>33</v>
      </c>
      <c r="H311" s="188">
        <v>2</v>
      </c>
      <c r="I311" s="188">
        <f>LN(B311)</f>
        <v>-4.8283137373023015</v>
      </c>
      <c r="J311" s="188">
        <v>0.22500000000000006</v>
      </c>
      <c r="K311" s="188" t="s">
        <v>31</v>
      </c>
      <c r="L311" s="188" t="s">
        <v>31</v>
      </c>
      <c r="M311" s="188" t="s">
        <v>31</v>
      </c>
      <c r="N311" s="188"/>
      <c r="O311" s="379" t="s">
        <v>275</v>
      </c>
      <c r="P311" s="430">
        <v>8.0000000000000002E-3</v>
      </c>
      <c r="Q311" s="188"/>
      <c r="R311" s="188"/>
      <c r="S311" s="188"/>
      <c r="T311" s="188"/>
      <c r="U311" s="188"/>
    </row>
    <row r="312" spans="1:21">
      <c r="A312" s="188" t="s">
        <v>1012</v>
      </c>
      <c r="B312" s="393">
        <f t="shared" si="28"/>
        <v>1.72E-2</v>
      </c>
      <c r="C312" s="188" t="s">
        <v>37</v>
      </c>
      <c r="D312" s="188" t="s">
        <v>40</v>
      </c>
      <c r="E312" s="188" t="s">
        <v>29</v>
      </c>
      <c r="F312" s="188" t="s">
        <v>59</v>
      </c>
      <c r="G312" s="188" t="s">
        <v>33</v>
      </c>
      <c r="H312" s="188">
        <v>2</v>
      </c>
      <c r="I312" s="188">
        <f t="shared" ref="I312:I318" si="31">LN(B312)</f>
        <v>-4.06284589516273</v>
      </c>
      <c r="J312" s="188">
        <v>0.22500000000000006</v>
      </c>
      <c r="K312" s="188" t="s">
        <v>31</v>
      </c>
      <c r="L312" s="188" t="s">
        <v>31</v>
      </c>
      <c r="M312" s="188" t="s">
        <v>31</v>
      </c>
      <c r="N312" s="188"/>
      <c r="O312" s="379" t="s">
        <v>275</v>
      </c>
      <c r="P312" s="430">
        <v>1.72E-2</v>
      </c>
      <c r="Q312" s="188"/>
      <c r="R312" s="188"/>
      <c r="S312" s="188"/>
      <c r="T312" s="188"/>
      <c r="U312" s="188"/>
    </row>
    <row r="313" spans="1:21">
      <c r="A313" s="84" t="s">
        <v>987</v>
      </c>
      <c r="B313" s="393">
        <f t="shared" si="28"/>
        <v>8.0000000000000002E-3</v>
      </c>
      <c r="C313" s="188" t="s">
        <v>37</v>
      </c>
      <c r="D313" s="188" t="s">
        <v>40</v>
      </c>
      <c r="E313" s="188" t="s">
        <v>29</v>
      </c>
      <c r="F313" s="188" t="s">
        <v>35</v>
      </c>
      <c r="G313" s="188" t="s">
        <v>33</v>
      </c>
      <c r="H313" s="188">
        <v>2</v>
      </c>
      <c r="I313" s="188">
        <f t="shared" si="31"/>
        <v>-4.8283137373023015</v>
      </c>
      <c r="J313" s="188">
        <v>0.22500000000000006</v>
      </c>
      <c r="K313" s="188" t="s">
        <v>31</v>
      </c>
      <c r="L313" s="188" t="s">
        <v>31</v>
      </c>
      <c r="M313" s="188" t="s">
        <v>31</v>
      </c>
      <c r="N313" s="188"/>
      <c r="O313" s="379" t="s">
        <v>275</v>
      </c>
      <c r="P313" s="430">
        <v>8.0000000000000002E-3</v>
      </c>
      <c r="Q313" s="188"/>
      <c r="R313" s="188"/>
      <c r="S313" s="188"/>
      <c r="T313" s="188"/>
      <c r="U313" s="188"/>
    </row>
    <row r="314" spans="1:21">
      <c r="A314" s="84" t="s">
        <v>1013</v>
      </c>
      <c r="B314" s="393">
        <f t="shared" si="28"/>
        <v>6.0000000000000001E-3</v>
      </c>
      <c r="C314" s="188" t="s">
        <v>37</v>
      </c>
      <c r="D314" s="188" t="s">
        <v>40</v>
      </c>
      <c r="E314" s="188" t="s">
        <v>29</v>
      </c>
      <c r="F314" s="188" t="s">
        <v>59</v>
      </c>
      <c r="G314" s="188" t="s">
        <v>33</v>
      </c>
      <c r="H314" s="188">
        <v>2</v>
      </c>
      <c r="I314" s="188">
        <f t="shared" si="31"/>
        <v>-5.1159958097540823</v>
      </c>
      <c r="J314" s="188">
        <v>0.22500000000000006</v>
      </c>
      <c r="K314" s="188" t="s">
        <v>31</v>
      </c>
      <c r="L314" s="188" t="s">
        <v>31</v>
      </c>
      <c r="M314" s="188" t="s">
        <v>31</v>
      </c>
      <c r="N314" s="188"/>
      <c r="O314" s="379" t="s">
        <v>275</v>
      </c>
      <c r="P314" s="430">
        <v>6.0000000000000001E-3</v>
      </c>
      <c r="Q314" s="188"/>
      <c r="R314" s="188"/>
      <c r="S314" s="188"/>
      <c r="T314" s="188"/>
      <c r="U314" s="188"/>
    </row>
    <row r="315" spans="1:21">
      <c r="A315" s="84" t="s">
        <v>1014</v>
      </c>
      <c r="B315" s="393">
        <f t="shared" si="28"/>
        <v>1.72E-2</v>
      </c>
      <c r="C315" s="188" t="s">
        <v>37</v>
      </c>
      <c r="D315" s="188" t="s">
        <v>40</v>
      </c>
      <c r="E315" s="188" t="s">
        <v>29</v>
      </c>
      <c r="F315" s="188" t="s">
        <v>59</v>
      </c>
      <c r="G315" s="188" t="s">
        <v>33</v>
      </c>
      <c r="H315" s="188">
        <v>2</v>
      </c>
      <c r="I315" s="188">
        <f t="shared" si="31"/>
        <v>-4.06284589516273</v>
      </c>
      <c r="J315" s="188">
        <v>0.22500000000000006</v>
      </c>
      <c r="K315" s="188" t="s">
        <v>31</v>
      </c>
      <c r="L315" s="188" t="s">
        <v>31</v>
      </c>
      <c r="M315" s="188" t="s">
        <v>31</v>
      </c>
      <c r="N315" s="188"/>
      <c r="O315" s="379" t="s">
        <v>275</v>
      </c>
      <c r="P315" s="430">
        <v>1.72E-2</v>
      </c>
      <c r="Q315" s="188"/>
      <c r="R315" s="188"/>
      <c r="S315" s="188"/>
      <c r="T315" s="188"/>
      <c r="U315" s="188"/>
    </row>
    <row r="316" spans="1:21">
      <c r="A316" s="323" t="s">
        <v>844</v>
      </c>
      <c r="B316" s="393">
        <f t="shared" si="28"/>
        <v>0.318</v>
      </c>
      <c r="C316" s="188" t="s">
        <v>37</v>
      </c>
      <c r="D316" s="188" t="s">
        <v>40</v>
      </c>
      <c r="E316" s="188" t="s">
        <v>29</v>
      </c>
      <c r="F316" s="37" t="s">
        <v>74</v>
      </c>
      <c r="G316" s="188" t="s">
        <v>33</v>
      </c>
      <c r="H316" s="188">
        <v>2</v>
      </c>
      <c r="I316" s="188">
        <f t="shared" si="31"/>
        <v>-1.1457038962019601</v>
      </c>
      <c r="J316" s="188">
        <v>0.22500000000000006</v>
      </c>
      <c r="K316" s="188" t="s">
        <v>31</v>
      </c>
      <c r="L316" s="188" t="s">
        <v>31</v>
      </c>
      <c r="M316" s="188" t="s">
        <v>31</v>
      </c>
      <c r="N316" s="188"/>
      <c r="O316" s="379" t="s">
        <v>275</v>
      </c>
      <c r="P316" s="430">
        <v>0.318</v>
      </c>
      <c r="Q316" s="188"/>
      <c r="R316" s="188"/>
      <c r="S316" s="188"/>
      <c r="T316" s="188"/>
      <c r="U316" s="188"/>
    </row>
    <row r="317" spans="1:21">
      <c r="A317" s="84" t="s">
        <v>807</v>
      </c>
      <c r="B317" s="393">
        <f t="shared" si="28"/>
        <v>3.0999999999999999E-3</v>
      </c>
      <c r="C317" s="188" t="s">
        <v>37</v>
      </c>
      <c r="D317" s="188" t="s">
        <v>43</v>
      </c>
      <c r="E317" s="188" t="s">
        <v>44</v>
      </c>
      <c r="F317" s="188" t="s">
        <v>29</v>
      </c>
      <c r="G317" s="188" t="s">
        <v>45</v>
      </c>
      <c r="H317" s="188">
        <v>2</v>
      </c>
      <c r="I317" s="188">
        <f t="shared" si="31"/>
        <v>-5.7763531674910364</v>
      </c>
      <c r="J317" s="188">
        <v>0.22500000000000006</v>
      </c>
      <c r="K317" s="188" t="s">
        <v>31</v>
      </c>
      <c r="L317" s="188" t="s">
        <v>31</v>
      </c>
      <c r="M317" s="188" t="s">
        <v>31</v>
      </c>
      <c r="N317" s="188"/>
      <c r="O317" s="394" t="s">
        <v>275</v>
      </c>
      <c r="P317" s="395">
        <v>3.0999999999999999E-3</v>
      </c>
      <c r="Q317" s="188"/>
      <c r="R317" s="188"/>
      <c r="S317" s="188"/>
      <c r="T317" s="188"/>
      <c r="U317" s="188"/>
    </row>
    <row r="318" spans="1:21">
      <c r="A318" s="188" t="s">
        <v>829</v>
      </c>
      <c r="B318" s="393">
        <f t="shared" si="28"/>
        <v>5.7000000000000002E-2</v>
      </c>
      <c r="C318" s="188" t="s">
        <v>37</v>
      </c>
      <c r="D318" s="386" t="s">
        <v>2</v>
      </c>
      <c r="E318" s="188" t="s">
        <v>29</v>
      </c>
      <c r="F318" s="37" t="s">
        <v>74</v>
      </c>
      <c r="G318" s="188" t="s">
        <v>33</v>
      </c>
      <c r="H318" s="188">
        <v>2</v>
      </c>
      <c r="I318" s="188">
        <f t="shared" si="31"/>
        <v>-2.864704011147587</v>
      </c>
      <c r="J318" s="188">
        <v>0.22500000000000006</v>
      </c>
      <c r="K318" s="188" t="s">
        <v>31</v>
      </c>
      <c r="L318" s="188" t="s">
        <v>31</v>
      </c>
      <c r="M318" s="188" t="s">
        <v>31</v>
      </c>
      <c r="N318" s="188"/>
      <c r="O318" s="396" t="s">
        <v>275</v>
      </c>
      <c r="P318" s="431">
        <v>5.7000000000000002E-2</v>
      </c>
      <c r="Q318" s="188"/>
      <c r="R318" s="188"/>
      <c r="S318" s="188"/>
      <c r="T318" s="188"/>
      <c r="U318" s="188"/>
    </row>
    <row r="319" spans="1:21" s="73" customFormat="1">
      <c r="A319" s="347" t="s">
        <v>5</v>
      </c>
      <c r="B319" s="348" t="s">
        <v>1191</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1192</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1.2999999999999999E-2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1191</v>
      </c>
      <c r="B329" s="393">
        <f>P330</f>
        <v>1.2999999999999999E-2</v>
      </c>
      <c r="C329" s="188" t="s">
        <v>853</v>
      </c>
      <c r="D329" s="386" t="s">
        <v>2</v>
      </c>
      <c r="E329" s="188" t="s">
        <v>29</v>
      </c>
      <c r="F329" s="188" t="s">
        <v>14</v>
      </c>
      <c r="G329" s="188" t="s">
        <v>30</v>
      </c>
      <c r="H329" s="188">
        <v>1</v>
      </c>
      <c r="I329" s="188">
        <f t="shared" ref="I329:I331" si="32">B329</f>
        <v>1.2999999999999999E-2</v>
      </c>
      <c r="J329" s="188" t="s">
        <v>31</v>
      </c>
      <c r="K329" s="188" t="s">
        <v>31</v>
      </c>
      <c r="L329" s="188" t="s">
        <v>31</v>
      </c>
      <c r="M329" s="188" t="s">
        <v>31</v>
      </c>
      <c r="N329" s="188"/>
      <c r="O329" s="188"/>
      <c r="P329" s="188"/>
      <c r="Q329" s="188"/>
      <c r="R329" s="188"/>
      <c r="S329" s="188"/>
      <c r="T329" s="188"/>
      <c r="U329" s="188"/>
    </row>
    <row r="330" spans="1:21">
      <c r="A330" s="192" t="s">
        <v>1193</v>
      </c>
      <c r="B330" s="393">
        <f>P330</f>
        <v>1.2999999999999999E-2</v>
      </c>
      <c r="C330" s="188" t="s">
        <v>853</v>
      </c>
      <c r="D330" s="386" t="s">
        <v>2</v>
      </c>
      <c r="E330" s="188" t="s">
        <v>29</v>
      </c>
      <c r="F330" s="188" t="s">
        <v>14</v>
      </c>
      <c r="G330" s="188" t="s">
        <v>33</v>
      </c>
      <c r="H330" s="188">
        <v>1</v>
      </c>
      <c r="I330" s="188">
        <f t="shared" si="32"/>
        <v>1.2999999999999999E-2</v>
      </c>
      <c r="J330" s="188">
        <v>2.8722813232690055E-2</v>
      </c>
      <c r="K330" s="188" t="s">
        <v>31</v>
      </c>
      <c r="L330" s="188" t="s">
        <v>31</v>
      </c>
      <c r="M330" s="188" t="s">
        <v>31</v>
      </c>
      <c r="N330" s="188"/>
      <c r="O330" s="374" t="s">
        <v>873</v>
      </c>
      <c r="P330" s="432">
        <v>1.2999999999999999E-2</v>
      </c>
      <c r="Q330" s="188"/>
      <c r="R330" s="188"/>
      <c r="S330" s="188"/>
      <c r="T330" s="188"/>
      <c r="U330" s="188"/>
    </row>
    <row r="331" spans="1:21">
      <c r="A331" s="192" t="s">
        <v>1135</v>
      </c>
      <c r="B331" s="188">
        <f>R331</f>
        <v>0.13800000000000001</v>
      </c>
      <c r="C331" s="188" t="s">
        <v>275</v>
      </c>
      <c r="D331" s="386" t="s">
        <v>2</v>
      </c>
      <c r="E331" s="188" t="s">
        <v>29</v>
      </c>
      <c r="F331" s="188" t="s">
        <v>14</v>
      </c>
      <c r="G331" s="188" t="s">
        <v>33</v>
      </c>
      <c r="H331" s="188">
        <v>1</v>
      </c>
      <c r="I331" s="188">
        <f t="shared" si="32"/>
        <v>0.13800000000000001</v>
      </c>
      <c r="J331" s="188">
        <v>2.8722813232690055E-2</v>
      </c>
      <c r="K331" s="188" t="s">
        <v>31</v>
      </c>
      <c r="L331" s="188" t="s">
        <v>31</v>
      </c>
      <c r="M331" s="188" t="s">
        <v>31</v>
      </c>
      <c r="N331" s="188"/>
      <c r="O331" s="374" t="s">
        <v>857</v>
      </c>
      <c r="P331" s="433">
        <v>138</v>
      </c>
      <c r="Q331" s="188" t="s">
        <v>275</v>
      </c>
      <c r="R331" s="188">
        <f>P331*0.001</f>
        <v>0.13800000000000001</v>
      </c>
      <c r="S331" s="188"/>
      <c r="T331" s="188"/>
      <c r="U331" s="188"/>
    </row>
    <row r="332" spans="1:21">
      <c r="A332" s="323" t="s">
        <v>265</v>
      </c>
      <c r="B332" s="327">
        <f>P332</f>
        <v>0.01</v>
      </c>
      <c r="C332" s="188" t="s">
        <v>39</v>
      </c>
      <c r="D332" s="188" t="s">
        <v>40</v>
      </c>
      <c r="E332" s="188" t="s">
        <v>29</v>
      </c>
      <c r="F332" s="37" t="s">
        <v>35</v>
      </c>
      <c r="G332" s="188" t="s">
        <v>33</v>
      </c>
      <c r="H332" s="188">
        <v>2</v>
      </c>
      <c r="I332" s="188">
        <f t="shared" ref="I332:I334" si="33">LN(B332)</f>
        <v>-4.6051701859880909</v>
      </c>
      <c r="J332" s="188">
        <v>0.20928449536456342</v>
      </c>
      <c r="K332" s="188" t="s">
        <v>31</v>
      </c>
      <c r="L332" s="188" t="s">
        <v>31</v>
      </c>
      <c r="M332" s="188" t="s">
        <v>31</v>
      </c>
      <c r="N332" s="188"/>
      <c r="O332" s="379" t="s">
        <v>271</v>
      </c>
      <c r="P332" s="153">
        <v>0.01</v>
      </c>
      <c r="Q332" s="188"/>
      <c r="R332" s="188"/>
      <c r="S332" s="188"/>
      <c r="T332" s="188"/>
      <c r="U332" s="188"/>
    </row>
    <row r="333" spans="1:21">
      <c r="A333" s="323" t="s">
        <v>265</v>
      </c>
      <c r="B333" s="327">
        <f>P333</f>
        <v>0.78</v>
      </c>
      <c r="C333" s="188" t="s">
        <v>39</v>
      </c>
      <c r="D333" s="188" t="s">
        <v>40</v>
      </c>
      <c r="E333" s="188" t="s">
        <v>29</v>
      </c>
      <c r="F333" s="37" t="s">
        <v>35</v>
      </c>
      <c r="G333" s="188" t="s">
        <v>33</v>
      </c>
      <c r="H333" s="188">
        <v>2</v>
      </c>
      <c r="I333" s="188">
        <f t="shared" si="33"/>
        <v>-0.24846135929849961</v>
      </c>
      <c r="J333" s="188">
        <v>0.20928449536456342</v>
      </c>
      <c r="K333" s="188" t="s">
        <v>31</v>
      </c>
      <c r="L333" s="188" t="s">
        <v>31</v>
      </c>
      <c r="M333" s="188" t="s">
        <v>31</v>
      </c>
      <c r="N333" s="188"/>
      <c r="O333" s="379" t="s">
        <v>271</v>
      </c>
      <c r="P333" s="107">
        <v>0.78</v>
      </c>
      <c r="Q333" s="188"/>
      <c r="R333" s="188"/>
      <c r="S333" s="188"/>
      <c r="T333" s="188"/>
      <c r="U333" s="188"/>
    </row>
    <row r="334" spans="1:21">
      <c r="A334" s="323" t="s">
        <v>265</v>
      </c>
      <c r="B334" s="327">
        <f>P334</f>
        <v>0.2</v>
      </c>
      <c r="C334" s="188" t="s">
        <v>39</v>
      </c>
      <c r="D334" s="188" t="s">
        <v>40</v>
      </c>
      <c r="E334" s="188" t="s">
        <v>29</v>
      </c>
      <c r="F334" s="37" t="s">
        <v>35</v>
      </c>
      <c r="G334" s="188" t="s">
        <v>33</v>
      </c>
      <c r="H334" s="188">
        <v>2</v>
      </c>
      <c r="I334" s="188">
        <f t="shared" si="33"/>
        <v>-1.6094379124341003</v>
      </c>
      <c r="J334" s="188">
        <v>9.6436507609929598E-2</v>
      </c>
      <c r="K334" s="188" t="s">
        <v>31</v>
      </c>
      <c r="L334" s="188" t="s">
        <v>31</v>
      </c>
      <c r="M334" s="188" t="s">
        <v>31</v>
      </c>
      <c r="N334" s="188"/>
      <c r="O334" s="379" t="s">
        <v>271</v>
      </c>
      <c r="P334" s="107">
        <v>0.2</v>
      </c>
      <c r="Q334" s="188"/>
      <c r="R334" s="188"/>
      <c r="S334" s="188"/>
      <c r="T334" s="188"/>
      <c r="U334" s="188"/>
    </row>
    <row r="335" spans="1:21">
      <c r="A335" s="84" t="s">
        <v>731</v>
      </c>
      <c r="B335" s="393">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379" t="s">
        <v>857</v>
      </c>
      <c r="P335" s="107">
        <v>1</v>
      </c>
      <c r="Q335" s="188" t="s">
        <v>275</v>
      </c>
      <c r="R335" s="188">
        <f>P335*0.001</f>
        <v>1E-3</v>
      </c>
      <c r="S335" s="188"/>
      <c r="T335" s="188"/>
      <c r="U335" s="188"/>
    </row>
    <row r="336" spans="1:21">
      <c r="A336" s="323" t="s">
        <v>844</v>
      </c>
      <c r="B336" s="393">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379" t="s">
        <v>275</v>
      </c>
      <c r="P336" s="153">
        <v>0.01</v>
      </c>
      <c r="Q336" s="188"/>
      <c r="R336" s="188"/>
      <c r="S336" s="188"/>
      <c r="T336" s="188"/>
      <c r="U336" s="188"/>
    </row>
    <row r="337" spans="1:21">
      <c r="A337" s="84" t="s">
        <v>481</v>
      </c>
      <c r="B337" s="419">
        <f>R337</f>
        <v>2E-3</v>
      </c>
      <c r="C337" s="188" t="s">
        <v>37</v>
      </c>
      <c r="D337" s="188" t="s">
        <v>40</v>
      </c>
      <c r="E337" s="188" t="s">
        <v>29</v>
      </c>
      <c r="F337" s="37" t="s">
        <v>82</v>
      </c>
      <c r="G337" s="188" t="s">
        <v>33</v>
      </c>
      <c r="H337" s="188">
        <v>2</v>
      </c>
      <c r="I337" s="188">
        <f>LN(B337)</f>
        <v>-6.2146080984221914</v>
      </c>
      <c r="J337" s="188">
        <v>0.20928449536456342</v>
      </c>
      <c r="K337" s="188" t="s">
        <v>31</v>
      </c>
      <c r="L337" s="188" t="s">
        <v>31</v>
      </c>
      <c r="M337" s="188" t="s">
        <v>31</v>
      </c>
      <c r="N337" s="188"/>
      <c r="O337" s="379" t="s">
        <v>857</v>
      </c>
      <c r="P337" s="107">
        <v>2</v>
      </c>
      <c r="Q337" s="188" t="s">
        <v>275</v>
      </c>
      <c r="R337" s="188">
        <f>P337*0.001</f>
        <v>2E-3</v>
      </c>
      <c r="S337" s="188"/>
      <c r="T337" s="188"/>
      <c r="U337" s="188"/>
    </row>
    <row r="338" spans="1:21">
      <c r="A338" s="84" t="s">
        <v>987</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379" t="s">
        <v>857</v>
      </c>
      <c r="P338" s="107">
        <v>3</v>
      </c>
      <c r="Q338" s="188" t="s">
        <v>275</v>
      </c>
      <c r="R338" s="188">
        <f>P338*0.001</f>
        <v>3.0000000000000001E-3</v>
      </c>
      <c r="S338" s="188"/>
      <c r="T338" s="188"/>
      <c r="U338" s="188"/>
    </row>
    <row r="339" spans="1:21">
      <c r="A339" s="323" t="s">
        <v>845</v>
      </c>
      <c r="B339" s="188">
        <f>P339</f>
        <v>2.2999999999999998</v>
      </c>
      <c r="C339" s="188" t="s">
        <v>37</v>
      </c>
      <c r="D339" s="188" t="s">
        <v>40</v>
      </c>
      <c r="E339" s="188" t="s">
        <v>29</v>
      </c>
      <c r="F339" s="37" t="s">
        <v>35</v>
      </c>
      <c r="G339" s="188" t="s">
        <v>33</v>
      </c>
      <c r="H339" s="188">
        <v>2</v>
      </c>
      <c r="I339" s="188">
        <f t="shared" ref="I339:I340" si="34">LN(B339)</f>
        <v>0.83290912293510388</v>
      </c>
      <c r="J339" s="188">
        <v>0.20928449536456342</v>
      </c>
      <c r="K339" s="188" t="s">
        <v>31</v>
      </c>
      <c r="L339" s="188" t="s">
        <v>31</v>
      </c>
      <c r="M339" s="188" t="s">
        <v>31</v>
      </c>
      <c r="N339" s="188"/>
      <c r="O339" s="379" t="s">
        <v>275</v>
      </c>
      <c r="P339" s="107">
        <v>2.2999999999999998</v>
      </c>
      <c r="Q339" s="188"/>
      <c r="R339" s="188"/>
      <c r="S339" s="188"/>
      <c r="T339" s="188"/>
      <c r="U339" s="188"/>
    </row>
    <row r="340" spans="1:21">
      <c r="A340" s="188" t="s">
        <v>829</v>
      </c>
      <c r="B340" s="393">
        <f>P340</f>
        <v>6.6E-3</v>
      </c>
      <c r="C340" s="188" t="s">
        <v>37</v>
      </c>
      <c r="D340" s="386" t="s">
        <v>2</v>
      </c>
      <c r="E340" s="188" t="s">
        <v>29</v>
      </c>
      <c r="F340" s="37" t="s">
        <v>74</v>
      </c>
      <c r="G340" s="188" t="s">
        <v>33</v>
      </c>
      <c r="H340" s="188">
        <v>2</v>
      </c>
      <c r="I340" s="188">
        <f t="shared" si="34"/>
        <v>-5.0206856299497575</v>
      </c>
      <c r="J340" s="188">
        <v>0.20928449536456342</v>
      </c>
      <c r="K340" s="188" t="s">
        <v>31</v>
      </c>
      <c r="L340" s="188" t="s">
        <v>31</v>
      </c>
      <c r="M340" s="188" t="s">
        <v>31</v>
      </c>
      <c r="N340" s="188"/>
      <c r="O340" s="396" t="s">
        <v>275</v>
      </c>
      <c r="P340" s="152">
        <v>6.6E-3</v>
      </c>
      <c r="Q340" s="188"/>
      <c r="R340" s="188"/>
      <c r="S340" s="188"/>
      <c r="T340" s="188"/>
      <c r="U340" s="188"/>
    </row>
    <row r="341" spans="1:21" s="73" customFormat="1">
      <c r="A341" s="347" t="s">
        <v>5</v>
      </c>
      <c r="B341" s="348" t="s">
        <v>1193</v>
      </c>
      <c r="C341" s="330"/>
      <c r="D341" s="330"/>
      <c r="E341" s="330"/>
      <c r="F341" s="330"/>
      <c r="G341" s="330"/>
      <c r="H341" s="330"/>
      <c r="I341" s="330"/>
      <c r="J341" s="330"/>
      <c r="K341" s="330"/>
      <c r="L341" s="330"/>
      <c r="M341" s="330"/>
      <c r="N341" s="330"/>
      <c r="O341" s="330"/>
      <c r="P341" s="447"/>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1194</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1.2999999999999999E-2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1193</v>
      </c>
      <c r="B351" s="393">
        <f>P351</f>
        <v>1.2999999999999999E-2</v>
      </c>
      <c r="C351" s="188" t="s">
        <v>853</v>
      </c>
      <c r="D351" s="386" t="s">
        <v>2</v>
      </c>
      <c r="E351" s="188" t="s">
        <v>29</v>
      </c>
      <c r="F351" s="188" t="s">
        <v>14</v>
      </c>
      <c r="G351" s="188" t="s">
        <v>30</v>
      </c>
      <c r="H351" s="188">
        <v>1</v>
      </c>
      <c r="I351" s="188">
        <f>B351</f>
        <v>1.2999999999999999E-2</v>
      </c>
      <c r="J351" s="188" t="s">
        <v>31</v>
      </c>
      <c r="K351" s="188" t="s">
        <v>31</v>
      </c>
      <c r="L351" s="188" t="s">
        <v>31</v>
      </c>
      <c r="M351" s="188" t="s">
        <v>31</v>
      </c>
      <c r="N351" s="188"/>
      <c r="O351" s="374" t="s">
        <v>873</v>
      </c>
      <c r="P351" s="151">
        <v>1.2999999999999999E-2</v>
      </c>
      <c r="Q351" s="188"/>
      <c r="R351" s="188"/>
      <c r="S351" s="188"/>
      <c r="T351" s="188"/>
      <c r="U351" s="188"/>
    </row>
    <row r="352" spans="1:21">
      <c r="A352" s="84" t="s">
        <v>898</v>
      </c>
      <c r="B352" s="188">
        <f>P352</f>
        <v>0.03</v>
      </c>
      <c r="C352" s="188" t="s">
        <v>37</v>
      </c>
      <c r="D352" s="188" t="s">
        <v>40</v>
      </c>
      <c r="E352" s="188" t="s">
        <v>29</v>
      </c>
      <c r="F352" s="188" t="s">
        <v>82</v>
      </c>
      <c r="G352" s="188" t="s">
        <v>33</v>
      </c>
      <c r="H352" s="188">
        <v>2</v>
      </c>
      <c r="I352" s="188">
        <f t="shared" ref="I352:I362" si="35">LN(B352)</f>
        <v>-3.5065578973199818</v>
      </c>
      <c r="J352" s="442">
        <v>0.22516660498395411</v>
      </c>
      <c r="K352" s="188" t="s">
        <v>31</v>
      </c>
      <c r="L352" s="188" t="s">
        <v>31</v>
      </c>
      <c r="M352" s="188" t="s">
        <v>31</v>
      </c>
      <c r="N352" s="188"/>
      <c r="O352" s="379" t="s">
        <v>275</v>
      </c>
      <c r="P352" s="107">
        <v>0.03</v>
      </c>
      <c r="Q352" s="188"/>
      <c r="R352" s="188"/>
      <c r="S352" s="188"/>
      <c r="T352" s="188"/>
      <c r="U352" s="188"/>
    </row>
    <row r="353" spans="1:21">
      <c r="A353" s="323" t="s">
        <v>265</v>
      </c>
      <c r="B353" s="327">
        <f>P353</f>
        <v>0.28000000000000003</v>
      </c>
      <c r="C353" s="188" t="s">
        <v>39</v>
      </c>
      <c r="D353" s="188" t="s">
        <v>40</v>
      </c>
      <c r="E353" s="188" t="s">
        <v>29</v>
      </c>
      <c r="F353" s="37" t="s">
        <v>35</v>
      </c>
      <c r="G353" s="188" t="s">
        <v>33</v>
      </c>
      <c r="H353" s="188">
        <v>2</v>
      </c>
      <c r="I353" s="188">
        <f t="shared" si="35"/>
        <v>-1.2729656758128873</v>
      </c>
      <c r="J353" s="442">
        <v>0.22516660498395411</v>
      </c>
      <c r="K353" s="188" t="s">
        <v>31</v>
      </c>
      <c r="L353" s="188" t="s">
        <v>31</v>
      </c>
      <c r="M353" s="188" t="s">
        <v>31</v>
      </c>
      <c r="N353" s="188"/>
      <c r="O353" s="379" t="s">
        <v>271</v>
      </c>
      <c r="P353" s="107">
        <v>0.28000000000000003</v>
      </c>
      <c r="Q353" s="188"/>
      <c r="R353" s="188"/>
      <c r="S353" s="188"/>
      <c r="T353" s="188"/>
      <c r="U353" s="188"/>
    </row>
    <row r="354" spans="1:21">
      <c r="A354" s="84" t="s">
        <v>1018</v>
      </c>
      <c r="B354" s="393">
        <f>R354</f>
        <v>4.6000000000000001E-4</v>
      </c>
      <c r="C354" s="188" t="s">
        <v>37</v>
      </c>
      <c r="D354" s="188" t="s">
        <v>40</v>
      </c>
      <c r="E354" s="188" t="s">
        <v>29</v>
      </c>
      <c r="F354" s="188" t="s">
        <v>35</v>
      </c>
      <c r="G354" s="188" t="s">
        <v>33</v>
      </c>
      <c r="H354" s="188">
        <v>2</v>
      </c>
      <c r="I354" s="188">
        <f t="shared" si="35"/>
        <v>-7.6842840684811335</v>
      </c>
      <c r="J354" s="442">
        <v>0.22516660498395411</v>
      </c>
      <c r="K354" s="188" t="s">
        <v>31</v>
      </c>
      <c r="L354" s="188" t="s">
        <v>31</v>
      </c>
      <c r="M354" s="188" t="s">
        <v>31</v>
      </c>
      <c r="N354" s="188"/>
      <c r="O354" s="379" t="s">
        <v>857</v>
      </c>
      <c r="P354" s="153">
        <v>0.46</v>
      </c>
      <c r="Q354" s="188" t="s">
        <v>275</v>
      </c>
      <c r="R354" s="393">
        <f>0.001*P354</f>
        <v>4.6000000000000001E-4</v>
      </c>
      <c r="S354" s="188"/>
      <c r="T354" s="188"/>
      <c r="U354" s="188"/>
    </row>
    <row r="355" spans="1:21">
      <c r="A355" s="84" t="s">
        <v>1019</v>
      </c>
      <c r="B355" s="393">
        <f>P355</f>
        <v>2.3E-3</v>
      </c>
      <c r="C355" s="188" t="s">
        <v>37</v>
      </c>
      <c r="D355" s="188" t="s">
        <v>40</v>
      </c>
      <c r="E355" s="188" t="s">
        <v>29</v>
      </c>
      <c r="F355" s="188" t="s">
        <v>35</v>
      </c>
      <c r="G355" s="188" t="s">
        <v>33</v>
      </c>
      <c r="H355" s="188">
        <v>2</v>
      </c>
      <c r="I355" s="188">
        <f t="shared" si="35"/>
        <v>-6.074846156047033</v>
      </c>
      <c r="J355" s="442">
        <v>0.22516660498395411</v>
      </c>
      <c r="K355" s="188" t="s">
        <v>31</v>
      </c>
      <c r="L355" s="188" t="s">
        <v>31</v>
      </c>
      <c r="M355" s="188" t="s">
        <v>31</v>
      </c>
      <c r="N355" s="188"/>
      <c r="O355" s="379" t="s">
        <v>275</v>
      </c>
      <c r="P355" s="153">
        <v>2.3E-3</v>
      </c>
      <c r="Q355" s="188"/>
      <c r="R355" s="188"/>
      <c r="S355" s="188"/>
      <c r="T355" s="188"/>
      <c r="U355" s="188"/>
    </row>
    <row r="356" spans="1:21">
      <c r="A356" s="84" t="s">
        <v>1020</v>
      </c>
      <c r="B356" s="393">
        <f>P356</f>
        <v>1.9E-3</v>
      </c>
      <c r="C356" s="188" t="s">
        <v>37</v>
      </c>
      <c r="D356" s="188" t="s">
        <v>40</v>
      </c>
      <c r="E356" s="188" t="s">
        <v>29</v>
      </c>
      <c r="F356" s="188" t="s">
        <v>35</v>
      </c>
      <c r="G356" s="188" t="s">
        <v>33</v>
      </c>
      <c r="H356" s="188">
        <v>2</v>
      </c>
      <c r="I356" s="188">
        <f t="shared" si="35"/>
        <v>-6.2659013928097425</v>
      </c>
      <c r="J356" s="442">
        <v>0.22516660498395411</v>
      </c>
      <c r="K356" s="188" t="s">
        <v>31</v>
      </c>
      <c r="L356" s="188" t="s">
        <v>31</v>
      </c>
      <c r="M356" s="188" t="s">
        <v>31</v>
      </c>
      <c r="N356" s="188"/>
      <c r="O356" s="379" t="s">
        <v>275</v>
      </c>
      <c r="P356" s="153">
        <v>1.9E-3</v>
      </c>
      <c r="Q356" s="188"/>
      <c r="R356" s="188"/>
      <c r="S356" s="188"/>
      <c r="T356" s="188"/>
      <c r="U356" s="188"/>
    </row>
    <row r="357" spans="1:21">
      <c r="A357" s="84" t="s">
        <v>1021</v>
      </c>
      <c r="B357" s="393">
        <f>P357</f>
        <v>1.6E-2</v>
      </c>
      <c r="C357" s="188" t="s">
        <v>37</v>
      </c>
      <c r="D357" s="188" t="s">
        <v>40</v>
      </c>
      <c r="E357" s="188" t="s">
        <v>29</v>
      </c>
      <c r="F357" s="188" t="s">
        <v>35</v>
      </c>
      <c r="G357" s="188" t="s">
        <v>33</v>
      </c>
      <c r="H357" s="188">
        <v>2</v>
      </c>
      <c r="I357" s="188">
        <f t="shared" si="35"/>
        <v>-4.1351665567423561</v>
      </c>
      <c r="J357" s="442">
        <v>0.22516660498395411</v>
      </c>
      <c r="K357" s="188" t="s">
        <v>31</v>
      </c>
      <c r="L357" s="188" t="s">
        <v>31</v>
      </c>
      <c r="M357" s="188" t="s">
        <v>31</v>
      </c>
      <c r="N357" s="188"/>
      <c r="O357" s="379" t="s">
        <v>275</v>
      </c>
      <c r="P357" s="107">
        <v>1.6E-2</v>
      </c>
      <c r="Q357" s="188"/>
      <c r="R357" s="188"/>
      <c r="S357" s="188"/>
      <c r="T357" s="188"/>
      <c r="U357" s="188"/>
    </row>
    <row r="358" spans="1:21">
      <c r="A358" s="84" t="s">
        <v>1022</v>
      </c>
      <c r="B358" s="393">
        <f>R358</f>
        <v>9.2999999999999997E-5</v>
      </c>
      <c r="C358" s="188" t="s">
        <v>37</v>
      </c>
      <c r="D358" s="188" t="s">
        <v>43</v>
      </c>
      <c r="E358" s="188" t="s">
        <v>44</v>
      </c>
      <c r="F358" s="188" t="s">
        <v>29</v>
      </c>
      <c r="G358" s="188" t="s">
        <v>45</v>
      </c>
      <c r="H358" s="188">
        <v>2</v>
      </c>
      <c r="I358" s="188">
        <f t="shared" si="35"/>
        <v>-9.2829110648110174</v>
      </c>
      <c r="J358" s="442">
        <v>0.10344080432788608</v>
      </c>
      <c r="K358" s="188" t="s">
        <v>31</v>
      </c>
      <c r="L358" s="188" t="s">
        <v>31</v>
      </c>
      <c r="M358" s="188" t="s">
        <v>31</v>
      </c>
      <c r="N358" s="188"/>
      <c r="O358" s="394" t="s">
        <v>857</v>
      </c>
      <c r="P358" s="127">
        <v>9.2999999999999999E-2</v>
      </c>
      <c r="Q358" s="188" t="s">
        <v>275</v>
      </c>
      <c r="R358" s="393">
        <f>0.001*P358</f>
        <v>9.2999999999999997E-5</v>
      </c>
      <c r="S358" s="188"/>
      <c r="T358" s="188"/>
      <c r="U358" s="188"/>
    </row>
    <row r="359" spans="1:21">
      <c r="A359" s="84" t="s">
        <v>77</v>
      </c>
      <c r="B359" s="393">
        <f t="shared" ref="B359:B361" si="36">R359</f>
        <v>1E-3</v>
      </c>
      <c r="C359" s="188" t="s">
        <v>37</v>
      </c>
      <c r="D359" s="188" t="s">
        <v>43</v>
      </c>
      <c r="E359" s="188" t="s">
        <v>44</v>
      </c>
      <c r="F359" s="188" t="s">
        <v>29</v>
      </c>
      <c r="G359" s="188" t="s">
        <v>45</v>
      </c>
      <c r="H359" s="188">
        <v>2</v>
      </c>
      <c r="I359" s="188">
        <f t="shared" si="35"/>
        <v>-6.9077552789821368</v>
      </c>
      <c r="J359" s="442">
        <v>0.10344080432788608</v>
      </c>
      <c r="K359" s="188" t="s">
        <v>31</v>
      </c>
      <c r="L359" s="188" t="s">
        <v>31</v>
      </c>
      <c r="M359" s="188" t="s">
        <v>31</v>
      </c>
      <c r="N359" s="188"/>
      <c r="O359" s="394" t="s">
        <v>857</v>
      </c>
      <c r="P359" s="127">
        <v>1</v>
      </c>
      <c r="Q359" s="188" t="s">
        <v>275</v>
      </c>
      <c r="R359" s="393">
        <f>0.001*P359</f>
        <v>1E-3</v>
      </c>
      <c r="S359" s="188"/>
      <c r="T359" s="188"/>
      <c r="U359" s="188"/>
    </row>
    <row r="360" spans="1:21">
      <c r="A360" s="84" t="s">
        <v>1023</v>
      </c>
      <c r="B360" s="393">
        <f t="shared" si="36"/>
        <v>6.5000000000000008E-4</v>
      </c>
      <c r="C360" s="188" t="s">
        <v>37</v>
      </c>
      <c r="D360" s="188" t="s">
        <v>43</v>
      </c>
      <c r="E360" s="188" t="s">
        <v>44</v>
      </c>
      <c r="F360" s="188" t="s">
        <v>29</v>
      </c>
      <c r="G360" s="188" t="s">
        <v>45</v>
      </c>
      <c r="H360" s="188">
        <v>2</v>
      </c>
      <c r="I360" s="188">
        <f t="shared" si="35"/>
        <v>-7.3385381950745909</v>
      </c>
      <c r="J360" s="442">
        <v>0.10344080432788608</v>
      </c>
      <c r="K360" s="188" t="s">
        <v>31</v>
      </c>
      <c r="L360" s="188" t="s">
        <v>31</v>
      </c>
      <c r="M360" s="188" t="s">
        <v>31</v>
      </c>
      <c r="N360" s="188"/>
      <c r="O360" s="394" t="s">
        <v>857</v>
      </c>
      <c r="P360" s="127">
        <v>0.65</v>
      </c>
      <c r="Q360" s="188" t="s">
        <v>275</v>
      </c>
      <c r="R360" s="393">
        <f>0.001*P360</f>
        <v>6.5000000000000008E-4</v>
      </c>
      <c r="S360" s="188"/>
      <c r="T360" s="188"/>
      <c r="U360" s="188"/>
    </row>
    <row r="361" spans="1:21">
      <c r="A361" s="84" t="s">
        <v>807</v>
      </c>
      <c r="B361" s="393">
        <f t="shared" si="36"/>
        <v>3.6999999999999999E-4</v>
      </c>
      <c r="C361" s="188" t="s">
        <v>37</v>
      </c>
      <c r="D361" s="188" t="s">
        <v>43</v>
      </c>
      <c r="E361" s="188" t="s">
        <v>44</v>
      </c>
      <c r="F361" s="188" t="s">
        <v>29</v>
      </c>
      <c r="G361" s="188" t="s">
        <v>45</v>
      </c>
      <c r="H361" s="188">
        <v>2</v>
      </c>
      <c r="I361" s="188">
        <f t="shared" si="35"/>
        <v>-7.9020075523260038</v>
      </c>
      <c r="J361" s="442">
        <v>0.10344080432788608</v>
      </c>
      <c r="K361" s="188" t="s">
        <v>31</v>
      </c>
      <c r="L361" s="188" t="s">
        <v>31</v>
      </c>
      <c r="M361" s="188" t="s">
        <v>31</v>
      </c>
      <c r="N361" s="188"/>
      <c r="O361" s="394" t="s">
        <v>857</v>
      </c>
      <c r="P361" s="127">
        <v>0.37</v>
      </c>
      <c r="Q361" s="188" t="s">
        <v>275</v>
      </c>
      <c r="R361" s="393">
        <f>0.001*P361</f>
        <v>3.6999999999999999E-4</v>
      </c>
      <c r="S361" s="188"/>
      <c r="T361" s="188"/>
      <c r="U361" s="188"/>
    </row>
    <row r="362" spans="1:21">
      <c r="A362" s="188" t="s">
        <v>835</v>
      </c>
      <c r="B362" s="393">
        <f>P362</f>
        <v>5.0000000000000001E-3</v>
      </c>
      <c r="C362" s="188" t="s">
        <v>37</v>
      </c>
      <c r="D362" s="386" t="s">
        <v>2</v>
      </c>
      <c r="E362" s="188" t="s">
        <v>29</v>
      </c>
      <c r="F362" s="37" t="s">
        <v>74</v>
      </c>
      <c r="G362" s="188" t="s">
        <v>33</v>
      </c>
      <c r="H362" s="188">
        <v>2</v>
      </c>
      <c r="I362" s="188">
        <f t="shared" si="35"/>
        <v>-5.2983173665480363</v>
      </c>
      <c r="J362" s="188">
        <v>0.11269427669584645</v>
      </c>
      <c r="K362" s="188" t="s">
        <v>31</v>
      </c>
      <c r="L362" s="188" t="s">
        <v>31</v>
      </c>
      <c r="M362" s="188" t="s">
        <v>31</v>
      </c>
      <c r="N362" s="188"/>
      <c r="O362" s="396" t="s">
        <v>275</v>
      </c>
      <c r="P362" s="152">
        <v>5.0000000000000001E-3</v>
      </c>
      <c r="Q362" s="188"/>
      <c r="R362" s="188"/>
      <c r="S362" s="188"/>
      <c r="T362" s="188"/>
      <c r="U362" s="188"/>
    </row>
    <row r="363" spans="1:21">
      <c r="P363" s="151"/>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2ED1-0EBE-406E-AD4C-4EADD12F9C6E}">
  <sheetPr>
    <tabColor rgb="FFFFFF00"/>
  </sheetPr>
  <dimension ref="A1:AC57"/>
  <sheetViews>
    <sheetView topLeftCell="B1" workbookViewId="0">
      <selection activeCell="I13" sqref="I13:I30"/>
    </sheetView>
  </sheetViews>
  <sheetFormatPr defaultColWidth="9.140625" defaultRowHeight="12.95"/>
  <cols>
    <col min="1" max="1" width="100.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2D706F19960A420CB599D40D69B867D8</v>
      </c>
    </row>
    <row r="2" spans="1:26">
      <c r="A2" s="347" t="s">
        <v>5</v>
      </c>
      <c r="B2" s="348" t="s">
        <v>824</v>
      </c>
      <c r="C2" s="349"/>
      <c r="D2" s="330"/>
      <c r="E2" s="330"/>
      <c r="F2" s="330"/>
      <c r="G2" s="330"/>
      <c r="H2" s="330"/>
      <c r="I2" s="330"/>
      <c r="J2" s="330"/>
      <c r="K2" s="330"/>
      <c r="L2" s="330"/>
      <c r="M2" s="330"/>
    </row>
    <row r="3" spans="1:26">
      <c r="A3" s="323" t="s">
        <v>7</v>
      </c>
      <c r="B3" s="188" t="s">
        <v>831</v>
      </c>
      <c r="C3" s="322"/>
    </row>
    <row r="4" spans="1:26">
      <c r="A4" s="323" t="s">
        <v>9</v>
      </c>
      <c r="B4" s="188" t="s">
        <v>1195</v>
      </c>
      <c r="C4" s="322"/>
    </row>
    <row r="5" spans="1:26" ht="26.1">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824</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2.0699999999999998</v>
      </c>
      <c r="C15" s="188" t="s">
        <v>37</v>
      </c>
      <c r="D15" s="188" t="s">
        <v>40</v>
      </c>
      <c r="E15" s="188" t="s">
        <v>29</v>
      </c>
      <c r="F15" s="37" t="s">
        <v>59</v>
      </c>
      <c r="G15" s="188" t="s">
        <v>33</v>
      </c>
      <c r="H15" s="188">
        <v>1</v>
      </c>
      <c r="I15" s="188">
        <f t="shared" si="1"/>
        <v>2.0699999999999998</v>
      </c>
      <c r="J15" s="188" t="s">
        <v>31</v>
      </c>
      <c r="K15" s="188" t="s">
        <v>31</v>
      </c>
      <c r="L15" s="188" t="s">
        <v>31</v>
      </c>
      <c r="M15" s="188" t="s">
        <v>31</v>
      </c>
      <c r="U15" s="374" t="s">
        <v>1027</v>
      </c>
      <c r="V15" s="374" t="s">
        <v>275</v>
      </c>
      <c r="W15" s="375">
        <v>2.0699999999999998</v>
      </c>
      <c r="Y15" s="188" t="s">
        <v>275</v>
      </c>
      <c r="Z15" s="188">
        <f>W15</f>
        <v>2.0699999999999998</v>
      </c>
    </row>
    <row r="16" spans="1:26">
      <c r="A16" s="373" t="s">
        <v>1196</v>
      </c>
      <c r="B16" s="188">
        <f t="shared" si="0"/>
        <v>1.8</v>
      </c>
      <c r="C16" s="188" t="s">
        <v>37</v>
      </c>
      <c r="D16" s="188" t="s">
        <v>2</v>
      </c>
      <c r="E16" s="188" t="s">
        <v>29</v>
      </c>
      <c r="F16" s="37" t="s">
        <v>14</v>
      </c>
      <c r="G16" s="188" t="s">
        <v>33</v>
      </c>
      <c r="H16" s="188">
        <v>1</v>
      </c>
      <c r="I16" s="188">
        <f t="shared" si="1"/>
        <v>1.8</v>
      </c>
      <c r="J16" s="188" t="s">
        <v>31</v>
      </c>
      <c r="K16" s="188" t="s">
        <v>31</v>
      </c>
      <c r="L16" s="188" t="s">
        <v>31</v>
      </c>
      <c r="M16" s="188" t="s">
        <v>31</v>
      </c>
      <c r="U16" s="374" t="s">
        <v>1029</v>
      </c>
      <c r="V16" s="374" t="s">
        <v>275</v>
      </c>
      <c r="W16" s="375">
        <v>1.8</v>
      </c>
      <c r="Y16" s="188" t="s">
        <v>275</v>
      </c>
      <c r="Z16" s="188">
        <f>W16</f>
        <v>1.8</v>
      </c>
    </row>
    <row r="17" spans="1:29" s="463" customFormat="1">
      <c r="A17" s="462" t="s">
        <v>1197</v>
      </c>
      <c r="B17" s="463">
        <f t="shared" si="0"/>
        <v>4.5370370370370366E-2</v>
      </c>
      <c r="C17" s="463" t="s">
        <v>853</v>
      </c>
      <c r="D17" s="463" t="s">
        <v>2</v>
      </c>
      <c r="E17" s="463" t="s">
        <v>29</v>
      </c>
      <c r="F17" s="15" t="s">
        <v>14</v>
      </c>
      <c r="G17" s="463" t="s">
        <v>33</v>
      </c>
      <c r="H17" s="188">
        <v>1</v>
      </c>
      <c r="I17" s="188">
        <f t="shared" si="1"/>
        <v>4.5370370370370366E-2</v>
      </c>
      <c r="J17" s="463" t="s">
        <v>31</v>
      </c>
      <c r="K17" s="463" t="s">
        <v>31</v>
      </c>
      <c r="L17" s="463" t="s">
        <v>31</v>
      </c>
      <c r="M17" s="463" t="s">
        <v>31</v>
      </c>
      <c r="O17" s="463" t="s">
        <v>1031</v>
      </c>
      <c r="U17" s="464" t="s">
        <v>1032</v>
      </c>
      <c r="V17" s="465" t="s">
        <v>857</v>
      </c>
      <c r="W17" s="466">
        <v>245</v>
      </c>
      <c r="Y17" s="463" t="s">
        <v>855</v>
      </c>
      <c r="Z17" s="463">
        <f>W17*0.001*AB17</f>
        <v>4.5370370370370366E-2</v>
      </c>
      <c r="AB17" s="463">
        <f>'2D. Reusable'!T36</f>
        <v>0.18518518518518517</v>
      </c>
      <c r="AC17" s="463" t="s">
        <v>888</v>
      </c>
    </row>
    <row r="18" spans="1:29">
      <c r="A18" s="373" t="s">
        <v>1198</v>
      </c>
      <c r="B18" s="188">
        <f t="shared" si="0"/>
        <v>0.81100000000000005</v>
      </c>
      <c r="C18" s="188" t="s">
        <v>37</v>
      </c>
      <c r="D18" s="188" t="s">
        <v>2</v>
      </c>
      <c r="E18" s="188" t="s">
        <v>29</v>
      </c>
      <c r="F18" s="37" t="s">
        <v>14</v>
      </c>
      <c r="G18" s="188" t="s">
        <v>33</v>
      </c>
      <c r="H18" s="188">
        <v>1</v>
      </c>
      <c r="I18" s="188">
        <f t="shared" si="1"/>
        <v>0.81100000000000005</v>
      </c>
      <c r="J18" s="188" t="s">
        <v>31</v>
      </c>
      <c r="K18" s="188" t="s">
        <v>31</v>
      </c>
      <c r="L18" s="188" t="s">
        <v>31</v>
      </c>
      <c r="M18" s="188" t="s">
        <v>31</v>
      </c>
      <c r="U18" s="437" t="s">
        <v>1034</v>
      </c>
      <c r="V18" s="374" t="s">
        <v>857</v>
      </c>
      <c r="W18" s="375">
        <v>811</v>
      </c>
      <c r="Y18" s="188" t="s">
        <v>275</v>
      </c>
      <c r="Z18" s="188">
        <f>0.001*W18</f>
        <v>0.81100000000000005</v>
      </c>
    </row>
    <row r="19" spans="1:29">
      <c r="A19" s="105" t="s">
        <v>890</v>
      </c>
      <c r="B19" s="188">
        <f t="shared" si="0"/>
        <v>4.0000000000000001E-3</v>
      </c>
      <c r="C19" s="188" t="s">
        <v>37</v>
      </c>
      <c r="D19" s="188" t="s">
        <v>40</v>
      </c>
      <c r="E19" s="188" t="s">
        <v>29</v>
      </c>
      <c r="F19" s="37" t="s">
        <v>35</v>
      </c>
      <c r="G19" s="188" t="s">
        <v>33</v>
      </c>
      <c r="H19" s="188">
        <v>1</v>
      </c>
      <c r="I19" s="188">
        <f t="shared" si="1"/>
        <v>4.0000000000000001E-3</v>
      </c>
      <c r="J19" s="188" t="s">
        <v>31</v>
      </c>
      <c r="K19" s="188" t="s">
        <v>31</v>
      </c>
      <c r="L19" s="188" t="s">
        <v>31</v>
      </c>
      <c r="M19" s="188" t="s">
        <v>31</v>
      </c>
      <c r="N19" s="323" t="s">
        <v>891</v>
      </c>
      <c r="U19" s="374" t="s">
        <v>891</v>
      </c>
      <c r="V19" s="374" t="s">
        <v>857</v>
      </c>
      <c r="W19" s="375">
        <v>4</v>
      </c>
      <c r="Y19" s="188" t="s">
        <v>275</v>
      </c>
      <c r="Z19" s="188">
        <f>0.001*W19</f>
        <v>4.0000000000000001E-3</v>
      </c>
    </row>
    <row r="20" spans="1:29">
      <c r="A20" s="105" t="s">
        <v>179</v>
      </c>
      <c r="B20" s="188">
        <f t="shared" si="0"/>
        <v>2.5000000000000001E-2</v>
      </c>
      <c r="C20" s="188" t="s">
        <v>37</v>
      </c>
      <c r="D20" s="188" t="s">
        <v>40</v>
      </c>
      <c r="E20" s="188" t="s">
        <v>29</v>
      </c>
      <c r="F20" s="37" t="s">
        <v>35</v>
      </c>
      <c r="G20" s="188" t="s">
        <v>33</v>
      </c>
      <c r="H20" s="188">
        <v>1</v>
      </c>
      <c r="I20" s="188">
        <f t="shared" si="1"/>
        <v>2.5000000000000001E-2</v>
      </c>
      <c r="J20" s="188" t="s">
        <v>31</v>
      </c>
      <c r="K20" s="188" t="s">
        <v>31</v>
      </c>
      <c r="L20" s="188" t="s">
        <v>31</v>
      </c>
      <c r="M20" s="188" t="s">
        <v>31</v>
      </c>
      <c r="N20" s="323" t="s">
        <v>892</v>
      </c>
      <c r="U20" s="437" t="s">
        <v>892</v>
      </c>
      <c r="V20" s="374" t="s">
        <v>857</v>
      </c>
      <c r="W20" s="375">
        <v>25</v>
      </c>
      <c r="Y20" s="188" t="s">
        <v>275</v>
      </c>
      <c r="Z20" s="188">
        <f t="shared" ref="Z20:Z22" si="2">0.001*W20</f>
        <v>2.5000000000000001E-2</v>
      </c>
    </row>
    <row r="21" spans="1:29">
      <c r="A21" s="10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467">
        <v>2</v>
      </c>
      <c r="Y22" s="188" t="s">
        <v>275</v>
      </c>
      <c r="Z22" s="188">
        <f t="shared" si="2"/>
        <v>2E-3</v>
      </c>
    </row>
    <row r="23" spans="1:29">
      <c r="A23" s="100" t="s">
        <v>1199</v>
      </c>
      <c r="B23" s="188">
        <f t="shared" si="0"/>
        <v>1.17</v>
      </c>
      <c r="C23" s="188" t="s">
        <v>37</v>
      </c>
      <c r="D23" s="188" t="s">
        <v>2</v>
      </c>
      <c r="E23" s="188" t="s">
        <v>29</v>
      </c>
      <c r="F23" s="37" t="s">
        <v>14</v>
      </c>
      <c r="G23" s="188" t="s">
        <v>33</v>
      </c>
      <c r="H23" s="188">
        <v>1</v>
      </c>
      <c r="I23" s="188">
        <f t="shared" si="1"/>
        <v>1.17</v>
      </c>
      <c r="J23" s="188" t="s">
        <v>31</v>
      </c>
      <c r="K23" s="188" t="s">
        <v>31</v>
      </c>
      <c r="L23" s="188" t="s">
        <v>31</v>
      </c>
      <c r="M23" s="188" t="s">
        <v>31</v>
      </c>
      <c r="N23" s="323" t="s">
        <v>1037</v>
      </c>
      <c r="U23" s="374" t="s">
        <v>1037</v>
      </c>
      <c r="V23" s="374" t="s">
        <v>275</v>
      </c>
      <c r="W23" s="375">
        <v>1.17</v>
      </c>
      <c r="Y23" s="188" t="s">
        <v>275</v>
      </c>
      <c r="Z23" s="188">
        <f>W23</f>
        <v>1.17</v>
      </c>
    </row>
    <row r="24" spans="1:29">
      <c r="A24" s="373" t="s">
        <v>1200</v>
      </c>
      <c r="B24" s="335">
        <f>'2D. Machined casing'!B7</f>
        <v>5.25</v>
      </c>
      <c r="C24" s="188" t="s">
        <v>37</v>
      </c>
      <c r="D24" s="188" t="s">
        <v>2</v>
      </c>
      <c r="E24" s="188" t="s">
        <v>29</v>
      </c>
      <c r="F24" s="37" t="s">
        <v>14</v>
      </c>
      <c r="G24" s="188" t="s">
        <v>33</v>
      </c>
      <c r="H24" s="188">
        <v>1</v>
      </c>
      <c r="I24" s="188">
        <f t="shared" si="1"/>
        <v>5.25</v>
      </c>
      <c r="J24" s="188" t="s">
        <v>31</v>
      </c>
      <c r="K24" s="188" t="s">
        <v>31</v>
      </c>
      <c r="L24" s="188" t="s">
        <v>31</v>
      </c>
      <c r="M24" s="188" t="s">
        <v>31</v>
      </c>
      <c r="N24" s="323" t="s">
        <v>896</v>
      </c>
      <c r="U24" s="374" t="s">
        <v>1039</v>
      </c>
      <c r="V24" s="378" t="s">
        <v>275</v>
      </c>
      <c r="W24" s="375">
        <v>5.3</v>
      </c>
      <c r="Y24" s="188" t="s">
        <v>275</v>
      </c>
      <c r="Z24" s="188">
        <f>W24</f>
        <v>5.3</v>
      </c>
    </row>
    <row r="25" spans="1:29">
      <c r="A25" s="105" t="s">
        <v>898</v>
      </c>
      <c r="B25" s="188">
        <f t="shared" si="0"/>
        <v>3.5000000000000003E-2</v>
      </c>
      <c r="C25" s="188" t="s">
        <v>37</v>
      </c>
      <c r="D25" s="188" t="s">
        <v>40</v>
      </c>
      <c r="E25" s="188" t="s">
        <v>29</v>
      </c>
      <c r="F25" s="37" t="s">
        <v>82</v>
      </c>
      <c r="G25" s="188" t="s">
        <v>33</v>
      </c>
      <c r="H25" s="188">
        <v>1</v>
      </c>
      <c r="I25" s="188">
        <f t="shared" si="1"/>
        <v>3.5000000000000003E-2</v>
      </c>
      <c r="J25" s="188" t="s">
        <v>31</v>
      </c>
      <c r="K25" s="188" t="s">
        <v>31</v>
      </c>
      <c r="L25" s="188" t="s">
        <v>31</v>
      </c>
      <c r="M25" s="188" t="s">
        <v>31</v>
      </c>
      <c r="N25" s="323" t="s">
        <v>899</v>
      </c>
      <c r="U25" s="379" t="s">
        <v>899</v>
      </c>
      <c r="V25" s="379" t="s">
        <v>857</v>
      </c>
      <c r="W25" s="380">
        <v>35</v>
      </c>
      <c r="Y25" s="188" t="s">
        <v>275</v>
      </c>
      <c r="Z25" s="188">
        <f t="shared" ref="Z25:Z27" si="3">0.001*W25</f>
        <v>3.5000000000000003E-2</v>
      </c>
    </row>
    <row r="26" spans="1:29">
      <c r="A26" s="105" t="s">
        <v>900</v>
      </c>
      <c r="B26" s="188">
        <f t="shared" si="0"/>
        <v>7.0000000000000001E-3</v>
      </c>
      <c r="C26" s="188" t="s">
        <v>37</v>
      </c>
      <c r="D26" s="188" t="s">
        <v>40</v>
      </c>
      <c r="E26" s="188" t="s">
        <v>29</v>
      </c>
      <c r="F26" s="37" t="s">
        <v>59</v>
      </c>
      <c r="G26" s="188" t="s">
        <v>33</v>
      </c>
      <c r="H26" s="188">
        <v>1</v>
      </c>
      <c r="I26" s="188">
        <f t="shared" si="1"/>
        <v>7.0000000000000001E-3</v>
      </c>
      <c r="J26" s="188" t="s">
        <v>31</v>
      </c>
      <c r="K26" s="188" t="s">
        <v>31</v>
      </c>
      <c r="L26" s="188" t="s">
        <v>31</v>
      </c>
      <c r="M26" s="188" t="s">
        <v>31</v>
      </c>
      <c r="N26" s="188" t="s">
        <v>901</v>
      </c>
      <c r="U26" s="379" t="s">
        <v>901</v>
      </c>
      <c r="V26" s="379" t="s">
        <v>857</v>
      </c>
      <c r="W26" s="380">
        <v>7</v>
      </c>
      <c r="Y26" s="188" t="s">
        <v>275</v>
      </c>
      <c r="Z26" s="188">
        <f t="shared" si="3"/>
        <v>7.0000000000000001E-3</v>
      </c>
    </row>
    <row r="27" spans="1:29">
      <c r="A27" s="105" t="s">
        <v>179</v>
      </c>
      <c r="B27" s="188">
        <f t="shared" si="0"/>
        <v>7.0000000000000001E-3</v>
      </c>
      <c r="C27" s="188" t="s">
        <v>37</v>
      </c>
      <c r="D27" s="188" t="s">
        <v>40</v>
      </c>
      <c r="E27" s="188" t="s">
        <v>29</v>
      </c>
      <c r="F27" s="37" t="s">
        <v>35</v>
      </c>
      <c r="G27" s="188" t="s">
        <v>33</v>
      </c>
      <c r="H27" s="188">
        <v>1</v>
      </c>
      <c r="I27" s="188">
        <f t="shared" si="1"/>
        <v>7.0000000000000001E-3</v>
      </c>
      <c r="J27" s="188" t="s">
        <v>31</v>
      </c>
      <c r="K27" s="188" t="s">
        <v>31</v>
      </c>
      <c r="L27" s="188" t="s">
        <v>31</v>
      </c>
      <c r="M27" s="188" t="s">
        <v>31</v>
      </c>
      <c r="N27" s="188" t="s">
        <v>902</v>
      </c>
      <c r="U27" s="379" t="s">
        <v>902</v>
      </c>
      <c r="V27" s="379" t="s">
        <v>857</v>
      </c>
      <c r="W27" s="380">
        <v>7</v>
      </c>
      <c r="Y27" s="188" t="s">
        <v>275</v>
      </c>
      <c r="Z27" s="188">
        <f t="shared" si="3"/>
        <v>7.0000000000000001E-3</v>
      </c>
    </row>
    <row r="28" spans="1:29">
      <c r="A28" s="438" t="s">
        <v>265</v>
      </c>
      <c r="B28" s="188">
        <f>0.6+0.7</f>
        <v>1.2999999999999998</v>
      </c>
      <c r="C28" s="188" t="s">
        <v>39</v>
      </c>
      <c r="D28" s="188" t="s">
        <v>40</v>
      </c>
      <c r="E28" s="188" t="s">
        <v>29</v>
      </c>
      <c r="F28" s="188" t="s">
        <v>14</v>
      </c>
      <c r="G28" s="188" t="s">
        <v>33</v>
      </c>
      <c r="H28" s="188">
        <v>1</v>
      </c>
      <c r="I28" s="188">
        <f t="shared" si="1"/>
        <v>1.2999999999999998</v>
      </c>
      <c r="J28" s="188" t="s">
        <v>31</v>
      </c>
      <c r="K28" s="188" t="s">
        <v>31</v>
      </c>
      <c r="L28" s="188" t="s">
        <v>31</v>
      </c>
      <c r="M28" s="188" t="s">
        <v>31</v>
      </c>
      <c r="N28" s="188" t="s">
        <v>1040</v>
      </c>
      <c r="U28" s="374"/>
      <c r="V28" s="378"/>
      <c r="W28" s="375"/>
    </row>
    <row r="29" spans="1:29">
      <c r="A29" s="438" t="s">
        <v>265</v>
      </c>
      <c r="B29" s="188">
        <v>2.8</v>
      </c>
      <c r="C29" s="188" t="s">
        <v>39</v>
      </c>
      <c r="D29" s="188" t="s">
        <v>40</v>
      </c>
      <c r="E29" s="188" t="s">
        <v>29</v>
      </c>
      <c r="F29" s="188" t="s">
        <v>14</v>
      </c>
      <c r="G29" s="188" t="s">
        <v>33</v>
      </c>
      <c r="H29" s="188">
        <v>1</v>
      </c>
      <c r="I29" s="188">
        <f t="shared" si="1"/>
        <v>2.8</v>
      </c>
      <c r="J29" s="188" t="s">
        <v>31</v>
      </c>
      <c r="K29" s="188" t="s">
        <v>31</v>
      </c>
      <c r="L29" s="188" t="s">
        <v>31</v>
      </c>
      <c r="M29" s="188" t="s">
        <v>31</v>
      </c>
      <c r="N29" s="188" t="s">
        <v>904</v>
      </c>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row>
    <row r="32" spans="1:29">
      <c r="A32" s="323"/>
      <c r="C32" s="322"/>
      <c r="N32" s="386" t="s">
        <v>1201</v>
      </c>
    </row>
    <row r="33" spans="1:14">
      <c r="A33" s="323"/>
      <c r="C33" s="322"/>
      <c r="N33" s="386">
        <f>SUM(B13:B27)-B17+0.245</f>
        <v>11.603999999999997</v>
      </c>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255E-B285-4534-A5BF-C574164BF397}">
  <sheetPr>
    <tabColor rgb="FFFFFF00"/>
  </sheetPr>
  <dimension ref="A1:U104"/>
  <sheetViews>
    <sheetView zoomScale="85" zoomScaleNormal="85" workbookViewId="0">
      <selection activeCell="A12" sqref="A12"/>
    </sheetView>
  </sheetViews>
  <sheetFormatPr defaultColWidth="9.140625" defaultRowHeight="12.95"/>
  <cols>
    <col min="1" max="1" width="52.42578125" style="359" customWidth="1"/>
    <col min="2" max="2" width="17.5703125" style="188" customWidth="1"/>
    <col min="3" max="3" width="13.7109375" style="188" customWidth="1"/>
    <col min="4" max="4" width="39.85546875" style="188" customWidth="1"/>
    <col min="5" max="6" width="9.140625" style="188"/>
    <col min="7" max="7" width="14.85546875" style="188" customWidth="1"/>
    <col min="8" max="15" width="9.140625" style="188"/>
    <col min="16" max="16" width="12.140625" style="188" customWidth="1"/>
    <col min="17" max="16384" width="9.140625" style="188"/>
  </cols>
  <sheetData>
    <row r="1" spans="1:21">
      <c r="A1" s="188" t="s">
        <v>0</v>
      </c>
      <c r="B1" s="188">
        <v>13</v>
      </c>
    </row>
    <row r="2" spans="1:21">
      <c r="A2" s="382" t="s">
        <v>5</v>
      </c>
      <c r="B2" s="126" t="s">
        <v>1197</v>
      </c>
      <c r="C2" s="349"/>
      <c r="D2" s="330"/>
      <c r="E2" s="330"/>
      <c r="F2" s="330"/>
      <c r="G2" s="330"/>
      <c r="H2" s="330"/>
      <c r="I2" s="330"/>
      <c r="J2" s="330"/>
      <c r="K2" s="330"/>
      <c r="L2" s="330"/>
      <c r="M2" s="330"/>
      <c r="N2" s="330"/>
      <c r="O2" s="330"/>
      <c r="P2" s="330"/>
      <c r="Q2" s="330"/>
      <c r="R2" s="330"/>
    </row>
    <row r="3" spans="1:21">
      <c r="A3" s="384" t="s">
        <v>7</v>
      </c>
      <c r="B3" s="188" t="s">
        <v>831</v>
      </c>
      <c r="C3" s="322"/>
    </row>
    <row r="4" spans="1:21">
      <c r="A4" s="384" t="s">
        <v>9</v>
      </c>
      <c r="B4" s="359" t="s">
        <v>1202</v>
      </c>
      <c r="C4" s="322"/>
      <c r="U4" s="367"/>
    </row>
    <row r="5" spans="1:21" ht="12.75" customHeight="1">
      <c r="A5" s="384" t="s">
        <v>11</v>
      </c>
      <c r="B5" s="324" t="s">
        <v>841</v>
      </c>
    </row>
    <row r="6" spans="1:21">
      <c r="A6" s="384" t="s">
        <v>13</v>
      </c>
      <c r="B6" s="188" t="s">
        <v>14</v>
      </c>
    </row>
    <row r="7" spans="1:21">
      <c r="A7" s="384" t="s">
        <v>15</v>
      </c>
      <c r="B7" s="188">
        <f>B12</f>
        <v>8.0000000000000002E-3</v>
      </c>
    </row>
    <row r="8" spans="1:21">
      <c r="A8" s="384" t="s">
        <v>16</v>
      </c>
      <c r="B8" s="188" t="s">
        <v>17</v>
      </c>
    </row>
    <row r="9" spans="1:21">
      <c r="A9" s="384" t="s">
        <v>18</v>
      </c>
      <c r="B9" s="188" t="s">
        <v>853</v>
      </c>
    </row>
    <row r="10" spans="1:21">
      <c r="A10" s="385" t="s">
        <v>19</v>
      </c>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359" t="s">
        <v>1197</v>
      </c>
      <c r="B12" s="188">
        <v>8.0000000000000002E-3</v>
      </c>
      <c r="C12" s="188" t="s">
        <v>853</v>
      </c>
      <c r="D12" s="386" t="s">
        <v>2</v>
      </c>
      <c r="E12" s="188" t="s">
        <v>29</v>
      </c>
      <c r="F12" s="37" t="s">
        <v>14</v>
      </c>
      <c r="G12" s="188" t="s">
        <v>30</v>
      </c>
      <c r="H12" s="188">
        <v>1</v>
      </c>
      <c r="I12" s="188">
        <f>B12</f>
        <v>8.0000000000000002E-3</v>
      </c>
      <c r="J12" s="188" t="s">
        <v>31</v>
      </c>
      <c r="K12" s="188" t="s">
        <v>31</v>
      </c>
      <c r="L12" s="188" t="s">
        <v>31</v>
      </c>
      <c r="M12" s="188" t="s">
        <v>31</v>
      </c>
      <c r="O12" s="387" t="s">
        <v>1203</v>
      </c>
      <c r="P12" s="388"/>
    </row>
    <row r="13" spans="1:21">
      <c r="A13" s="359" t="s">
        <v>1204</v>
      </c>
      <c r="B13" s="188">
        <f>Q13</f>
        <v>4.3200000000000002E-2</v>
      </c>
      <c r="C13" s="188" t="s">
        <v>37</v>
      </c>
      <c r="D13" s="386" t="s">
        <v>2</v>
      </c>
      <c r="E13" s="188" t="s">
        <v>29</v>
      </c>
      <c r="F13" s="37" t="s">
        <v>14</v>
      </c>
      <c r="G13" s="188" t="s">
        <v>33</v>
      </c>
      <c r="H13" s="188">
        <v>1</v>
      </c>
      <c r="I13" s="188">
        <f t="shared" ref="I13:I14" si="0">B13</f>
        <v>4.3200000000000002E-2</v>
      </c>
      <c r="J13" s="188" t="s">
        <v>31</v>
      </c>
      <c r="K13" s="188" t="s">
        <v>31</v>
      </c>
      <c r="L13" s="188" t="s">
        <v>31</v>
      </c>
      <c r="M13" s="188" t="s">
        <v>31</v>
      </c>
      <c r="O13" s="188">
        <f>0.05/0.27</f>
        <v>0.18518518518518517</v>
      </c>
      <c r="P13" s="188" t="s">
        <v>888</v>
      </c>
      <c r="Q13" s="188">
        <f>B12/O13</f>
        <v>4.3200000000000002E-2</v>
      </c>
    </row>
    <row r="14" spans="1:21">
      <c r="A14" s="359" t="s">
        <v>1205</v>
      </c>
      <c r="B14" s="188">
        <v>8.9999999999999993E-3</v>
      </c>
      <c r="C14" s="188" t="s">
        <v>853</v>
      </c>
      <c r="D14" s="386" t="s">
        <v>2</v>
      </c>
      <c r="E14" s="188" t="s">
        <v>29</v>
      </c>
      <c r="F14" s="37" t="s">
        <v>14</v>
      </c>
      <c r="G14" s="188" t="s">
        <v>33</v>
      </c>
      <c r="H14" s="188">
        <v>1</v>
      </c>
      <c r="I14" s="188">
        <f t="shared" si="0"/>
        <v>8.9999999999999993E-3</v>
      </c>
      <c r="J14" s="188" t="s">
        <v>31</v>
      </c>
      <c r="K14" s="188" t="s">
        <v>31</v>
      </c>
      <c r="L14" s="188" t="s">
        <v>31</v>
      </c>
      <c r="M14" s="188" t="s">
        <v>31</v>
      </c>
    </row>
    <row r="15" spans="1:21">
      <c r="A15" s="116" t="s">
        <v>844</v>
      </c>
      <c r="B15" s="188">
        <f>P15</f>
        <v>7.0000000000000007E-2</v>
      </c>
      <c r="C15" s="188" t="s">
        <v>37</v>
      </c>
      <c r="D15" s="188" t="s">
        <v>40</v>
      </c>
      <c r="E15" s="188" t="s">
        <v>29</v>
      </c>
      <c r="F15" s="37" t="s">
        <v>74</v>
      </c>
      <c r="G15" s="188" t="s">
        <v>33</v>
      </c>
      <c r="H15" s="188">
        <v>2</v>
      </c>
      <c r="I15" s="188">
        <f>LN(B15)</f>
        <v>-2.6592600369327779</v>
      </c>
      <c r="J15" s="442">
        <v>0.11236102527122109</v>
      </c>
      <c r="K15" s="188" t="s">
        <v>31</v>
      </c>
      <c r="L15" s="188" t="s">
        <v>31</v>
      </c>
      <c r="M15" s="188" t="s">
        <v>31</v>
      </c>
      <c r="O15" s="379" t="s">
        <v>275</v>
      </c>
      <c r="P15" s="392">
        <v>7.0000000000000007E-2</v>
      </c>
    </row>
    <row r="16" spans="1:21">
      <c r="A16" s="116" t="s">
        <v>912</v>
      </c>
      <c r="B16" s="393">
        <f>Q16</f>
        <v>3.3999999999999998E-9</v>
      </c>
      <c r="C16" s="188" t="s">
        <v>37</v>
      </c>
      <c r="D16" s="188" t="s">
        <v>40</v>
      </c>
      <c r="E16" s="188" t="s">
        <v>29</v>
      </c>
      <c r="F16" s="37" t="s">
        <v>59</v>
      </c>
      <c r="G16" s="188" t="s">
        <v>33</v>
      </c>
      <c r="H16" s="188">
        <v>2</v>
      </c>
      <c r="I16" s="188">
        <f t="shared" ref="I16:I17" si="1">LN(B16)</f>
        <v>-19.499490405324295</v>
      </c>
      <c r="J16" s="442">
        <v>0.11236102527122109</v>
      </c>
      <c r="K16" s="188" t="s">
        <v>31</v>
      </c>
      <c r="L16" s="188" t="s">
        <v>31</v>
      </c>
      <c r="M16" s="188" t="s">
        <v>31</v>
      </c>
      <c r="O16" s="394" t="s">
        <v>862</v>
      </c>
      <c r="P16" s="395">
        <v>3.3999999999999998E-3</v>
      </c>
      <c r="Q16" s="393">
        <f>P16*10^(-6)</f>
        <v>3.3999999999999998E-9</v>
      </c>
      <c r="R16" s="188" t="s">
        <v>37</v>
      </c>
    </row>
    <row r="17" spans="1:18">
      <c r="A17" s="116" t="s">
        <v>76</v>
      </c>
      <c r="B17" s="188">
        <f>Q17</f>
        <v>7.0000000000000007E-5</v>
      </c>
      <c r="C17" s="188" t="s">
        <v>42</v>
      </c>
      <c r="D17" s="188" t="s">
        <v>40</v>
      </c>
      <c r="E17" s="188" t="s">
        <v>29</v>
      </c>
      <c r="F17" s="37" t="s">
        <v>74</v>
      </c>
      <c r="G17" s="188" t="s">
        <v>33</v>
      </c>
      <c r="H17" s="188">
        <v>2</v>
      </c>
      <c r="I17" s="188">
        <f t="shared" si="1"/>
        <v>-9.5670153159149152</v>
      </c>
      <c r="J17" s="442">
        <v>0.11236102527122109</v>
      </c>
      <c r="K17" s="188" t="s">
        <v>31</v>
      </c>
      <c r="L17" s="188" t="s">
        <v>31</v>
      </c>
      <c r="M17" s="188" t="s">
        <v>31</v>
      </c>
      <c r="O17" s="396" t="s">
        <v>913</v>
      </c>
      <c r="P17" s="397">
        <v>7.0000000000000007E-2</v>
      </c>
      <c r="Q17" s="188">
        <f>P17/1000</f>
        <v>7.0000000000000007E-5</v>
      </c>
      <c r="R17" s="188" t="s">
        <v>914</v>
      </c>
    </row>
    <row r="18" spans="1:18">
      <c r="A18" s="382" t="s">
        <v>5</v>
      </c>
      <c r="B18" s="126" t="s">
        <v>1204</v>
      </c>
      <c r="C18" s="349"/>
      <c r="D18" s="330"/>
      <c r="E18" s="330"/>
      <c r="F18" s="330"/>
      <c r="G18" s="330"/>
      <c r="H18" s="330"/>
      <c r="I18" s="330"/>
      <c r="J18" s="330"/>
      <c r="K18" s="330"/>
      <c r="L18" s="330"/>
      <c r="M18" s="330"/>
      <c r="N18" s="330"/>
      <c r="O18" s="330"/>
      <c r="P18" s="330"/>
      <c r="Q18" s="330"/>
      <c r="R18" s="330"/>
    </row>
    <row r="19" spans="1:18">
      <c r="A19" s="384" t="s">
        <v>7</v>
      </c>
      <c r="B19" s="188" t="s">
        <v>831</v>
      </c>
      <c r="C19" s="322"/>
    </row>
    <row r="20" spans="1:18">
      <c r="A20" s="384" t="s">
        <v>9</v>
      </c>
      <c r="B20" s="188" t="s">
        <v>1206</v>
      </c>
      <c r="C20" s="322"/>
    </row>
    <row r="21" spans="1:18" ht="10.5" customHeight="1">
      <c r="A21" s="384" t="s">
        <v>11</v>
      </c>
      <c r="B21" s="324" t="s">
        <v>841</v>
      </c>
      <c r="P21" s="399"/>
    </row>
    <row r="22" spans="1:18">
      <c r="A22" s="384" t="s">
        <v>13</v>
      </c>
      <c r="B22" s="188" t="s">
        <v>14</v>
      </c>
      <c r="P22" s="399"/>
    </row>
    <row r="23" spans="1:18">
      <c r="A23" s="384" t="s">
        <v>15</v>
      </c>
      <c r="B23" s="188">
        <f>B28</f>
        <v>6.0000000000000001E-3</v>
      </c>
      <c r="P23" s="399"/>
    </row>
    <row r="24" spans="1:18">
      <c r="A24" s="384" t="s">
        <v>16</v>
      </c>
      <c r="B24" s="188" t="s">
        <v>17</v>
      </c>
    </row>
    <row r="25" spans="1:18">
      <c r="A25" s="384" t="s">
        <v>18</v>
      </c>
      <c r="B25" s="188" t="s">
        <v>37</v>
      </c>
    </row>
    <row r="26" spans="1:18">
      <c r="A26" s="385" t="s">
        <v>19</v>
      </c>
    </row>
    <row r="27" spans="1:18">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row>
    <row r="28" spans="1:18">
      <c r="A28" s="359" t="s">
        <v>1204</v>
      </c>
      <c r="B28" s="188">
        <v>6.0000000000000001E-3</v>
      </c>
      <c r="C28" s="188" t="s">
        <v>37</v>
      </c>
      <c r="D28" s="386" t="s">
        <v>2</v>
      </c>
      <c r="E28" s="188" t="s">
        <v>29</v>
      </c>
      <c r="F28" s="37" t="s">
        <v>14</v>
      </c>
      <c r="G28" s="188" t="s">
        <v>30</v>
      </c>
      <c r="H28" s="188">
        <v>1</v>
      </c>
      <c r="I28" s="188">
        <f>B28</f>
        <v>6.0000000000000001E-3</v>
      </c>
      <c r="J28" s="188" t="s">
        <v>31</v>
      </c>
      <c r="K28" s="188" t="s">
        <v>31</v>
      </c>
      <c r="L28" s="188" t="s">
        <v>31</v>
      </c>
      <c r="M28" s="188" t="s">
        <v>31</v>
      </c>
    </row>
    <row r="29" spans="1:18">
      <c r="A29" s="116" t="s">
        <v>912</v>
      </c>
      <c r="B29" s="393">
        <f>R29</f>
        <v>6.2000000000000006E-3</v>
      </c>
      <c r="C29" s="188" t="s">
        <v>37</v>
      </c>
      <c r="D29" s="188" t="s">
        <v>40</v>
      </c>
      <c r="E29" s="188" t="s">
        <v>29</v>
      </c>
      <c r="F29" s="37" t="s">
        <v>59</v>
      </c>
      <c r="G29" s="188" t="s">
        <v>33</v>
      </c>
      <c r="H29" s="188">
        <v>2</v>
      </c>
      <c r="I29" s="188">
        <f t="shared" ref="I29:I31" si="2">LN(B29)</f>
        <v>-5.083205986931091</v>
      </c>
      <c r="J29" s="442">
        <v>0.11236102527122109</v>
      </c>
      <c r="K29" s="188" t="s">
        <v>31</v>
      </c>
      <c r="L29" s="188" t="s">
        <v>31</v>
      </c>
      <c r="M29" s="188" t="s">
        <v>31</v>
      </c>
      <c r="O29" s="379" t="s">
        <v>857</v>
      </c>
      <c r="P29" s="392">
        <v>6.2</v>
      </c>
      <c r="Q29" s="188" t="s">
        <v>275</v>
      </c>
      <c r="R29" s="188">
        <f>P29*0.001</f>
        <v>6.2000000000000006E-3</v>
      </c>
    </row>
    <row r="30" spans="1:18">
      <c r="A30" s="384" t="s">
        <v>265</v>
      </c>
      <c r="B30" s="327">
        <f>P30</f>
        <v>0.03</v>
      </c>
      <c r="C30" s="188" t="s">
        <v>39</v>
      </c>
      <c r="D30" s="188" t="s">
        <v>40</v>
      </c>
      <c r="E30" s="188" t="s">
        <v>29</v>
      </c>
      <c r="F30" s="37" t="s">
        <v>35</v>
      </c>
      <c r="G30" s="188" t="s">
        <v>33</v>
      </c>
      <c r="H30" s="188">
        <v>2</v>
      </c>
      <c r="I30" s="188">
        <f t="shared" si="2"/>
        <v>-3.5065578973199818</v>
      </c>
      <c r="J30" s="442">
        <v>0.11236102527122109</v>
      </c>
      <c r="K30" s="188" t="s">
        <v>31</v>
      </c>
      <c r="L30" s="188" t="s">
        <v>31</v>
      </c>
      <c r="M30" s="188" t="s">
        <v>31</v>
      </c>
      <c r="O30" s="379" t="s">
        <v>271</v>
      </c>
      <c r="P30" s="392">
        <v>0.03</v>
      </c>
    </row>
    <row r="31" spans="1:18">
      <c r="A31" s="116" t="s">
        <v>916</v>
      </c>
      <c r="B31" s="188">
        <f>R31</f>
        <v>2.9999999999999997E-4</v>
      </c>
      <c r="C31" s="188" t="s">
        <v>37</v>
      </c>
      <c r="D31" s="188" t="s">
        <v>43</v>
      </c>
      <c r="E31" s="188" t="s">
        <v>917</v>
      </c>
      <c r="F31" s="37" t="s">
        <v>29</v>
      </c>
      <c r="G31" s="188" t="s">
        <v>45</v>
      </c>
      <c r="H31" s="188">
        <v>2</v>
      </c>
      <c r="I31" s="188">
        <f t="shared" si="2"/>
        <v>-8.1117280833080727</v>
      </c>
      <c r="J31" s="442">
        <v>0.11236102527122109</v>
      </c>
      <c r="K31" s="188" t="s">
        <v>31</v>
      </c>
      <c r="L31" s="188" t="s">
        <v>31</v>
      </c>
      <c r="M31" s="188" t="s">
        <v>31</v>
      </c>
      <c r="O31" s="396" t="s">
        <v>857</v>
      </c>
      <c r="P31" s="397">
        <v>0.3</v>
      </c>
      <c r="Q31" s="188" t="s">
        <v>275</v>
      </c>
      <c r="R31" s="188">
        <f>P31*0.001</f>
        <v>2.9999999999999997E-4</v>
      </c>
    </row>
    <row r="32" spans="1:18">
      <c r="A32" s="382" t="s">
        <v>5</v>
      </c>
      <c r="B32" s="348" t="s">
        <v>1205</v>
      </c>
      <c r="C32" s="349"/>
      <c r="D32" s="330"/>
      <c r="E32" s="330"/>
      <c r="F32" s="330"/>
      <c r="G32" s="330"/>
      <c r="H32" s="330"/>
      <c r="I32" s="330"/>
      <c r="J32" s="330"/>
      <c r="K32" s="330"/>
      <c r="L32" s="330"/>
      <c r="M32" s="330"/>
      <c r="N32" s="330"/>
      <c r="O32" s="330"/>
      <c r="P32" s="330"/>
      <c r="Q32" s="330"/>
      <c r="R32" s="330"/>
    </row>
    <row r="33" spans="1:21">
      <c r="A33" s="384" t="s">
        <v>7</v>
      </c>
      <c r="B33" s="188" t="s">
        <v>831</v>
      </c>
      <c r="C33" s="322"/>
    </row>
    <row r="34" spans="1:21">
      <c r="A34" s="384" t="s">
        <v>9</v>
      </c>
      <c r="B34" s="188" t="s">
        <v>1207</v>
      </c>
      <c r="C34" s="322"/>
    </row>
    <row r="35" spans="1:21" ht="15.75" customHeight="1">
      <c r="A35" s="384" t="s">
        <v>11</v>
      </c>
      <c r="B35" s="324" t="s">
        <v>841</v>
      </c>
      <c r="T35" s="367" t="s">
        <v>1208</v>
      </c>
    </row>
    <row r="36" spans="1:21">
      <c r="A36" s="384" t="s">
        <v>13</v>
      </c>
      <c r="B36" s="188" t="s">
        <v>14</v>
      </c>
      <c r="T36" s="188">
        <f>0.05/0.27</f>
        <v>0.18518518518518517</v>
      </c>
      <c r="U36" s="188" t="s">
        <v>888</v>
      </c>
    </row>
    <row r="37" spans="1:21">
      <c r="A37" s="384" t="s">
        <v>15</v>
      </c>
      <c r="B37" s="188">
        <f>B42</f>
        <v>0.05</v>
      </c>
    </row>
    <row r="38" spans="1:21">
      <c r="A38" s="384" t="s">
        <v>16</v>
      </c>
      <c r="B38" s="188" t="s">
        <v>17</v>
      </c>
    </row>
    <row r="39" spans="1:21">
      <c r="A39" s="384" t="s">
        <v>18</v>
      </c>
      <c r="B39" s="188" t="s">
        <v>853</v>
      </c>
    </row>
    <row r="40" spans="1:21">
      <c r="A40" s="385" t="s">
        <v>19</v>
      </c>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row>
    <row r="42" spans="1:21">
      <c r="A42" s="359" t="s">
        <v>1205</v>
      </c>
      <c r="B42" s="188">
        <f>P43</f>
        <v>0.05</v>
      </c>
      <c r="C42" s="188" t="s">
        <v>853</v>
      </c>
      <c r="D42" s="386" t="s">
        <v>2</v>
      </c>
      <c r="E42" s="188" t="s">
        <v>29</v>
      </c>
      <c r="F42" s="37" t="s">
        <v>14</v>
      </c>
      <c r="G42" s="188" t="s">
        <v>30</v>
      </c>
      <c r="H42" s="188">
        <v>1</v>
      </c>
      <c r="I42" s="188">
        <f t="shared" ref="I42:I43" si="3">B42</f>
        <v>0.05</v>
      </c>
      <c r="J42" s="188" t="s">
        <v>31</v>
      </c>
      <c r="K42" s="188" t="s">
        <v>31</v>
      </c>
      <c r="L42" s="188" t="s">
        <v>31</v>
      </c>
      <c r="M42" s="188" t="s">
        <v>31</v>
      </c>
    </row>
    <row r="43" spans="1:21">
      <c r="A43" s="359" t="s">
        <v>1209</v>
      </c>
      <c r="B43" s="398">
        <f>B42/T36</f>
        <v>0.27</v>
      </c>
      <c r="C43" s="188" t="s">
        <v>37</v>
      </c>
      <c r="D43" s="386" t="s">
        <v>2</v>
      </c>
      <c r="E43" s="188" t="s">
        <v>29</v>
      </c>
      <c r="F43" s="37" t="s">
        <v>14</v>
      </c>
      <c r="G43" s="188" t="s">
        <v>33</v>
      </c>
      <c r="H43" s="188">
        <v>1</v>
      </c>
      <c r="I43" s="188">
        <f t="shared" si="3"/>
        <v>0.27</v>
      </c>
      <c r="J43" s="188" t="s">
        <v>31</v>
      </c>
      <c r="K43" s="188" t="s">
        <v>31</v>
      </c>
      <c r="L43" s="188" t="s">
        <v>31</v>
      </c>
      <c r="M43" s="188" t="s">
        <v>31</v>
      </c>
      <c r="O43" s="379" t="s">
        <v>855</v>
      </c>
      <c r="P43" s="392">
        <v>0.05</v>
      </c>
      <c r="Q43" s="188" t="s">
        <v>275</v>
      </c>
      <c r="R43" s="188">
        <f>'[2]Same processes'!B46</f>
        <v>0.25</v>
      </c>
      <c r="S43" s="188" t="s">
        <v>1210</v>
      </c>
    </row>
    <row r="44" spans="1:21" ht="14.45">
      <c r="A44" s="384" t="s">
        <v>265</v>
      </c>
      <c r="B44" s="327">
        <f>P44</f>
        <v>0.27</v>
      </c>
      <c r="C44" s="188" t="s">
        <v>39</v>
      </c>
      <c r="D44" s="188" t="s">
        <v>40</v>
      </c>
      <c r="E44" s="188" t="s">
        <v>29</v>
      </c>
      <c r="F44" s="37" t="s">
        <v>35</v>
      </c>
      <c r="G44" s="188" t="s">
        <v>33</v>
      </c>
      <c r="H44" s="188">
        <v>2</v>
      </c>
      <c r="I44" s="188">
        <f t="shared" ref="I44" si="4">LN(B44)</f>
        <v>-1.3093333199837622</v>
      </c>
      <c r="J44" s="442">
        <v>7.2284161474004766E-2</v>
      </c>
      <c r="K44" s="188" t="s">
        <v>31</v>
      </c>
      <c r="L44" s="188" t="s">
        <v>31</v>
      </c>
      <c r="M44" s="188" t="s">
        <v>31</v>
      </c>
      <c r="O44" s="379" t="s">
        <v>271</v>
      </c>
      <c r="P44" s="107">
        <v>0.27</v>
      </c>
    </row>
    <row r="45" spans="1:21" ht="14.45">
      <c r="A45" s="116" t="s">
        <v>491</v>
      </c>
      <c r="B45" s="188">
        <f>R45</f>
        <v>6.0000000000000001E-3</v>
      </c>
      <c r="C45" s="188" t="s">
        <v>37</v>
      </c>
      <c r="D45" s="188" t="s">
        <v>40</v>
      </c>
      <c r="E45" s="188" t="s">
        <v>29</v>
      </c>
      <c r="F45" s="37" t="s">
        <v>59</v>
      </c>
      <c r="G45" s="188" t="s">
        <v>33</v>
      </c>
      <c r="H45" s="188">
        <v>2</v>
      </c>
      <c r="I45" s="188">
        <f>LN(B45)</f>
        <v>-5.1159958097540823</v>
      </c>
      <c r="J45" s="442">
        <v>7.2284161474004766E-2</v>
      </c>
      <c r="K45" s="188" t="s">
        <v>31</v>
      </c>
      <c r="L45" s="188" t="s">
        <v>31</v>
      </c>
      <c r="M45" s="188" t="s">
        <v>31</v>
      </c>
      <c r="O45" s="379" t="s">
        <v>857</v>
      </c>
      <c r="P45" s="107">
        <v>6</v>
      </c>
      <c r="Q45" s="188" t="s">
        <v>275</v>
      </c>
      <c r="R45" s="188">
        <f>P45*0.001</f>
        <v>6.0000000000000001E-3</v>
      </c>
    </row>
    <row r="46" spans="1:21" ht="14.45">
      <c r="A46" s="116" t="s">
        <v>921</v>
      </c>
      <c r="B46" s="188">
        <f>R46</f>
        <v>1.0999999999999999E-2</v>
      </c>
      <c r="C46" s="188" t="s">
        <v>37</v>
      </c>
      <c r="D46" s="188" t="s">
        <v>40</v>
      </c>
      <c r="E46" s="188" t="s">
        <v>29</v>
      </c>
      <c r="F46" s="37" t="s">
        <v>35</v>
      </c>
      <c r="G46" s="188" t="s">
        <v>33</v>
      </c>
      <c r="H46" s="188">
        <v>2</v>
      </c>
      <c r="I46" s="188">
        <f>LN(B46)</f>
        <v>-4.5098600061837661</v>
      </c>
      <c r="J46" s="442">
        <v>7.2284161474004766E-2</v>
      </c>
      <c r="K46" s="188" t="s">
        <v>31</v>
      </c>
      <c r="L46" s="188" t="s">
        <v>31</v>
      </c>
      <c r="M46" s="188" t="s">
        <v>31</v>
      </c>
      <c r="O46" s="379" t="s">
        <v>857</v>
      </c>
      <c r="P46" s="107">
        <v>11</v>
      </c>
      <c r="Q46" s="188" t="s">
        <v>275</v>
      </c>
      <c r="R46" s="188">
        <f>P46*0.001</f>
        <v>1.0999999999999999E-2</v>
      </c>
    </row>
    <row r="47" spans="1:21" ht="14.45">
      <c r="A47" s="116" t="s">
        <v>844</v>
      </c>
      <c r="B47" s="188">
        <f>P47</f>
        <v>10.1</v>
      </c>
      <c r="C47" s="188" t="s">
        <v>37</v>
      </c>
      <c r="D47" s="188" t="s">
        <v>40</v>
      </c>
      <c r="E47" s="188" t="s">
        <v>29</v>
      </c>
      <c r="F47" s="37" t="s">
        <v>74</v>
      </c>
      <c r="G47" s="188" t="s">
        <v>33</v>
      </c>
      <c r="H47" s="188">
        <v>2</v>
      </c>
      <c r="I47" s="188">
        <f>LN(B47)</f>
        <v>2.3125354238472138</v>
      </c>
      <c r="J47" s="442">
        <v>7.2284161474004766E-2</v>
      </c>
      <c r="K47" s="188" t="s">
        <v>31</v>
      </c>
      <c r="L47" s="188" t="s">
        <v>31</v>
      </c>
      <c r="M47" s="188" t="s">
        <v>31</v>
      </c>
      <c r="O47" s="379" t="s">
        <v>275</v>
      </c>
      <c r="P47" s="107">
        <v>10.1</v>
      </c>
    </row>
    <row r="48" spans="1:21" ht="14.45">
      <c r="A48" s="116" t="s">
        <v>76</v>
      </c>
      <c r="B48" s="188">
        <f>R48</f>
        <v>1.01E-2</v>
      </c>
      <c r="C48" s="188" t="s">
        <v>42</v>
      </c>
      <c r="D48" s="188" t="s">
        <v>40</v>
      </c>
      <c r="E48" s="188" t="s">
        <v>29</v>
      </c>
      <c r="F48" s="37" t="s">
        <v>74</v>
      </c>
      <c r="G48" s="188" t="s">
        <v>33</v>
      </c>
      <c r="H48" s="188">
        <v>2</v>
      </c>
      <c r="I48" s="188">
        <f t="shared" ref="I48" si="5">LN(B48)</f>
        <v>-4.595219855134923</v>
      </c>
      <c r="J48" s="442">
        <v>7.2284161474004766E-2</v>
      </c>
      <c r="K48" s="188" t="s">
        <v>31</v>
      </c>
      <c r="L48" s="188" t="s">
        <v>31</v>
      </c>
      <c r="M48" s="188" t="s">
        <v>31</v>
      </c>
      <c r="O48" s="396" t="s">
        <v>913</v>
      </c>
      <c r="P48" s="123">
        <v>10.1</v>
      </c>
      <c r="Q48" s="188" t="s">
        <v>274</v>
      </c>
      <c r="R48" s="188">
        <f>P48/1000</f>
        <v>1.01E-2</v>
      </c>
    </row>
    <row r="49" spans="1:18">
      <c r="A49" s="382" t="s">
        <v>5</v>
      </c>
      <c r="B49" s="348" t="s">
        <v>1211</v>
      </c>
      <c r="C49" s="349"/>
      <c r="D49" s="330"/>
      <c r="E49" s="330"/>
      <c r="F49" s="330"/>
      <c r="G49" s="330"/>
      <c r="H49" s="330"/>
      <c r="I49" s="330"/>
      <c r="J49" s="330"/>
      <c r="K49" s="330"/>
      <c r="L49" s="330"/>
      <c r="M49" s="330"/>
      <c r="N49" s="330"/>
      <c r="O49" s="330"/>
      <c r="P49" s="330"/>
      <c r="Q49" s="330"/>
      <c r="R49" s="330"/>
    </row>
    <row r="50" spans="1:18">
      <c r="A50" s="384" t="s">
        <v>7</v>
      </c>
      <c r="B50" s="188" t="s">
        <v>831</v>
      </c>
      <c r="C50" s="322"/>
    </row>
    <row r="51" spans="1:18">
      <c r="A51" s="384" t="s">
        <v>9</v>
      </c>
      <c r="B51" s="188" t="s">
        <v>1212</v>
      </c>
      <c r="C51" s="322"/>
    </row>
    <row r="52" spans="1:18" ht="10.5" customHeight="1">
      <c r="A52" s="384" t="s">
        <v>11</v>
      </c>
      <c r="B52" s="324" t="s">
        <v>841</v>
      </c>
    </row>
    <row r="53" spans="1:18">
      <c r="A53" s="384" t="s">
        <v>13</v>
      </c>
      <c r="B53" s="188" t="s">
        <v>14</v>
      </c>
    </row>
    <row r="54" spans="1:18">
      <c r="A54" s="384" t="s">
        <v>15</v>
      </c>
      <c r="B54" s="398">
        <f>B59</f>
        <v>1.4E-2</v>
      </c>
    </row>
    <row r="55" spans="1:18">
      <c r="A55" s="384" t="s">
        <v>16</v>
      </c>
      <c r="B55" s="188" t="s">
        <v>17</v>
      </c>
    </row>
    <row r="56" spans="1:18">
      <c r="A56" s="384" t="s">
        <v>18</v>
      </c>
      <c r="B56" s="188" t="s">
        <v>37</v>
      </c>
    </row>
    <row r="57" spans="1:18">
      <c r="A57" s="385" t="s">
        <v>19</v>
      </c>
    </row>
    <row r="58" spans="1:18">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row>
    <row r="59" spans="1:18">
      <c r="A59" s="359" t="s">
        <v>1211</v>
      </c>
      <c r="B59" s="398">
        <f>P59</f>
        <v>1.4E-2</v>
      </c>
      <c r="C59" s="188" t="s">
        <v>37</v>
      </c>
      <c r="D59" s="386" t="s">
        <v>2</v>
      </c>
      <c r="E59" s="188" t="s">
        <v>29</v>
      </c>
      <c r="F59" s="37" t="s">
        <v>14</v>
      </c>
      <c r="G59" s="188" t="s">
        <v>30</v>
      </c>
      <c r="H59" s="188">
        <v>1</v>
      </c>
      <c r="I59" s="188">
        <f>B59</f>
        <v>1.4E-2</v>
      </c>
      <c r="J59" s="188" t="s">
        <v>31</v>
      </c>
      <c r="K59" s="188" t="s">
        <v>31</v>
      </c>
      <c r="L59" s="188" t="s">
        <v>31</v>
      </c>
      <c r="M59" s="188" t="s">
        <v>31</v>
      </c>
      <c r="O59" s="188" t="s">
        <v>275</v>
      </c>
      <c r="P59" s="440">
        <v>1.4E-2</v>
      </c>
    </row>
    <row r="60" spans="1:18">
      <c r="A60" s="116" t="s">
        <v>924</v>
      </c>
      <c r="B60" s="327">
        <f>R60</f>
        <v>1.4999999999999999E-2</v>
      </c>
      <c r="C60" s="188" t="s">
        <v>37</v>
      </c>
      <c r="D60" s="188" t="s">
        <v>40</v>
      </c>
      <c r="E60" s="188" t="s">
        <v>29</v>
      </c>
      <c r="F60" s="37" t="s">
        <v>59</v>
      </c>
      <c r="G60" s="188" t="s">
        <v>33</v>
      </c>
      <c r="H60" s="188">
        <v>2</v>
      </c>
      <c r="I60" s="188">
        <f>LN(B60)</f>
        <v>-4.1997050778799272</v>
      </c>
      <c r="J60" s="188">
        <v>7.2284161474004766E-2</v>
      </c>
      <c r="K60" s="188" t="s">
        <v>31</v>
      </c>
      <c r="L60" s="188" t="s">
        <v>31</v>
      </c>
      <c r="M60" s="188" t="s">
        <v>31</v>
      </c>
      <c r="O60" s="379" t="s">
        <v>857</v>
      </c>
      <c r="P60" s="392">
        <v>15</v>
      </c>
      <c r="Q60" s="188" t="s">
        <v>275</v>
      </c>
      <c r="R60" s="188">
        <f>P60*0.001</f>
        <v>1.4999999999999999E-2</v>
      </c>
    </row>
    <row r="61" spans="1:18">
      <c r="A61" s="384" t="s">
        <v>265</v>
      </c>
      <c r="B61" s="327">
        <f>P61</f>
        <v>7.0000000000000007E-2</v>
      </c>
      <c r="C61" s="188" t="s">
        <v>39</v>
      </c>
      <c r="D61" s="188" t="s">
        <v>40</v>
      </c>
      <c r="E61" s="188" t="s">
        <v>29</v>
      </c>
      <c r="F61" s="37" t="s">
        <v>35</v>
      </c>
      <c r="G61" s="188" t="s">
        <v>33</v>
      </c>
      <c r="H61" s="188">
        <v>2</v>
      </c>
      <c r="I61" s="188">
        <f t="shared" ref="I61:I62" si="6">LN(B61)</f>
        <v>-2.6592600369327779</v>
      </c>
      <c r="J61" s="188">
        <v>7.2284161474004766E-2</v>
      </c>
      <c r="K61" s="188" t="s">
        <v>31</v>
      </c>
      <c r="L61" s="188" t="s">
        <v>31</v>
      </c>
      <c r="M61" s="188" t="s">
        <v>31</v>
      </c>
      <c r="O61" s="379" t="s">
        <v>271</v>
      </c>
      <c r="P61" s="392">
        <v>7.0000000000000007E-2</v>
      </c>
    </row>
    <row r="62" spans="1:18">
      <c r="A62" s="359" t="s">
        <v>835</v>
      </c>
      <c r="B62" s="188">
        <f>R62</f>
        <v>8.0000000000000004E-4</v>
      </c>
      <c r="C62" s="188" t="s">
        <v>37</v>
      </c>
      <c r="D62" s="386" t="s">
        <v>2</v>
      </c>
      <c r="E62" s="188" t="s">
        <v>29</v>
      </c>
      <c r="F62" s="37" t="s">
        <v>74</v>
      </c>
      <c r="G62" s="188" t="s">
        <v>33</v>
      </c>
      <c r="H62" s="188">
        <v>2</v>
      </c>
      <c r="I62" s="188">
        <f t="shared" si="6"/>
        <v>-7.1308988302963465</v>
      </c>
      <c r="J62" s="188">
        <v>7.2284161474004766E-2</v>
      </c>
      <c r="K62" s="188" t="s">
        <v>31</v>
      </c>
      <c r="L62" s="188" t="s">
        <v>31</v>
      </c>
      <c r="M62" s="188" t="s">
        <v>31</v>
      </c>
      <c r="O62" s="379" t="s">
        <v>857</v>
      </c>
      <c r="P62" s="392">
        <v>0.8</v>
      </c>
      <c r="Q62" s="188" t="s">
        <v>275</v>
      </c>
      <c r="R62" s="188">
        <f>P62*0.001</f>
        <v>8.0000000000000004E-4</v>
      </c>
    </row>
    <row r="63" spans="1:18" s="17" customFormat="1" ht="15.6">
      <c r="A63" s="382" t="s">
        <v>5</v>
      </c>
      <c r="B63" s="348" t="s">
        <v>1209</v>
      </c>
      <c r="C63" s="349"/>
      <c r="D63" s="330"/>
      <c r="E63" s="330"/>
      <c r="F63" s="330"/>
      <c r="G63" s="330"/>
      <c r="H63" s="330"/>
      <c r="I63" s="330"/>
      <c r="J63" s="330"/>
      <c r="K63" s="330"/>
      <c r="L63" s="330"/>
      <c r="M63" s="330"/>
      <c r="N63" s="330"/>
      <c r="O63" s="400"/>
      <c r="P63" s="400"/>
      <c r="Q63" s="400"/>
      <c r="R63" s="400"/>
    </row>
    <row r="64" spans="1:18"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1213</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f>B73</f>
        <v>0.27</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1209</v>
      </c>
      <c r="B73" s="335">
        <v>0.27</v>
      </c>
      <c r="C73" s="188" t="s">
        <v>37</v>
      </c>
      <c r="D73" s="386" t="s">
        <v>2</v>
      </c>
      <c r="E73" s="188" t="s">
        <v>29</v>
      </c>
      <c r="F73" s="37" t="s">
        <v>14</v>
      </c>
      <c r="G73" s="188" t="s">
        <v>30</v>
      </c>
      <c r="H73" s="188">
        <v>1</v>
      </c>
      <c r="I73" s="335">
        <f>B73</f>
        <v>0.27</v>
      </c>
      <c r="J73" s="188" t="s">
        <v>31</v>
      </c>
      <c r="K73" s="188" t="s">
        <v>31</v>
      </c>
      <c r="L73" s="188" t="s">
        <v>31</v>
      </c>
      <c r="M73" s="188" t="s">
        <v>31</v>
      </c>
      <c r="N73" s="188"/>
      <c r="O73" s="180"/>
      <c r="P73" s="401"/>
    </row>
    <row r="74" spans="1:16" s="17" customFormat="1" ht="15.6">
      <c r="A74" s="116" t="s">
        <v>237</v>
      </c>
      <c r="B74" s="327">
        <v>0.27</v>
      </c>
      <c r="C74" s="188" t="s">
        <v>37</v>
      </c>
      <c r="D74" s="188" t="s">
        <v>40</v>
      </c>
      <c r="E74" s="188" t="s">
        <v>29</v>
      </c>
      <c r="F74" s="37" t="s">
        <v>59</v>
      </c>
      <c r="G74" s="188" t="s">
        <v>33</v>
      </c>
      <c r="H74" s="188">
        <v>1</v>
      </c>
      <c r="I74" s="335">
        <f t="shared" ref="I74:I75" si="7">B74</f>
        <v>0.27</v>
      </c>
      <c r="J74" s="188" t="s">
        <v>31</v>
      </c>
      <c r="K74" s="188" t="s">
        <v>31</v>
      </c>
      <c r="L74" s="188" t="s">
        <v>31</v>
      </c>
      <c r="M74" s="188" t="s">
        <v>31</v>
      </c>
      <c r="N74" s="188"/>
      <c r="O74" s="180"/>
      <c r="P74" s="401"/>
    </row>
    <row r="75" spans="1:16" s="17" customFormat="1" ht="15.6">
      <c r="A75" s="116" t="s">
        <v>926</v>
      </c>
      <c r="B75" s="327">
        <v>0.27</v>
      </c>
      <c r="C75" s="188" t="s">
        <v>37</v>
      </c>
      <c r="D75" s="188" t="s">
        <v>40</v>
      </c>
      <c r="E75" s="188" t="s">
        <v>29</v>
      </c>
      <c r="F75" s="37" t="s">
        <v>59</v>
      </c>
      <c r="G75" s="188" t="s">
        <v>33</v>
      </c>
      <c r="H75" s="188">
        <v>1</v>
      </c>
      <c r="I75" s="335">
        <f t="shared" si="7"/>
        <v>0.27</v>
      </c>
      <c r="J75" s="188" t="s">
        <v>31</v>
      </c>
      <c r="K75" s="188" t="s">
        <v>31</v>
      </c>
      <c r="L75" s="188" t="s">
        <v>31</v>
      </c>
      <c r="M75" s="188" t="s">
        <v>31</v>
      </c>
      <c r="N75" s="188"/>
      <c r="O75" s="180"/>
      <c r="P75" s="401"/>
    </row>
    <row r="76" spans="1:16" s="400" customFormat="1" ht="15.6">
      <c r="A76" s="347" t="s">
        <v>5</v>
      </c>
      <c r="B76" s="348" t="s">
        <v>1214</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1215</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23">
        <f>B86</f>
        <v>2.33</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1214</v>
      </c>
      <c r="B86" s="335">
        <v>2.33</v>
      </c>
      <c r="C86" s="188" t="s">
        <v>37</v>
      </c>
      <c r="D86" s="386" t="s">
        <v>2</v>
      </c>
      <c r="E86" s="188" t="s">
        <v>29</v>
      </c>
      <c r="F86" s="188" t="s">
        <v>14</v>
      </c>
      <c r="G86" s="188" t="s">
        <v>929</v>
      </c>
      <c r="H86" s="188">
        <v>1</v>
      </c>
      <c r="I86" s="335">
        <f>B86</f>
        <v>2.33</v>
      </c>
      <c r="J86" s="188" t="s">
        <v>31</v>
      </c>
      <c r="K86" s="188" t="s">
        <v>31</v>
      </c>
      <c r="L86" s="188" t="s">
        <v>31</v>
      </c>
      <c r="M86" s="188" t="s">
        <v>31</v>
      </c>
      <c r="N86" s="188"/>
      <c r="O86" s="180"/>
      <c r="P86" s="401"/>
    </row>
    <row r="87" spans="1:19" s="17" customFormat="1" ht="15.6">
      <c r="A87" s="84" t="s">
        <v>755</v>
      </c>
      <c r="B87" s="335">
        <v>2.33</v>
      </c>
      <c r="C87" s="188" t="s">
        <v>37</v>
      </c>
      <c r="D87" s="188" t="s">
        <v>40</v>
      </c>
      <c r="E87" s="188" t="s">
        <v>29</v>
      </c>
      <c r="F87" s="37" t="s">
        <v>59</v>
      </c>
      <c r="G87" s="188" t="s">
        <v>33</v>
      </c>
      <c r="H87" s="188">
        <v>1</v>
      </c>
      <c r="I87" s="335">
        <f t="shared" ref="I87:I89" si="8">B87</f>
        <v>2.33</v>
      </c>
      <c r="J87" s="188" t="s">
        <v>31</v>
      </c>
      <c r="K87" s="188" t="s">
        <v>31</v>
      </c>
      <c r="L87" s="188" t="s">
        <v>31</v>
      </c>
      <c r="M87" s="188" t="s">
        <v>31</v>
      </c>
      <c r="N87" s="188"/>
      <c r="O87" s="180"/>
      <c r="P87" s="401"/>
    </row>
    <row r="88" spans="1:19" s="17" customFormat="1" ht="15.6">
      <c r="A88" s="84" t="s">
        <v>930</v>
      </c>
      <c r="B88" s="335">
        <v>2.33</v>
      </c>
      <c r="C88" s="188" t="s">
        <v>37</v>
      </c>
      <c r="D88" s="188" t="s">
        <v>40</v>
      </c>
      <c r="E88" s="188" t="s">
        <v>29</v>
      </c>
      <c r="F88" s="37" t="s">
        <v>59</v>
      </c>
      <c r="G88" s="188" t="s">
        <v>33</v>
      </c>
      <c r="H88" s="188">
        <v>1</v>
      </c>
      <c r="I88" s="335">
        <f t="shared" si="8"/>
        <v>2.33</v>
      </c>
      <c r="J88" s="188" t="s">
        <v>31</v>
      </c>
      <c r="K88" s="188" t="s">
        <v>31</v>
      </c>
      <c r="L88" s="188" t="s">
        <v>31</v>
      </c>
      <c r="M88" s="188" t="s">
        <v>31</v>
      </c>
      <c r="N88" s="188"/>
      <c r="O88" s="180"/>
      <c r="P88" s="401"/>
    </row>
    <row r="89" spans="1:19" s="17" customFormat="1" ht="15.6">
      <c r="A89" s="84" t="s">
        <v>931</v>
      </c>
      <c r="B89" s="335">
        <v>2.33</v>
      </c>
      <c r="C89" s="188" t="s">
        <v>37</v>
      </c>
      <c r="D89" s="188" t="s">
        <v>40</v>
      </c>
      <c r="E89" s="188" t="s">
        <v>29</v>
      </c>
      <c r="F89" s="37" t="s">
        <v>35</v>
      </c>
      <c r="G89" s="188" t="s">
        <v>33</v>
      </c>
      <c r="H89" s="188">
        <v>1</v>
      </c>
      <c r="I89" s="335">
        <f t="shared" si="8"/>
        <v>2.33</v>
      </c>
      <c r="J89" s="188" t="s">
        <v>31</v>
      </c>
      <c r="K89" s="188" t="s">
        <v>31</v>
      </c>
      <c r="L89" s="188" t="s">
        <v>31</v>
      </c>
      <c r="M89" s="188" t="s">
        <v>31</v>
      </c>
      <c r="N89" s="188"/>
      <c r="O89" s="180"/>
      <c r="P89" s="401"/>
    </row>
    <row r="90" spans="1:19" s="17" customFormat="1" ht="15.6">
      <c r="A90" s="347" t="s">
        <v>5</v>
      </c>
      <c r="B90" s="348" t="s">
        <v>1199</v>
      </c>
      <c r="C90" s="349"/>
      <c r="D90" s="33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1216</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188">
        <f>B100</f>
        <v>2.33</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348" t="s">
        <v>1199</v>
      </c>
      <c r="B100" s="468">
        <f>B101</f>
        <v>2.33</v>
      </c>
      <c r="C100" s="188" t="s">
        <v>37</v>
      </c>
      <c r="D100" s="188" t="s">
        <v>2</v>
      </c>
      <c r="E100" s="188" t="s">
        <v>29</v>
      </c>
      <c r="F100" s="37" t="s">
        <v>14</v>
      </c>
      <c r="G100" s="188" t="s">
        <v>30</v>
      </c>
      <c r="H100" s="188">
        <v>1</v>
      </c>
      <c r="I100" s="188">
        <f>B100</f>
        <v>2.33</v>
      </c>
      <c r="J100" s="188" t="s">
        <v>31</v>
      </c>
      <c r="K100" s="188" t="s">
        <v>31</v>
      </c>
      <c r="L100" s="188" t="s">
        <v>31</v>
      </c>
      <c r="M100" s="188" t="s">
        <v>31</v>
      </c>
      <c r="N100" s="188"/>
    </row>
    <row r="101" spans="1:14" s="17" customFormat="1" ht="15.6">
      <c r="A101" s="192" t="s">
        <v>1214</v>
      </c>
      <c r="B101" s="468">
        <f>B86</f>
        <v>2.33</v>
      </c>
      <c r="C101" s="188" t="s">
        <v>37</v>
      </c>
      <c r="D101" s="188" t="s">
        <v>2</v>
      </c>
      <c r="E101" s="188" t="s">
        <v>29</v>
      </c>
      <c r="F101" s="37" t="s">
        <v>14</v>
      </c>
      <c r="G101" s="188" t="s">
        <v>33</v>
      </c>
      <c r="H101" s="188">
        <v>1</v>
      </c>
      <c r="I101" s="188">
        <f>B101</f>
        <v>2.33</v>
      </c>
      <c r="J101" s="188" t="s">
        <v>31</v>
      </c>
      <c r="K101" s="188" t="s">
        <v>31</v>
      </c>
      <c r="L101" s="188" t="s">
        <v>31</v>
      </c>
      <c r="M101" s="188" t="s">
        <v>31</v>
      </c>
      <c r="N101" s="188"/>
    </row>
    <row r="102" spans="1:14" s="17" customFormat="1" ht="15.6">
      <c r="A102" s="105" t="s">
        <v>933</v>
      </c>
      <c r="B102" s="188">
        <v>1.7000000000000001E-2</v>
      </c>
      <c r="C102" s="188" t="s">
        <v>37</v>
      </c>
      <c r="D102" s="188" t="s">
        <v>40</v>
      </c>
      <c r="E102" s="188" t="s">
        <v>29</v>
      </c>
      <c r="F102" s="37" t="s">
        <v>82</v>
      </c>
      <c r="G102" s="188" t="s">
        <v>33</v>
      </c>
      <c r="H102" s="188">
        <v>1</v>
      </c>
      <c r="I102" s="188">
        <f t="shared" ref="I102:I104" si="9">B102</f>
        <v>1.7000000000000001E-2</v>
      </c>
      <c r="J102" s="188" t="s">
        <v>31</v>
      </c>
      <c r="K102" s="188" t="s">
        <v>31</v>
      </c>
      <c r="L102" s="188" t="s">
        <v>31</v>
      </c>
      <c r="M102" s="188" t="s">
        <v>31</v>
      </c>
      <c r="N102" s="188"/>
    </row>
    <row r="103" spans="1:14" s="17" customFormat="1" ht="15.6">
      <c r="A103" s="105" t="s">
        <v>934</v>
      </c>
      <c r="B103" s="188">
        <v>0.4</v>
      </c>
      <c r="C103" s="188" t="s">
        <v>853</v>
      </c>
      <c r="D103" s="188" t="s">
        <v>40</v>
      </c>
      <c r="E103" s="188" t="s">
        <v>29</v>
      </c>
      <c r="F103" s="37" t="s">
        <v>59</v>
      </c>
      <c r="G103" s="188" t="s">
        <v>33</v>
      </c>
      <c r="H103" s="188">
        <v>1</v>
      </c>
      <c r="I103" s="188">
        <f t="shared" si="9"/>
        <v>0.4</v>
      </c>
      <c r="J103" s="188" t="s">
        <v>31</v>
      </c>
      <c r="K103" s="188" t="s">
        <v>31</v>
      </c>
      <c r="L103" s="188" t="s">
        <v>31</v>
      </c>
      <c r="M103" s="188" t="s">
        <v>31</v>
      </c>
      <c r="N103" s="188"/>
    </row>
    <row r="104" spans="1:14" s="17" customFormat="1" ht="15.6">
      <c r="A104" s="105" t="s">
        <v>935</v>
      </c>
      <c r="B104" s="188">
        <v>1.7000000000000001E-2</v>
      </c>
      <c r="C104" s="188" t="s">
        <v>37</v>
      </c>
      <c r="D104" s="188" t="s">
        <v>40</v>
      </c>
      <c r="E104" s="188" t="s">
        <v>29</v>
      </c>
      <c r="F104" s="37" t="s">
        <v>59</v>
      </c>
      <c r="G104" s="188" t="s">
        <v>33</v>
      </c>
      <c r="H104" s="188">
        <v>1</v>
      </c>
      <c r="I104" s="188">
        <f t="shared" si="9"/>
        <v>1.7000000000000001E-2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30C9-3726-4D64-8067-DBAB088C4155}">
  <sheetPr>
    <tabColor rgb="FFFFFF00"/>
  </sheetPr>
  <dimension ref="A1:U47"/>
  <sheetViews>
    <sheetView topLeftCell="A12" zoomScaleNormal="100" workbookViewId="0">
      <selection activeCell="A12" sqref="A12"/>
    </sheetView>
  </sheetViews>
  <sheetFormatPr defaultColWidth="9.140625" defaultRowHeight="12.95"/>
  <cols>
    <col min="1" max="1" width="68.7109375" style="188" bestFit="1" customWidth="1"/>
    <col min="2" max="2" width="13.5703125" style="188" customWidth="1"/>
    <col min="3" max="3" width="9.140625" style="188"/>
    <col min="4" max="4" width="23.42578125" style="188" customWidth="1"/>
    <col min="5" max="6" width="9.140625" style="188"/>
    <col min="7" max="7" width="12.7109375" style="188" customWidth="1"/>
    <col min="8" max="16384" width="9.140625" style="188"/>
  </cols>
  <sheetData>
    <row r="1" spans="1:21">
      <c r="A1" s="188" t="s">
        <v>0</v>
      </c>
      <c r="B1" s="188">
        <v>13</v>
      </c>
    </row>
    <row r="2" spans="1:21" s="330" customFormat="1">
      <c r="A2" s="347" t="s">
        <v>5</v>
      </c>
      <c r="B2" s="348" t="s">
        <v>1198</v>
      </c>
    </row>
    <row r="3" spans="1:21">
      <c r="A3" s="323" t="s">
        <v>7</v>
      </c>
      <c r="B3" s="188" t="s">
        <v>831</v>
      </c>
      <c r="C3" s="322"/>
    </row>
    <row r="4" spans="1:21">
      <c r="A4" s="402" t="s">
        <v>9</v>
      </c>
      <c r="B4" s="188" t="s">
        <v>1217</v>
      </c>
      <c r="C4" s="322"/>
    </row>
    <row r="5" spans="1:21" ht="15.75" customHeight="1">
      <c r="A5" s="323" t="s">
        <v>11</v>
      </c>
      <c r="B5" s="324" t="s">
        <v>841</v>
      </c>
    </row>
    <row r="6" spans="1:21">
      <c r="A6" s="323" t="s">
        <v>13</v>
      </c>
      <c r="B6" s="188" t="s">
        <v>14</v>
      </c>
    </row>
    <row r="7" spans="1:21">
      <c r="A7" s="323" t="s">
        <v>15</v>
      </c>
      <c r="B7" s="393">
        <f>B12</f>
        <v>7.0000000000000007E-2</v>
      </c>
      <c r="R7" s="321" t="s">
        <v>937</v>
      </c>
    </row>
    <row r="8" spans="1:21">
      <c r="A8" s="323" t="s">
        <v>16</v>
      </c>
      <c r="B8" s="188" t="s">
        <v>17</v>
      </c>
      <c r="R8" s="188" t="s">
        <v>938</v>
      </c>
      <c r="S8" s="188">
        <v>8900</v>
      </c>
      <c r="T8" s="188" t="s">
        <v>939</v>
      </c>
    </row>
    <row r="9" spans="1:21">
      <c r="A9" s="323" t="s">
        <v>18</v>
      </c>
      <c r="B9" s="188" t="s">
        <v>37</v>
      </c>
      <c r="R9" s="188" t="s">
        <v>940</v>
      </c>
      <c r="S9" s="188">
        <f>5*10^-6</f>
        <v>4.9999999999999996E-6</v>
      </c>
      <c r="T9" s="188" t="s">
        <v>941</v>
      </c>
    </row>
    <row r="10" spans="1:21">
      <c r="A10" s="320" t="s">
        <v>19</v>
      </c>
      <c r="R10" s="405" t="s">
        <v>942</v>
      </c>
      <c r="S10" s="406">
        <f>S9*S8</f>
        <v>4.4499999999999998E-2</v>
      </c>
      <c r="T10" s="407" t="s">
        <v>943</v>
      </c>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188" t="s">
        <v>1198</v>
      </c>
      <c r="B12" s="439">
        <v>7.0000000000000007E-2</v>
      </c>
      <c r="C12" s="188" t="s">
        <v>37</v>
      </c>
      <c r="D12" s="386" t="s">
        <v>2</v>
      </c>
      <c r="E12" s="188" t="s">
        <v>29</v>
      </c>
      <c r="F12" s="188" t="s">
        <v>14</v>
      </c>
      <c r="G12" s="188" t="s">
        <v>30</v>
      </c>
      <c r="H12" s="188">
        <v>1</v>
      </c>
      <c r="I12" s="393">
        <f>B12</f>
        <v>7.0000000000000007E-2</v>
      </c>
      <c r="J12" s="188" t="s">
        <v>31</v>
      </c>
      <c r="K12" s="188" t="s">
        <v>31</v>
      </c>
      <c r="L12" s="188" t="s">
        <v>31</v>
      </c>
      <c r="M12" s="188" t="s">
        <v>31</v>
      </c>
      <c r="O12" s="188" t="s">
        <v>1062</v>
      </c>
      <c r="P12" s="428" t="s">
        <v>268</v>
      </c>
      <c r="R12" s="188" t="s">
        <v>945</v>
      </c>
      <c r="U12" s="388"/>
    </row>
    <row r="13" spans="1:21">
      <c r="A13" s="188" t="s">
        <v>1218</v>
      </c>
      <c r="B13" s="439">
        <f>B28</f>
        <v>7.0000000000000007E-2</v>
      </c>
      <c r="C13" s="188" t="s">
        <v>853</v>
      </c>
      <c r="D13" s="386" t="s">
        <v>2</v>
      </c>
      <c r="E13" s="188" t="s">
        <v>29</v>
      </c>
      <c r="F13" s="188" t="s">
        <v>14</v>
      </c>
      <c r="G13" s="188" t="s">
        <v>33</v>
      </c>
      <c r="H13" s="188">
        <v>1</v>
      </c>
      <c r="I13" s="393">
        <f t="shared" ref="I13:I14" si="0">B13</f>
        <v>7.0000000000000007E-2</v>
      </c>
      <c r="J13" s="188">
        <v>7.2284161474004766E-2</v>
      </c>
      <c r="K13" s="188" t="s">
        <v>31</v>
      </c>
      <c r="L13" s="188" t="s">
        <v>31</v>
      </c>
      <c r="M13" s="188" t="s">
        <v>31</v>
      </c>
      <c r="O13" s="379" t="s">
        <v>944</v>
      </c>
      <c r="P13" s="440">
        <f>B13*100</f>
        <v>7.0000000000000009</v>
      </c>
      <c r="R13" s="408">
        <v>0.57999999999999996</v>
      </c>
      <c r="S13" s="409" t="s">
        <v>855</v>
      </c>
      <c r="T13" s="408">
        <f>R13*S10</f>
        <v>2.5809999999999996E-2</v>
      </c>
      <c r="U13" s="409" t="s">
        <v>275</v>
      </c>
    </row>
    <row r="14" spans="1:21">
      <c r="A14" s="192" t="s">
        <v>1211</v>
      </c>
      <c r="B14" s="398">
        <f>T13</f>
        <v>2.5809999999999996E-2</v>
      </c>
      <c r="C14" s="188" t="s">
        <v>37</v>
      </c>
      <c r="D14" s="386" t="s">
        <v>2</v>
      </c>
      <c r="E14" s="188" t="s">
        <v>29</v>
      </c>
      <c r="F14" s="37" t="s">
        <v>14</v>
      </c>
      <c r="G14" s="188" t="s">
        <v>33</v>
      </c>
      <c r="H14" s="188">
        <v>1</v>
      </c>
      <c r="I14" s="393">
        <f t="shared" si="0"/>
        <v>2.5809999999999996E-2</v>
      </c>
      <c r="J14" s="188">
        <v>7.2284161474004766E-2</v>
      </c>
      <c r="K14" s="188" t="s">
        <v>31</v>
      </c>
      <c r="L14" s="188" t="s">
        <v>31</v>
      </c>
      <c r="M14" s="188" t="s">
        <v>31</v>
      </c>
      <c r="O14" s="410"/>
      <c r="P14" s="411"/>
    </row>
    <row r="15" spans="1:21" ht="14.45">
      <c r="A15" s="323" t="s">
        <v>844</v>
      </c>
      <c r="B15" s="188">
        <f>Q15</f>
        <v>4.7</v>
      </c>
      <c r="C15" s="188" t="s">
        <v>37</v>
      </c>
      <c r="D15" s="188" t="s">
        <v>40</v>
      </c>
      <c r="E15" s="188" t="s">
        <v>29</v>
      </c>
      <c r="F15" s="37" t="s">
        <v>74</v>
      </c>
      <c r="G15" s="188" t="s">
        <v>33</v>
      </c>
      <c r="H15" s="188">
        <v>2</v>
      </c>
      <c r="I15" s="188">
        <f t="shared" ref="I15" si="1">LN(B15)</f>
        <v>1.547562508716013</v>
      </c>
      <c r="J15" s="188">
        <v>7.2284161474004766E-2</v>
      </c>
      <c r="K15" s="188" t="s">
        <v>31</v>
      </c>
      <c r="L15" s="188" t="s">
        <v>31</v>
      </c>
      <c r="M15" s="188" t="s">
        <v>31</v>
      </c>
      <c r="O15" s="379" t="s">
        <v>275</v>
      </c>
      <c r="P15" s="107">
        <v>4.7</v>
      </c>
      <c r="Q15" s="188">
        <f>P15</f>
        <v>4.7</v>
      </c>
    </row>
    <row r="16" spans="1:21" ht="14.45">
      <c r="A16" s="84" t="s">
        <v>924</v>
      </c>
      <c r="B16" s="188">
        <f t="shared" ref="B16:B17" si="2">Q16</f>
        <v>2.0000000000000001E-4</v>
      </c>
      <c r="C16" s="188" t="s">
        <v>37</v>
      </c>
      <c r="D16" s="188" t="s">
        <v>40</v>
      </c>
      <c r="E16" s="188" t="s">
        <v>29</v>
      </c>
      <c r="F16" s="37" t="s">
        <v>59</v>
      </c>
      <c r="G16" s="188" t="s">
        <v>33</v>
      </c>
      <c r="H16" s="188">
        <v>2</v>
      </c>
      <c r="I16" s="188">
        <f>LN(B16)</f>
        <v>-8.5171931914162382</v>
      </c>
      <c r="J16" s="188">
        <v>7.2284161474004766E-2</v>
      </c>
      <c r="K16" s="188" t="s">
        <v>31</v>
      </c>
      <c r="L16" s="188" t="s">
        <v>31</v>
      </c>
      <c r="M16" s="188" t="s">
        <v>31</v>
      </c>
      <c r="O16" s="394" t="s">
        <v>862</v>
      </c>
      <c r="P16" s="145">
        <v>0.2</v>
      </c>
      <c r="Q16" s="188">
        <f>0.001*P16</f>
        <v>2.0000000000000001E-4</v>
      </c>
    </row>
    <row r="17" spans="1:20" ht="14.45">
      <c r="A17" s="84" t="s">
        <v>76</v>
      </c>
      <c r="B17" s="188">
        <f t="shared" si="2"/>
        <v>4.7000000000000002E-3</v>
      </c>
      <c r="C17" s="188" t="s">
        <v>42</v>
      </c>
      <c r="D17" s="188" t="s">
        <v>40</v>
      </c>
      <c r="E17" s="188" t="s">
        <v>29</v>
      </c>
      <c r="F17" s="37" t="s">
        <v>74</v>
      </c>
      <c r="G17" s="188" t="s">
        <v>33</v>
      </c>
      <c r="H17" s="188">
        <v>2</v>
      </c>
      <c r="I17" s="188">
        <f t="shared" ref="I17" si="3">LN(B17)</f>
        <v>-5.3601927702661243</v>
      </c>
      <c r="J17" s="188">
        <v>7.2284161474004766E-2</v>
      </c>
      <c r="K17" s="188" t="s">
        <v>31</v>
      </c>
      <c r="L17" s="188" t="s">
        <v>31</v>
      </c>
      <c r="M17" s="188" t="s">
        <v>31</v>
      </c>
      <c r="O17" s="396" t="s">
        <v>913</v>
      </c>
      <c r="P17" s="123">
        <v>4.7</v>
      </c>
      <c r="Q17" s="188">
        <f>0.001*P17</f>
        <v>4.7000000000000002E-3</v>
      </c>
    </row>
    <row r="18" spans="1:20" s="330" customFormat="1">
      <c r="A18" s="347" t="s">
        <v>5</v>
      </c>
      <c r="B18" s="348" t="s">
        <v>1218</v>
      </c>
    </row>
    <row r="19" spans="1:20">
      <c r="A19" s="323" t="s">
        <v>7</v>
      </c>
      <c r="B19" s="188" t="s">
        <v>831</v>
      </c>
      <c r="C19" s="322"/>
    </row>
    <row r="20" spans="1:20">
      <c r="A20" s="402" t="s">
        <v>9</v>
      </c>
      <c r="B20" s="188" t="s">
        <v>1219</v>
      </c>
      <c r="C20" s="322"/>
    </row>
    <row r="21" spans="1:20" ht="15.75" customHeight="1">
      <c r="A21" s="323" t="s">
        <v>11</v>
      </c>
      <c r="B21" s="324" t="s">
        <v>841</v>
      </c>
    </row>
    <row r="22" spans="1:20">
      <c r="A22" s="323" t="s">
        <v>13</v>
      </c>
      <c r="B22" s="188" t="s">
        <v>14</v>
      </c>
    </row>
    <row r="23" spans="1:20">
      <c r="A23" s="323" t="s">
        <v>15</v>
      </c>
      <c r="B23" s="393">
        <f>B28</f>
        <v>7.0000000000000007E-2</v>
      </c>
    </row>
    <row r="24" spans="1:20">
      <c r="A24" s="323" t="s">
        <v>16</v>
      </c>
      <c r="B24" s="188" t="s">
        <v>17</v>
      </c>
    </row>
    <row r="25" spans="1:20">
      <c r="A25" s="323" t="s">
        <v>18</v>
      </c>
      <c r="B25" s="188" t="s">
        <v>853</v>
      </c>
    </row>
    <row r="26" spans="1:20">
      <c r="A26" s="320" t="s">
        <v>19</v>
      </c>
    </row>
    <row r="27" spans="1:20">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T27" s="393"/>
    </row>
    <row r="28" spans="1:20">
      <c r="A28" s="188" t="s">
        <v>1218</v>
      </c>
      <c r="B28" s="393">
        <v>7.0000000000000007E-2</v>
      </c>
      <c r="C28" s="188" t="s">
        <v>853</v>
      </c>
      <c r="D28" s="386" t="s">
        <v>2</v>
      </c>
      <c r="E28" s="188" t="s">
        <v>29</v>
      </c>
      <c r="F28" s="188" t="s">
        <v>14</v>
      </c>
      <c r="G28" s="188" t="s">
        <v>30</v>
      </c>
      <c r="H28" s="188">
        <v>1</v>
      </c>
      <c r="I28" s="393">
        <f t="shared" ref="I28:I29" si="4">B28</f>
        <v>7.0000000000000007E-2</v>
      </c>
      <c r="J28" s="188">
        <v>7.2284161474004766E-2</v>
      </c>
      <c r="K28" s="188" t="s">
        <v>31</v>
      </c>
      <c r="L28" s="188" t="s">
        <v>31</v>
      </c>
      <c r="M28" s="188" t="s">
        <v>31</v>
      </c>
      <c r="O28" s="379" t="s">
        <v>944</v>
      </c>
      <c r="P28" s="392">
        <f>B28*100</f>
        <v>7.0000000000000009</v>
      </c>
    </row>
    <row r="29" spans="1:20">
      <c r="A29" s="188" t="s">
        <v>1220</v>
      </c>
      <c r="B29" s="393">
        <v>7.0000000000000007E-2</v>
      </c>
      <c r="C29" s="188" t="s">
        <v>853</v>
      </c>
      <c r="D29" s="386" t="s">
        <v>2</v>
      </c>
      <c r="E29" s="188" t="s">
        <v>29</v>
      </c>
      <c r="F29" s="188" t="s">
        <v>14</v>
      </c>
      <c r="G29" s="188" t="s">
        <v>33</v>
      </c>
      <c r="H29" s="188">
        <v>1</v>
      </c>
      <c r="I29" s="393">
        <f t="shared" si="4"/>
        <v>7.0000000000000007E-2</v>
      </c>
      <c r="J29" s="188">
        <v>7.2284161474004766E-2</v>
      </c>
      <c r="K29" s="188" t="s">
        <v>31</v>
      </c>
      <c r="L29" s="188" t="s">
        <v>31</v>
      </c>
      <c r="M29" s="188" t="s">
        <v>31</v>
      </c>
    </row>
    <row r="30" spans="1:20" ht="14.45">
      <c r="A30" s="323" t="s">
        <v>265</v>
      </c>
      <c r="B30" s="327">
        <f>P30</f>
        <v>0.27</v>
      </c>
      <c r="C30" s="188" t="s">
        <v>39</v>
      </c>
      <c r="D30" s="188" t="s">
        <v>40</v>
      </c>
      <c r="E30" s="188" t="s">
        <v>29</v>
      </c>
      <c r="F30" s="37" t="s">
        <v>35</v>
      </c>
      <c r="G30" s="188" t="s">
        <v>33</v>
      </c>
      <c r="H30" s="188">
        <v>2</v>
      </c>
      <c r="I30" s="188">
        <f t="shared" ref="I30:I31" si="5">LN(B30)</f>
        <v>-1.3093333199837622</v>
      </c>
      <c r="J30" s="188">
        <v>7.2284161474004766E-2</v>
      </c>
      <c r="K30" s="188" t="s">
        <v>31</v>
      </c>
      <c r="L30" s="188" t="s">
        <v>31</v>
      </c>
      <c r="M30" s="188" t="s">
        <v>31</v>
      </c>
      <c r="O30" s="379" t="s">
        <v>271</v>
      </c>
      <c r="P30" s="107">
        <v>0.27</v>
      </c>
    </row>
    <row r="31" spans="1:20" ht="14.45">
      <c r="A31" s="84" t="s">
        <v>491</v>
      </c>
      <c r="B31" s="188">
        <f>R31</f>
        <v>6.0000000000000001E-3</v>
      </c>
      <c r="C31" s="393" t="s">
        <v>37</v>
      </c>
      <c r="D31" s="188" t="s">
        <v>40</v>
      </c>
      <c r="E31" s="188" t="s">
        <v>29</v>
      </c>
      <c r="F31" s="188" t="s">
        <v>59</v>
      </c>
      <c r="G31" s="188" t="s">
        <v>33</v>
      </c>
      <c r="H31" s="188">
        <v>2</v>
      </c>
      <c r="I31" s="188">
        <f t="shared" si="5"/>
        <v>-5.1159958097540823</v>
      </c>
      <c r="J31" s="188">
        <v>7.2284161474004766E-2</v>
      </c>
      <c r="K31" s="188" t="s">
        <v>31</v>
      </c>
      <c r="L31" s="188" t="s">
        <v>31</v>
      </c>
      <c r="M31" s="188" t="s">
        <v>31</v>
      </c>
      <c r="O31" s="379" t="s">
        <v>857</v>
      </c>
      <c r="P31" s="107">
        <v>6</v>
      </c>
      <c r="Q31" s="188" t="s">
        <v>275</v>
      </c>
      <c r="R31" s="188">
        <f>P31*0.001</f>
        <v>6.0000000000000001E-3</v>
      </c>
    </row>
    <row r="32" spans="1:20" ht="14.45">
      <c r="A32" s="116" t="s">
        <v>921</v>
      </c>
      <c r="B32" s="188">
        <f t="shared" ref="B32:B33" si="6">R32</f>
        <v>1.0999999999999999E-2</v>
      </c>
      <c r="C32" s="188" t="s">
        <v>37</v>
      </c>
      <c r="D32" s="188" t="s">
        <v>40</v>
      </c>
      <c r="E32" s="188" t="s">
        <v>29</v>
      </c>
      <c r="F32" s="37" t="s">
        <v>35</v>
      </c>
      <c r="G32" s="188" t="s">
        <v>33</v>
      </c>
      <c r="H32" s="188">
        <v>2</v>
      </c>
      <c r="I32" s="188">
        <f>LN(B32)</f>
        <v>-4.5098600061837661</v>
      </c>
      <c r="J32" s="188">
        <v>7.2284161474004766E-2</v>
      </c>
      <c r="K32" s="188" t="s">
        <v>31</v>
      </c>
      <c r="L32" s="188" t="s">
        <v>31</v>
      </c>
      <c r="M32" s="188" t="s">
        <v>31</v>
      </c>
      <c r="O32" s="379" t="s">
        <v>857</v>
      </c>
      <c r="P32" s="107">
        <v>11</v>
      </c>
      <c r="Q32" s="188" t="s">
        <v>275</v>
      </c>
      <c r="R32" s="188">
        <f>P32*0.001</f>
        <v>1.0999999999999999E-2</v>
      </c>
    </row>
    <row r="33" spans="1:20" ht="14.45">
      <c r="A33" s="323" t="s">
        <v>844</v>
      </c>
      <c r="B33" s="188">
        <f t="shared" si="6"/>
        <v>10.1</v>
      </c>
      <c r="C33" s="188" t="s">
        <v>37</v>
      </c>
      <c r="D33" s="188" t="s">
        <v>40</v>
      </c>
      <c r="E33" s="188" t="s">
        <v>29</v>
      </c>
      <c r="F33" s="37" t="s">
        <v>74</v>
      </c>
      <c r="G33" s="188" t="s">
        <v>33</v>
      </c>
      <c r="H33" s="188">
        <v>2</v>
      </c>
      <c r="I33" s="188">
        <f t="shared" ref="I33:I34" si="7">LN(B33)</f>
        <v>2.3125354238472138</v>
      </c>
      <c r="J33" s="188">
        <v>7.2284161474004766E-2</v>
      </c>
      <c r="K33" s="188" t="s">
        <v>31</v>
      </c>
      <c r="L33" s="188" t="s">
        <v>31</v>
      </c>
      <c r="M33" s="188" t="s">
        <v>31</v>
      </c>
      <c r="O33" s="379" t="s">
        <v>275</v>
      </c>
      <c r="P33" s="107">
        <v>10.1</v>
      </c>
      <c r="Q33" s="188" t="s">
        <v>275</v>
      </c>
      <c r="R33" s="188">
        <f>P33</f>
        <v>10.1</v>
      </c>
    </row>
    <row r="34" spans="1:20" ht="14.45">
      <c r="A34" s="84" t="s">
        <v>76</v>
      </c>
      <c r="B34" s="188">
        <f>R34</f>
        <v>1.01E-2</v>
      </c>
      <c r="C34" s="188" t="s">
        <v>42</v>
      </c>
      <c r="D34" s="188" t="s">
        <v>40</v>
      </c>
      <c r="E34" s="188" t="s">
        <v>29</v>
      </c>
      <c r="F34" s="37" t="s">
        <v>74</v>
      </c>
      <c r="G34" s="188" t="s">
        <v>33</v>
      </c>
      <c r="H34" s="188">
        <v>2</v>
      </c>
      <c r="I34" s="188">
        <f t="shared" si="7"/>
        <v>-4.595219855134923</v>
      </c>
      <c r="J34" s="188">
        <v>7.2284161474004766E-2</v>
      </c>
      <c r="K34" s="188" t="s">
        <v>31</v>
      </c>
      <c r="L34" s="188" t="s">
        <v>31</v>
      </c>
      <c r="M34" s="188" t="s">
        <v>31</v>
      </c>
      <c r="O34" s="396" t="s">
        <v>913</v>
      </c>
      <c r="P34" s="123">
        <v>10.1</v>
      </c>
      <c r="Q34" s="188" t="s">
        <v>274</v>
      </c>
      <c r="R34" s="188">
        <f>0.001*P34</f>
        <v>1.01E-2</v>
      </c>
    </row>
    <row r="35" spans="1:20" s="330" customFormat="1">
      <c r="A35" s="347" t="s">
        <v>5</v>
      </c>
      <c r="B35" s="348" t="s">
        <v>1220</v>
      </c>
    </row>
    <row r="36" spans="1:20">
      <c r="A36" s="323" t="s">
        <v>7</v>
      </c>
      <c r="B36" s="188" t="s">
        <v>831</v>
      </c>
      <c r="C36" s="322"/>
    </row>
    <row r="37" spans="1:20">
      <c r="A37" s="402" t="s">
        <v>9</v>
      </c>
      <c r="B37" s="188" t="s">
        <v>1221</v>
      </c>
      <c r="C37" s="322"/>
    </row>
    <row r="38" spans="1:20" ht="15.75" customHeight="1">
      <c r="A38" s="323" t="s">
        <v>11</v>
      </c>
      <c r="B38" s="324" t="s">
        <v>841</v>
      </c>
    </row>
    <row r="39" spans="1:20">
      <c r="A39" s="323" t="s">
        <v>13</v>
      </c>
      <c r="B39" s="188" t="s">
        <v>14</v>
      </c>
    </row>
    <row r="40" spans="1:20">
      <c r="A40" s="323" t="s">
        <v>15</v>
      </c>
      <c r="B40" s="393">
        <f>B45</f>
        <v>7.0000000000000007E-2</v>
      </c>
    </row>
    <row r="41" spans="1:20">
      <c r="A41" s="323" t="s">
        <v>16</v>
      </c>
      <c r="B41" s="188" t="s">
        <v>17</v>
      </c>
    </row>
    <row r="42" spans="1:20">
      <c r="A42" s="323" t="s">
        <v>18</v>
      </c>
      <c r="B42" s="188" t="s">
        <v>853</v>
      </c>
    </row>
    <row r="43" spans="1:20">
      <c r="A43" s="320" t="s">
        <v>19</v>
      </c>
    </row>
    <row r="44" spans="1:20">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T44" s="393"/>
    </row>
    <row r="45" spans="1:20">
      <c r="A45" s="188" t="s">
        <v>1220</v>
      </c>
      <c r="B45" s="393">
        <f>B29</f>
        <v>7.0000000000000007E-2</v>
      </c>
      <c r="C45" s="188" t="s">
        <v>853</v>
      </c>
      <c r="D45" s="386" t="s">
        <v>2</v>
      </c>
      <c r="E45" s="188" t="s">
        <v>29</v>
      </c>
      <c r="F45" s="188" t="s">
        <v>14</v>
      </c>
      <c r="G45" s="188" t="s">
        <v>30</v>
      </c>
      <c r="H45" s="188">
        <v>1</v>
      </c>
      <c r="I45" s="393">
        <f t="shared" ref="I45:I47" si="8">B45</f>
        <v>7.0000000000000007E-2</v>
      </c>
      <c r="J45" s="188" t="s">
        <v>31</v>
      </c>
      <c r="K45" s="188" t="s">
        <v>31</v>
      </c>
      <c r="L45" s="188" t="s">
        <v>31</v>
      </c>
      <c r="M45" s="188" t="s">
        <v>31</v>
      </c>
      <c r="Q45" s="188" t="s">
        <v>1062</v>
      </c>
    </row>
    <row r="46" spans="1:20">
      <c r="A46" s="84" t="s">
        <v>950</v>
      </c>
      <c r="B46" s="188">
        <v>0.81</v>
      </c>
      <c r="C46" s="188" t="s">
        <v>37</v>
      </c>
      <c r="D46" s="188" t="s">
        <v>40</v>
      </c>
      <c r="E46" s="188" t="s">
        <v>29</v>
      </c>
      <c r="F46" s="188" t="s">
        <v>82</v>
      </c>
      <c r="G46" s="188" t="s">
        <v>33</v>
      </c>
      <c r="H46" s="188">
        <v>1</v>
      </c>
      <c r="I46" s="393">
        <f t="shared" si="8"/>
        <v>0.81</v>
      </c>
      <c r="J46" s="188" t="s">
        <v>31</v>
      </c>
      <c r="K46" s="188" t="s">
        <v>31</v>
      </c>
      <c r="L46" s="188" t="s">
        <v>31</v>
      </c>
      <c r="M46" s="188" t="s">
        <v>31</v>
      </c>
    </row>
    <row r="47" spans="1:20">
      <c r="A47" s="84" t="s">
        <v>951</v>
      </c>
      <c r="B47" s="188">
        <v>0.81</v>
      </c>
      <c r="C47" s="188" t="s">
        <v>37</v>
      </c>
      <c r="D47" s="188" t="s">
        <v>40</v>
      </c>
      <c r="E47" s="188" t="s">
        <v>29</v>
      </c>
      <c r="F47" s="188" t="s">
        <v>59</v>
      </c>
      <c r="G47" s="188" t="s">
        <v>33</v>
      </c>
      <c r="H47" s="188">
        <v>1</v>
      </c>
      <c r="I47" s="393">
        <f t="shared" si="8"/>
        <v>0.81</v>
      </c>
      <c r="J47" s="188" t="s">
        <v>31</v>
      </c>
      <c r="K47" s="188" t="s">
        <v>31</v>
      </c>
      <c r="L47" s="188" t="s">
        <v>31</v>
      </c>
      <c r="M47" s="188" t="s">
        <v>31</v>
      </c>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77DC2-CE1A-4164-9B69-CFA439D21609}">
  <sheetPr>
    <tabColor rgb="FFFFFF00"/>
  </sheetPr>
  <dimension ref="A1:Y57"/>
  <sheetViews>
    <sheetView topLeftCell="A24" zoomScaleNormal="10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192"/>
      <c r="S1" s="399"/>
    </row>
    <row r="2" spans="1:21" s="330" customFormat="1">
      <c r="A2" s="347" t="s">
        <v>5</v>
      </c>
      <c r="B2" s="348" t="s">
        <v>1200</v>
      </c>
      <c r="C2" s="348"/>
      <c r="R2" s="414"/>
      <c r="S2" s="415"/>
    </row>
    <row r="3" spans="1:21">
      <c r="A3" s="323" t="s">
        <v>7</v>
      </c>
      <c r="B3" s="188" t="s">
        <v>831</v>
      </c>
      <c r="D3" s="322"/>
      <c r="R3" s="192"/>
      <c r="S3" s="399"/>
    </row>
    <row r="4" spans="1:21">
      <c r="A4" s="402" t="s">
        <v>9</v>
      </c>
      <c r="B4" s="188" t="s">
        <v>1222</v>
      </c>
      <c r="D4" s="322"/>
    </row>
    <row r="5" spans="1:21" ht="15.75" customHeight="1">
      <c r="A5" s="323" t="s">
        <v>11</v>
      </c>
      <c r="B5" s="324" t="s">
        <v>841</v>
      </c>
      <c r="C5" s="324"/>
    </row>
    <row r="6" spans="1:21">
      <c r="A6" s="323" t="s">
        <v>13</v>
      </c>
      <c r="B6" s="188" t="s">
        <v>14</v>
      </c>
    </row>
    <row r="7" spans="1:21">
      <c r="A7" s="323" t="s">
        <v>15</v>
      </c>
      <c r="B7" s="335">
        <f>B12</f>
        <v>5.25</v>
      </c>
      <c r="C7" s="335"/>
    </row>
    <row r="8" spans="1:21">
      <c r="A8" s="323" t="s">
        <v>16</v>
      </c>
      <c r="B8" s="188" t="s">
        <v>17</v>
      </c>
    </row>
    <row r="9" spans="1:21">
      <c r="A9" s="323" t="s">
        <v>18</v>
      </c>
      <c r="B9" s="188" t="str">
        <f>D12</f>
        <v>kilogram</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1200</v>
      </c>
      <c r="B12" s="335">
        <f>B43</f>
        <v>5.25</v>
      </c>
      <c r="D12" s="188" t="s">
        <v>37</v>
      </c>
      <c r="E12" s="386" t="s">
        <v>2</v>
      </c>
      <c r="F12" s="188" t="s">
        <v>29</v>
      </c>
      <c r="G12" s="188" t="s">
        <v>14</v>
      </c>
      <c r="H12" s="188" t="s">
        <v>30</v>
      </c>
      <c r="I12" s="188">
        <v>1</v>
      </c>
      <c r="J12" s="393">
        <f>B12</f>
        <v>5.25</v>
      </c>
      <c r="K12" s="188" t="s">
        <v>31</v>
      </c>
      <c r="L12" s="188" t="s">
        <v>31</v>
      </c>
      <c r="M12" s="188" t="s">
        <v>31</v>
      </c>
      <c r="N12" s="188" t="s">
        <v>31</v>
      </c>
      <c r="P12" s="192"/>
      <c r="Q12" s="399"/>
    </row>
    <row r="13" spans="1:21">
      <c r="A13" s="188" t="s">
        <v>1223</v>
      </c>
      <c r="B13" s="188">
        <v>1</v>
      </c>
      <c r="D13" s="188" t="s">
        <v>18</v>
      </c>
      <c r="E13" s="386" t="s">
        <v>2</v>
      </c>
      <c r="F13" s="188" t="s">
        <v>29</v>
      </c>
      <c r="G13" s="188" t="s">
        <v>14</v>
      </c>
      <c r="H13" s="188" t="s">
        <v>33</v>
      </c>
      <c r="I13" s="188">
        <v>1</v>
      </c>
      <c r="J13" s="393">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P18" s="379" t="s">
        <v>857</v>
      </c>
      <c r="Q18" s="397">
        <v>65</v>
      </c>
      <c r="R18" s="379" t="s">
        <v>275</v>
      </c>
      <c r="S18" s="392">
        <f>0.001*Q18</f>
        <v>6.5000000000000002E-2</v>
      </c>
    </row>
    <row r="19" spans="1:21" s="330" customFormat="1">
      <c r="A19" s="347" t="s">
        <v>5</v>
      </c>
      <c r="B19" s="348" t="str">
        <f>A29</f>
        <v>production of machined casing, mass scaled activities, motor traction drive inverter DCAC, SOFC-bat, Long-Term</v>
      </c>
      <c r="C19" s="348"/>
    </row>
    <row r="20" spans="1:21">
      <c r="A20" s="323" t="s">
        <v>7</v>
      </c>
      <c r="B20" s="188" t="s">
        <v>831</v>
      </c>
      <c r="D20" s="322"/>
    </row>
    <row r="21" spans="1:21">
      <c r="A21" s="402" t="s">
        <v>9</v>
      </c>
      <c r="B21" s="188" t="s">
        <v>1224</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1223</v>
      </c>
      <c r="B29" s="188">
        <v>1</v>
      </c>
      <c r="D29" s="188" t="s">
        <v>18</v>
      </c>
      <c r="E29" s="386" t="s">
        <v>2</v>
      </c>
      <c r="F29" s="188" t="s">
        <v>29</v>
      </c>
      <c r="G29" s="188" t="s">
        <v>14</v>
      </c>
      <c r="H29" s="188" t="s">
        <v>30</v>
      </c>
      <c r="I29" s="188">
        <v>1</v>
      </c>
      <c r="J29" s="393">
        <f>B29</f>
        <v>1</v>
      </c>
      <c r="K29" s="188" t="s">
        <v>31</v>
      </c>
      <c r="L29" s="188" t="s">
        <v>31</v>
      </c>
      <c r="M29" s="188" t="s">
        <v>31</v>
      </c>
      <c r="N29" s="188" t="s">
        <v>31</v>
      </c>
    </row>
    <row r="30" spans="1:21">
      <c r="A30" s="188" t="s">
        <v>1225</v>
      </c>
      <c r="B30" s="335">
        <f>B43</f>
        <v>5.25</v>
      </c>
      <c r="D30" s="188" t="s">
        <v>37</v>
      </c>
      <c r="E30" s="386" t="s">
        <v>2</v>
      </c>
      <c r="F30" s="188" t="s">
        <v>29</v>
      </c>
      <c r="G30" s="188" t="s">
        <v>14</v>
      </c>
      <c r="H30" s="188" t="s">
        <v>33</v>
      </c>
      <c r="I30" s="188">
        <v>2</v>
      </c>
      <c r="J30" s="188">
        <f>LN(B30)</f>
        <v>1.6582280766035324</v>
      </c>
      <c r="K30" s="188">
        <v>0.10307764064044142</v>
      </c>
      <c r="L30" s="188" t="s">
        <v>31</v>
      </c>
      <c r="M30" s="188" t="s">
        <v>31</v>
      </c>
      <c r="N30" s="188" t="s">
        <v>31</v>
      </c>
      <c r="Q30" s="440">
        <v>5.25</v>
      </c>
    </row>
    <row r="31" spans="1:21" ht="14.45">
      <c r="A31" s="323" t="s">
        <v>265</v>
      </c>
      <c r="B31" s="327">
        <f>Q31</f>
        <v>0.3</v>
      </c>
      <c r="C31" s="327"/>
      <c r="D31" s="188" t="s">
        <v>39</v>
      </c>
      <c r="E31" s="188" t="s">
        <v>40</v>
      </c>
      <c r="F31" s="188" t="s">
        <v>29</v>
      </c>
      <c r="G31" s="37" t="s">
        <v>59</v>
      </c>
      <c r="H31" s="188" t="s">
        <v>33</v>
      </c>
      <c r="I31" s="188">
        <v>2</v>
      </c>
      <c r="J31" s="188">
        <f t="shared" ref="J31:J37" si="1">LN(B31)</f>
        <v>-1.2039728043259361</v>
      </c>
      <c r="K31" s="188">
        <v>9.6046863561492793E-2</v>
      </c>
      <c r="L31" s="188" t="s">
        <v>31</v>
      </c>
      <c r="M31" s="188" t="s">
        <v>31</v>
      </c>
      <c r="N31" s="188" t="s">
        <v>31</v>
      </c>
      <c r="P31" s="379" t="s">
        <v>271</v>
      </c>
      <c r="Q31" s="107">
        <v>0.3</v>
      </c>
    </row>
    <row r="32" spans="1:21" ht="14.45">
      <c r="A32" s="84" t="s">
        <v>954</v>
      </c>
      <c r="B32" s="188">
        <f>S32</f>
        <v>7.0000000000000007E-2</v>
      </c>
      <c r="D32" s="188" t="s">
        <v>37</v>
      </c>
      <c r="E32" s="188" t="s">
        <v>40</v>
      </c>
      <c r="F32" s="188" t="s">
        <v>29</v>
      </c>
      <c r="G32" s="188" t="s">
        <v>35</v>
      </c>
      <c r="H32" s="188" t="s">
        <v>33</v>
      </c>
      <c r="I32" s="188">
        <v>2</v>
      </c>
      <c r="J32" s="188">
        <f t="shared" si="1"/>
        <v>-2.6592600369327779</v>
      </c>
      <c r="K32" s="188">
        <v>9.6046863561492793E-2</v>
      </c>
      <c r="L32" s="188" t="s">
        <v>31</v>
      </c>
      <c r="M32" s="188" t="s">
        <v>31</v>
      </c>
      <c r="N32" s="188" t="s">
        <v>31</v>
      </c>
      <c r="P32" s="379" t="s">
        <v>857</v>
      </c>
      <c r="Q32" s="107">
        <v>70</v>
      </c>
      <c r="R32" s="379" t="s">
        <v>275</v>
      </c>
      <c r="S32" s="392">
        <f>0.001*Q32</f>
        <v>7.0000000000000007E-2</v>
      </c>
    </row>
    <row r="33" spans="1:21" ht="14.45">
      <c r="A33" s="84" t="s">
        <v>955</v>
      </c>
      <c r="B33" s="188">
        <f>Q33</f>
        <v>1.3</v>
      </c>
      <c r="D33" s="188" t="s">
        <v>37</v>
      </c>
      <c r="E33" s="188" t="s">
        <v>40</v>
      </c>
      <c r="F33" s="188" t="s">
        <v>29</v>
      </c>
      <c r="G33" s="37" t="s">
        <v>74</v>
      </c>
      <c r="H33" s="188" t="s">
        <v>33</v>
      </c>
      <c r="I33" s="188">
        <v>2</v>
      </c>
      <c r="J33" s="188">
        <f t="shared" si="1"/>
        <v>0.26236426446749106</v>
      </c>
      <c r="K33" s="188">
        <v>9.6046863561492793E-2</v>
      </c>
      <c r="L33" s="188" t="s">
        <v>31</v>
      </c>
      <c r="M33" s="188" t="s">
        <v>31</v>
      </c>
      <c r="N33" s="188" t="s">
        <v>31</v>
      </c>
      <c r="P33" s="379" t="s">
        <v>275</v>
      </c>
      <c r="Q33" s="107">
        <v>1.3</v>
      </c>
    </row>
    <row r="34" spans="1:21">
      <c r="A34" s="416" t="s">
        <v>202</v>
      </c>
      <c r="B34" s="188">
        <f>S35</f>
        <v>0.26500000000000001</v>
      </c>
      <c r="C34" s="192" t="s">
        <v>203</v>
      </c>
      <c r="D34" s="188" t="s">
        <v>37</v>
      </c>
      <c r="E34" s="188" t="s">
        <v>40</v>
      </c>
      <c r="F34" s="188" t="s">
        <v>29</v>
      </c>
      <c r="G34" s="37" t="s">
        <v>35</v>
      </c>
      <c r="H34" s="188" t="s">
        <v>33</v>
      </c>
      <c r="I34" s="188">
        <v>2</v>
      </c>
      <c r="J34" s="188">
        <f t="shared" si="1"/>
        <v>-1.3280254529959148</v>
      </c>
      <c r="K34" s="188">
        <v>9.6046863561492793E-2</v>
      </c>
      <c r="L34" s="188" t="s">
        <v>31</v>
      </c>
      <c r="M34" s="188" t="s">
        <v>31</v>
      </c>
      <c r="N34" s="188" t="s">
        <v>31</v>
      </c>
      <c r="P34" s="379"/>
      <c r="Q34" s="392"/>
    </row>
    <row r="35" spans="1:21" ht="14.45">
      <c r="A35" s="192" t="s">
        <v>201</v>
      </c>
      <c r="B35" s="188">
        <f>S35</f>
        <v>0.26500000000000001</v>
      </c>
      <c r="D35" s="188" t="s">
        <v>37</v>
      </c>
      <c r="E35" s="188" t="s">
        <v>40</v>
      </c>
      <c r="F35" s="188" t="s">
        <v>29</v>
      </c>
      <c r="G35" s="188" t="s">
        <v>35</v>
      </c>
      <c r="H35" s="188" t="s">
        <v>33</v>
      </c>
      <c r="I35" s="188">
        <v>2</v>
      </c>
      <c r="J35" s="188">
        <f t="shared" si="1"/>
        <v>-1.3280254529959148</v>
      </c>
      <c r="K35" s="188">
        <v>9.6046863561492793E-2</v>
      </c>
      <c r="L35" s="188" t="s">
        <v>31</v>
      </c>
      <c r="M35" s="188" t="s">
        <v>31</v>
      </c>
      <c r="N35" s="188" t="s">
        <v>31</v>
      </c>
      <c r="P35" s="396" t="s">
        <v>857</v>
      </c>
      <c r="Q35" s="123">
        <v>265</v>
      </c>
      <c r="R35" s="379" t="s">
        <v>275</v>
      </c>
      <c r="S35" s="392">
        <f>0.001*Q35</f>
        <v>0.26500000000000001</v>
      </c>
    </row>
    <row r="36" spans="1:21">
      <c r="A36" s="84" t="s">
        <v>958</v>
      </c>
      <c r="B36" s="188">
        <f t="shared" ref="B36" si="2">S36</f>
        <v>0.26500000000000001</v>
      </c>
      <c r="D36" s="188" t="s">
        <v>37</v>
      </c>
      <c r="E36" s="188" t="s">
        <v>40</v>
      </c>
      <c r="F36" s="188" t="s">
        <v>29</v>
      </c>
      <c r="G36" s="188" t="s">
        <v>59</v>
      </c>
      <c r="H36" s="188" t="s">
        <v>136</v>
      </c>
      <c r="I36" s="188">
        <v>2</v>
      </c>
      <c r="J36" s="188">
        <f t="shared" si="1"/>
        <v>-1.3280254529959148</v>
      </c>
      <c r="K36" s="188">
        <v>9.6046863561492793E-2</v>
      </c>
      <c r="L36" s="188" t="s">
        <v>31</v>
      </c>
      <c r="M36" s="188" t="s">
        <v>31</v>
      </c>
      <c r="N36" s="188" t="s">
        <v>31</v>
      </c>
      <c r="P36" s="396" t="s">
        <v>857</v>
      </c>
      <c r="Q36" s="397">
        <v>265</v>
      </c>
      <c r="R36" s="379" t="s">
        <v>275</v>
      </c>
      <c r="S36" s="392">
        <f t="shared" ref="S36:S37" si="3">0.001*Q36</f>
        <v>0.26500000000000001</v>
      </c>
    </row>
    <row r="37" spans="1:21">
      <c r="A37" s="84" t="s">
        <v>787</v>
      </c>
      <c r="B37" s="188">
        <f>S37</f>
        <v>7.0000000000000007E-2</v>
      </c>
      <c r="D37" s="188" t="s">
        <v>37</v>
      </c>
      <c r="E37" s="188" t="s">
        <v>40</v>
      </c>
      <c r="F37" s="188" t="s">
        <v>29</v>
      </c>
      <c r="G37" s="37" t="s">
        <v>74</v>
      </c>
      <c r="H37" s="188" t="s">
        <v>33</v>
      </c>
      <c r="I37" s="188">
        <v>2</v>
      </c>
      <c r="J37" s="188">
        <f t="shared" si="1"/>
        <v>-2.6592600369327779</v>
      </c>
      <c r="K37" s="188">
        <v>9.6046863561492793E-2</v>
      </c>
      <c r="L37" s="188" t="s">
        <v>31</v>
      </c>
      <c r="M37" s="188" t="s">
        <v>31</v>
      </c>
      <c r="N37" s="188" t="s">
        <v>31</v>
      </c>
      <c r="P37" s="396" t="s">
        <v>857</v>
      </c>
      <c r="Q37" s="397">
        <v>70</v>
      </c>
      <c r="R37" s="379" t="s">
        <v>275</v>
      </c>
      <c r="S37" s="392">
        <f t="shared" si="3"/>
        <v>7.0000000000000007E-2</v>
      </c>
    </row>
    <row r="38" spans="1:21" s="330" customFormat="1">
      <c r="A38" s="347" t="s">
        <v>5</v>
      </c>
      <c r="B38" s="348" t="s">
        <v>1225</v>
      </c>
      <c r="C38" s="348"/>
    </row>
    <row r="39" spans="1:21">
      <c r="A39" s="323" t="s">
        <v>7</v>
      </c>
      <c r="B39" s="188" t="s">
        <v>831</v>
      </c>
      <c r="D39" s="322"/>
    </row>
    <row r="40" spans="1:21">
      <c r="A40" s="402" t="s">
        <v>9</v>
      </c>
      <c r="B40" s="188" t="s">
        <v>1226</v>
      </c>
      <c r="D40" s="322"/>
    </row>
    <row r="41" spans="1:21" ht="15.75" customHeight="1">
      <c r="A41" s="323" t="s">
        <v>11</v>
      </c>
      <c r="B41" s="324" t="s">
        <v>841</v>
      </c>
      <c r="C41" s="324"/>
    </row>
    <row r="42" spans="1:21">
      <c r="A42" s="323" t="s">
        <v>13</v>
      </c>
      <c r="B42" s="188" t="s">
        <v>14</v>
      </c>
    </row>
    <row r="43" spans="1:21">
      <c r="A43" s="323" t="s">
        <v>15</v>
      </c>
      <c r="B43" s="335">
        <f>B48</f>
        <v>5.25</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1225</v>
      </c>
      <c r="B48" s="188">
        <f>Q48</f>
        <v>5.25</v>
      </c>
      <c r="D48" s="188" t="s">
        <v>37</v>
      </c>
      <c r="E48" s="386" t="s">
        <v>2</v>
      </c>
      <c r="F48" s="188" t="s">
        <v>29</v>
      </c>
      <c r="G48" s="188" t="s">
        <v>14</v>
      </c>
      <c r="H48" s="188" t="s">
        <v>30</v>
      </c>
      <c r="I48" s="188">
        <v>2</v>
      </c>
      <c r="J48" s="188">
        <f>LN(B48)</f>
        <v>1.6582280766035324</v>
      </c>
      <c r="K48" s="188">
        <v>0.10307764064044142</v>
      </c>
      <c r="L48" s="188" t="s">
        <v>31</v>
      </c>
      <c r="M48" s="188" t="s">
        <v>31</v>
      </c>
      <c r="N48" s="188" t="s">
        <v>31</v>
      </c>
      <c r="Q48" s="443">
        <v>5.25</v>
      </c>
    </row>
    <row r="49" spans="1:25">
      <c r="A49" s="84" t="s">
        <v>958</v>
      </c>
      <c r="B49" s="188">
        <f>Q49</f>
        <v>5.57</v>
      </c>
      <c r="D49" s="188" t="s">
        <v>37</v>
      </c>
      <c r="E49" s="188" t="s">
        <v>40</v>
      </c>
      <c r="F49" s="188" t="s">
        <v>29</v>
      </c>
      <c r="G49" s="188" t="s">
        <v>59</v>
      </c>
      <c r="H49" s="188" t="s">
        <v>33</v>
      </c>
      <c r="I49" s="188">
        <v>2</v>
      </c>
      <c r="J49" s="188">
        <f t="shared" ref="J49:J57" si="4">LN(B49)</f>
        <v>1.7173950539391927</v>
      </c>
      <c r="K49" s="188">
        <v>4.9999999999998969E-3</v>
      </c>
      <c r="L49" s="188" t="s">
        <v>31</v>
      </c>
      <c r="M49" s="188" t="s">
        <v>31</v>
      </c>
      <c r="N49" s="188" t="s">
        <v>31</v>
      </c>
      <c r="P49" s="379" t="s">
        <v>275</v>
      </c>
      <c r="Q49" s="392">
        <v>5.57</v>
      </c>
    </row>
    <row r="50" spans="1:25">
      <c r="A50" s="27" t="s">
        <v>69</v>
      </c>
      <c r="B50" s="188">
        <f>S50</f>
        <v>1.4804177545691908</v>
      </c>
      <c r="D50" s="188" t="s">
        <v>42</v>
      </c>
      <c r="E50" s="188" t="s">
        <v>40</v>
      </c>
      <c r="F50" s="188" t="s">
        <v>29</v>
      </c>
      <c r="G50" s="188" t="s">
        <v>272</v>
      </c>
      <c r="H50" s="188" t="s">
        <v>33</v>
      </c>
      <c r="I50" s="188">
        <v>2</v>
      </c>
      <c r="J50" s="188">
        <f t="shared" si="4"/>
        <v>0.3923243145471062</v>
      </c>
      <c r="K50" s="188">
        <v>4.9999999999998969E-3</v>
      </c>
      <c r="L50" s="188" t="s">
        <v>31</v>
      </c>
      <c r="M50" s="188" t="s">
        <v>31</v>
      </c>
      <c r="N50" s="188" t="s">
        <v>31</v>
      </c>
      <c r="P50" s="379" t="s">
        <v>270</v>
      </c>
      <c r="Q50" s="392">
        <v>56.7</v>
      </c>
      <c r="R50" s="188" t="s">
        <v>274</v>
      </c>
      <c r="S50" s="188">
        <f>Q50/38.3</f>
        <v>1.4804177545691908</v>
      </c>
      <c r="T50" s="444"/>
      <c r="U50" s="445"/>
      <c r="V50" s="445"/>
      <c r="W50" s="445"/>
      <c r="X50" s="445"/>
      <c r="Y50" s="445"/>
    </row>
    <row r="51" spans="1:25">
      <c r="A51" s="323" t="s">
        <v>265</v>
      </c>
      <c r="B51" s="327">
        <f>Q51</f>
        <v>13.7</v>
      </c>
      <c r="C51" s="327"/>
      <c r="D51" s="188" t="s">
        <v>39</v>
      </c>
      <c r="E51" s="188" t="s">
        <v>40</v>
      </c>
      <c r="F51" s="188" t="s">
        <v>29</v>
      </c>
      <c r="G51" s="37" t="s">
        <v>59</v>
      </c>
      <c r="H51" s="188" t="s">
        <v>33</v>
      </c>
      <c r="I51" s="188">
        <v>2</v>
      </c>
      <c r="J51" s="188">
        <f t="shared" si="4"/>
        <v>2.6173958328340792</v>
      </c>
      <c r="K51" s="188">
        <v>4.9999999999998969E-3</v>
      </c>
      <c r="L51" s="188" t="s">
        <v>31</v>
      </c>
      <c r="M51" s="188" t="s">
        <v>31</v>
      </c>
      <c r="N51" s="188" t="s">
        <v>31</v>
      </c>
      <c r="P51" s="379" t="s">
        <v>271</v>
      </c>
      <c r="Q51" s="392">
        <v>13.7</v>
      </c>
    </row>
    <row r="52" spans="1:25">
      <c r="A52" s="84" t="s">
        <v>960</v>
      </c>
      <c r="B52" s="188">
        <f>S52</f>
        <v>0.11</v>
      </c>
      <c r="D52" s="188" t="s">
        <v>37</v>
      </c>
      <c r="E52" s="188" t="s">
        <v>40</v>
      </c>
      <c r="F52" s="188" t="s">
        <v>29</v>
      </c>
      <c r="G52" s="188" t="s">
        <v>35</v>
      </c>
      <c r="H52" s="188" t="s">
        <v>33</v>
      </c>
      <c r="I52" s="188">
        <v>2</v>
      </c>
      <c r="J52" s="188">
        <f t="shared" si="4"/>
        <v>-2.2072749131897207</v>
      </c>
      <c r="K52" s="188">
        <v>0.10049875621120885</v>
      </c>
      <c r="L52" s="188" t="s">
        <v>31</v>
      </c>
      <c r="M52" s="188" t="s">
        <v>31</v>
      </c>
      <c r="N52" s="188" t="s">
        <v>31</v>
      </c>
      <c r="P52" s="379" t="s">
        <v>857</v>
      </c>
      <c r="Q52" s="392">
        <v>110</v>
      </c>
      <c r="R52" s="379" t="s">
        <v>275</v>
      </c>
      <c r="S52" s="392">
        <f t="shared" ref="S52:S54" si="5">0.001*Q52</f>
        <v>0.11</v>
      </c>
    </row>
    <row r="53" spans="1:25">
      <c r="A53" s="84" t="s">
        <v>961</v>
      </c>
      <c r="B53" s="188">
        <f>S53</f>
        <v>2.1000000000000003E-3</v>
      </c>
      <c r="D53" s="188" t="s">
        <v>37</v>
      </c>
      <c r="E53" s="188" t="s">
        <v>43</v>
      </c>
      <c r="F53" s="188" t="s">
        <v>44</v>
      </c>
      <c r="G53" s="188" t="s">
        <v>29</v>
      </c>
      <c r="H53" s="188" t="s">
        <v>45</v>
      </c>
      <c r="I53" s="188">
        <v>2</v>
      </c>
      <c r="J53" s="188">
        <f t="shared" si="4"/>
        <v>-6.1658179342527593</v>
      </c>
      <c r="K53" s="188">
        <v>4.9999999999998969E-3</v>
      </c>
      <c r="L53" s="188" t="s">
        <v>31</v>
      </c>
      <c r="M53" s="188" t="s">
        <v>31</v>
      </c>
      <c r="N53" s="188" t="s">
        <v>31</v>
      </c>
      <c r="P53" s="394" t="s">
        <v>857</v>
      </c>
      <c r="Q53" s="417">
        <v>2.1</v>
      </c>
      <c r="R53" s="379" t="s">
        <v>275</v>
      </c>
      <c r="S53" s="392">
        <f t="shared" si="5"/>
        <v>2.1000000000000003E-3</v>
      </c>
    </row>
    <row r="54" spans="1:25">
      <c r="A54" s="323" t="s">
        <v>807</v>
      </c>
      <c r="B54" s="188">
        <f>S54</f>
        <v>5.3E-3</v>
      </c>
      <c r="D54" s="188" t="s">
        <v>37</v>
      </c>
      <c r="E54" s="188" t="s">
        <v>43</v>
      </c>
      <c r="F54" s="188" t="s">
        <v>44</v>
      </c>
      <c r="G54" s="37" t="s">
        <v>29</v>
      </c>
      <c r="H54" s="188" t="s">
        <v>45</v>
      </c>
      <c r="I54" s="188">
        <v>2</v>
      </c>
      <c r="J54" s="188">
        <f t="shared" si="4"/>
        <v>-5.2400484584240612</v>
      </c>
      <c r="K54" s="188">
        <v>8.9582364335844641E-2</v>
      </c>
      <c r="L54" s="188" t="s">
        <v>31</v>
      </c>
      <c r="M54" s="188" t="s">
        <v>31</v>
      </c>
      <c r="N54" s="188" t="s">
        <v>31</v>
      </c>
      <c r="P54" s="394" t="s">
        <v>857</v>
      </c>
      <c r="Q54" s="417">
        <v>5.3</v>
      </c>
      <c r="R54" s="379" t="s">
        <v>275</v>
      </c>
      <c r="S54" s="392">
        <f t="shared" si="5"/>
        <v>5.3E-3</v>
      </c>
    </row>
    <row r="55" spans="1:25">
      <c r="A55" s="416" t="s">
        <v>202</v>
      </c>
      <c r="B55" s="188">
        <f>Q56</f>
        <v>0.32</v>
      </c>
      <c r="C55" s="192" t="s">
        <v>203</v>
      </c>
      <c r="D55" s="188" t="s">
        <v>37</v>
      </c>
      <c r="E55" s="188" t="s">
        <v>40</v>
      </c>
      <c r="F55" s="188" t="s">
        <v>29</v>
      </c>
      <c r="G55" s="37" t="s">
        <v>35</v>
      </c>
      <c r="H55" s="188" t="s">
        <v>33</v>
      </c>
      <c r="I55" s="188">
        <v>2</v>
      </c>
      <c r="J55" s="188">
        <f t="shared" si="4"/>
        <v>-1.1394342831883648</v>
      </c>
      <c r="K55" s="188">
        <v>9.6046863561492793E-2</v>
      </c>
      <c r="L55" s="188" t="s">
        <v>31</v>
      </c>
      <c r="M55" s="188" t="s">
        <v>31</v>
      </c>
      <c r="N55" s="188" t="s">
        <v>31</v>
      </c>
      <c r="P55" s="394"/>
      <c r="Q55" s="417">
        <v>5.3</v>
      </c>
      <c r="R55" s="410"/>
      <c r="S55" s="411"/>
    </row>
    <row r="56" spans="1:25">
      <c r="A56" s="192" t="s">
        <v>201</v>
      </c>
      <c r="B56" s="188">
        <f>Q56</f>
        <v>0.32</v>
      </c>
      <c r="D56" s="188" t="s">
        <v>37</v>
      </c>
      <c r="E56" s="188" t="s">
        <v>40</v>
      </c>
      <c r="F56" s="188" t="s">
        <v>29</v>
      </c>
      <c r="G56" s="188" t="s">
        <v>35</v>
      </c>
      <c r="H56" s="188" t="s">
        <v>33</v>
      </c>
      <c r="I56" s="188">
        <v>2</v>
      </c>
      <c r="J56" s="188">
        <f t="shared" si="4"/>
        <v>-1.1394342831883648</v>
      </c>
      <c r="K56" s="188">
        <v>4.9999999999998969E-3</v>
      </c>
      <c r="L56" s="188" t="s">
        <v>31</v>
      </c>
      <c r="M56" s="188" t="s">
        <v>31</v>
      </c>
      <c r="N56" s="188" t="s">
        <v>31</v>
      </c>
      <c r="P56" s="396" t="s">
        <v>275</v>
      </c>
      <c r="Q56" s="417">
        <v>0.32</v>
      </c>
    </row>
    <row r="57" spans="1:25">
      <c r="A57" s="84" t="s">
        <v>958</v>
      </c>
      <c r="B57" s="188">
        <f>Q56</f>
        <v>0.32</v>
      </c>
      <c r="D57" s="188" t="s">
        <v>37</v>
      </c>
      <c r="E57" s="188" t="s">
        <v>40</v>
      </c>
      <c r="F57" s="188" t="s">
        <v>29</v>
      </c>
      <c r="G57" s="188" t="s">
        <v>59</v>
      </c>
      <c r="H57" s="188" t="s">
        <v>136</v>
      </c>
      <c r="I57" s="188">
        <v>2</v>
      </c>
      <c r="J57" s="188">
        <f t="shared" si="4"/>
        <v>-1.1394342831883648</v>
      </c>
      <c r="K57" s="188">
        <v>4.9999999999998969E-3</v>
      </c>
      <c r="L57" s="188" t="s">
        <v>31</v>
      </c>
      <c r="M57" s="188" t="s">
        <v>31</v>
      </c>
      <c r="N57" s="188" t="s">
        <v>31</v>
      </c>
      <c r="Q57" s="397"/>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5F459-7630-437D-9852-C4D1F2C43008}">
  <sheetPr>
    <tabColor rgb="FFFFFF00"/>
  </sheetPr>
  <dimension ref="A1:U363"/>
  <sheetViews>
    <sheetView zoomScale="85" zoomScaleNormal="85" workbookViewId="0">
      <selection activeCell="H20" sqref="H20"/>
    </sheetView>
  </sheetViews>
  <sheetFormatPr defaultRowHeight="14.4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1196</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1227</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1.8</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1196</v>
      </c>
      <c r="B12" s="188">
        <f>'2D. MOTOR DRIVE INVERTER'!B16</f>
        <v>1.8</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1228</v>
      </c>
      <c r="B13" s="188">
        <v>1</v>
      </c>
      <c r="C13" s="188" t="s">
        <v>18</v>
      </c>
      <c r="D13" s="386" t="s">
        <v>2</v>
      </c>
      <c r="E13" s="188" t="s">
        <v>29</v>
      </c>
      <c r="F13" s="37" t="s">
        <v>14</v>
      </c>
      <c r="G13" s="188" t="s">
        <v>33</v>
      </c>
      <c r="H13" s="188">
        <v>1</v>
      </c>
      <c r="I13" s="393">
        <f>B13</f>
        <v>1</v>
      </c>
      <c r="J13" s="188" t="s">
        <v>31</v>
      </c>
      <c r="K13" s="188" t="s">
        <v>31</v>
      </c>
      <c r="L13" s="188" t="s">
        <v>31</v>
      </c>
      <c r="M13" s="188" t="s">
        <v>31</v>
      </c>
      <c r="N13" s="188"/>
      <c r="O13" s="188"/>
      <c r="P13" s="188"/>
      <c r="Q13" s="188"/>
      <c r="R13" s="188"/>
      <c r="S13" s="188"/>
      <c r="T13" s="188"/>
      <c r="U13" s="188"/>
    </row>
    <row r="14" spans="1:21">
      <c r="A14" s="188" t="s">
        <v>1229</v>
      </c>
      <c r="B14" s="188">
        <v>1</v>
      </c>
      <c r="C14" s="188" t="s">
        <v>18</v>
      </c>
      <c r="D14" s="386" t="s">
        <v>2</v>
      </c>
      <c r="E14" s="188" t="s">
        <v>29</v>
      </c>
      <c r="F14" s="37" t="s">
        <v>14</v>
      </c>
      <c r="G14" s="188" t="s">
        <v>33</v>
      </c>
      <c r="H14" s="188">
        <v>1</v>
      </c>
      <c r="I14" s="393">
        <f>B14</f>
        <v>1</v>
      </c>
      <c r="J14" s="188" t="s">
        <v>31</v>
      </c>
      <c r="K14" s="188" t="s">
        <v>31</v>
      </c>
      <c r="L14" s="188" t="s">
        <v>31</v>
      </c>
      <c r="M14" s="188" t="s">
        <v>31</v>
      </c>
      <c r="N14" s="188"/>
      <c r="O14" s="188"/>
      <c r="P14" s="188"/>
      <c r="Q14" s="188"/>
      <c r="R14" s="188"/>
      <c r="S14" s="188"/>
      <c r="T14" s="188"/>
      <c r="U14" s="188"/>
    </row>
    <row r="15" spans="1:21">
      <c r="A15" s="84" t="s">
        <v>179</v>
      </c>
      <c r="B15" s="370">
        <f>R15</f>
        <v>1.7000000000000001E-4</v>
      </c>
      <c r="C15" s="188" t="s">
        <v>37</v>
      </c>
      <c r="D15" s="188" t="s">
        <v>40</v>
      </c>
      <c r="E15" s="188" t="s">
        <v>29</v>
      </c>
      <c r="F15" s="37" t="s">
        <v>35</v>
      </c>
      <c r="G15" s="188" t="s">
        <v>33</v>
      </c>
      <c r="H15" s="188">
        <v>2</v>
      </c>
      <c r="I15" s="188">
        <f>LN(B15)</f>
        <v>-8.6797121209140116</v>
      </c>
      <c r="J15" s="188">
        <v>2.8722813232690055E-2</v>
      </c>
      <c r="K15" s="188" t="s">
        <v>31</v>
      </c>
      <c r="L15" s="188" t="s">
        <v>31</v>
      </c>
      <c r="M15" s="188" t="s">
        <v>31</v>
      </c>
      <c r="N15" s="188"/>
      <c r="O15" s="361" t="s">
        <v>857</v>
      </c>
      <c r="P15" s="430">
        <v>0.17</v>
      </c>
      <c r="Q15" s="188" t="s">
        <v>275</v>
      </c>
      <c r="R15" s="370">
        <f>P15*0.001</f>
        <v>1.7000000000000001E-4</v>
      </c>
      <c r="S15" s="188"/>
      <c r="T15" s="188"/>
      <c r="U15" s="188"/>
    </row>
    <row r="16" spans="1:21">
      <c r="A16" s="347" t="s">
        <v>5</v>
      </c>
      <c r="B16" s="348" t="s">
        <v>1229</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1230</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1229</v>
      </c>
      <c r="B26" s="188">
        <v>1</v>
      </c>
      <c r="C26" s="188" t="s">
        <v>18</v>
      </c>
      <c r="D26" s="386" t="s">
        <v>2</v>
      </c>
      <c r="E26" s="188" t="s">
        <v>29</v>
      </c>
      <c r="F26" s="37" t="s">
        <v>14</v>
      </c>
      <c r="G26" s="188" t="s">
        <v>30</v>
      </c>
      <c r="H26" s="188">
        <v>1</v>
      </c>
      <c r="I26" s="393">
        <f>B26</f>
        <v>1</v>
      </c>
      <c r="J26" s="188" t="s">
        <v>31</v>
      </c>
      <c r="K26" s="188" t="s">
        <v>31</v>
      </c>
      <c r="L26" s="188" t="s">
        <v>31</v>
      </c>
      <c r="M26" s="188" t="s">
        <v>31</v>
      </c>
      <c r="N26" s="188"/>
      <c r="O26" s="188"/>
      <c r="P26" s="188"/>
      <c r="Q26" s="188"/>
      <c r="R26" s="188"/>
      <c r="S26" s="188"/>
      <c r="T26" s="188"/>
      <c r="U26" s="188"/>
    </row>
    <row r="27" spans="1:21">
      <c r="A27" s="84" t="s">
        <v>966</v>
      </c>
      <c r="B27" s="188">
        <f>P27</f>
        <v>0.34</v>
      </c>
      <c r="C27" s="188" t="s">
        <v>37</v>
      </c>
      <c r="D27" s="188" t="s">
        <v>40</v>
      </c>
      <c r="E27" s="188" t="s">
        <v>29</v>
      </c>
      <c r="F27" s="188" t="s">
        <v>59</v>
      </c>
      <c r="G27" s="188" t="s">
        <v>33</v>
      </c>
      <c r="H27" s="188">
        <v>1</v>
      </c>
      <c r="I27" s="393">
        <f>B27</f>
        <v>0.34</v>
      </c>
      <c r="J27" s="188" t="s">
        <v>31</v>
      </c>
      <c r="K27" s="188" t="s">
        <v>31</v>
      </c>
      <c r="L27" s="188" t="s">
        <v>31</v>
      </c>
      <c r="M27" s="188" t="s">
        <v>31</v>
      </c>
      <c r="N27" s="188"/>
      <c r="O27" s="188" t="s">
        <v>275</v>
      </c>
      <c r="P27" s="188">
        <v>0.34</v>
      </c>
      <c r="Q27" s="188"/>
      <c r="R27" s="188"/>
      <c r="S27" s="188"/>
      <c r="T27" s="188"/>
      <c r="U27" s="188"/>
    </row>
    <row r="28" spans="1:21">
      <c r="A28" s="84" t="s">
        <v>967</v>
      </c>
      <c r="B28" s="188">
        <f>R28</f>
        <v>0.224</v>
      </c>
      <c r="C28" s="188" t="s">
        <v>37</v>
      </c>
      <c r="D28" s="188" t="s">
        <v>40</v>
      </c>
      <c r="E28" s="188" t="s">
        <v>29</v>
      </c>
      <c r="F28" s="188" t="s">
        <v>59</v>
      </c>
      <c r="G28" s="188" t="s">
        <v>33</v>
      </c>
      <c r="H28" s="188">
        <v>2</v>
      </c>
      <c r="I28" s="188">
        <f>LN(B28)</f>
        <v>-1.4961092271270973</v>
      </c>
      <c r="J28" s="188">
        <v>3.7749172176353707E-2</v>
      </c>
      <c r="K28" s="188" t="s">
        <v>31</v>
      </c>
      <c r="L28" s="188" t="s">
        <v>31</v>
      </c>
      <c r="M28" s="188" t="s">
        <v>31</v>
      </c>
      <c r="N28" s="188"/>
      <c r="O28" s="379" t="s">
        <v>857</v>
      </c>
      <c r="P28" s="107">
        <v>224</v>
      </c>
      <c r="Q28" s="188" t="s">
        <v>275</v>
      </c>
      <c r="R28" s="188">
        <f>P28*0.001</f>
        <v>0.224</v>
      </c>
      <c r="S28" s="188"/>
      <c r="T28" s="188"/>
      <c r="U28" s="188"/>
    </row>
    <row r="29" spans="1:21">
      <c r="A29" s="84" t="s">
        <v>968</v>
      </c>
      <c r="B29" s="188">
        <f>R29</f>
        <v>1.34E-2</v>
      </c>
      <c r="C29" s="188" t="s">
        <v>37</v>
      </c>
      <c r="D29" s="188" t="s">
        <v>40</v>
      </c>
      <c r="E29" s="188" t="s">
        <v>29</v>
      </c>
      <c r="F29" s="188" t="s">
        <v>59</v>
      </c>
      <c r="G29" s="188" t="s">
        <v>33</v>
      </c>
      <c r="H29" s="188">
        <v>2</v>
      </c>
      <c r="I29" s="188">
        <f>LN(B29)</f>
        <v>-4.3125005720252716</v>
      </c>
      <c r="J29" s="188">
        <v>3.7749172176353707E-2</v>
      </c>
      <c r="K29" s="188" t="s">
        <v>31</v>
      </c>
      <c r="L29" s="188" t="s">
        <v>31</v>
      </c>
      <c r="M29" s="188" t="s">
        <v>31</v>
      </c>
      <c r="N29" s="188"/>
      <c r="O29" s="379" t="s">
        <v>857</v>
      </c>
      <c r="P29" s="107">
        <v>13.4</v>
      </c>
      <c r="Q29" s="188" t="s">
        <v>275</v>
      </c>
      <c r="R29" s="188">
        <f t="shared" ref="R29:R30" si="0">P29*0.001</f>
        <v>1.34E-2</v>
      </c>
      <c r="S29" s="188"/>
      <c r="T29" s="188"/>
      <c r="U29" s="188"/>
    </row>
    <row r="30" spans="1:21">
      <c r="A30" s="84" t="s">
        <v>969</v>
      </c>
      <c r="B30" s="188">
        <f>R30</f>
        <v>0.10100000000000001</v>
      </c>
      <c r="C30" s="188" t="s">
        <v>37</v>
      </c>
      <c r="D30" s="188" t="s">
        <v>40</v>
      </c>
      <c r="E30" s="188" t="s">
        <v>29</v>
      </c>
      <c r="F30" s="188" t="s">
        <v>59</v>
      </c>
      <c r="G30" s="188" t="s">
        <v>33</v>
      </c>
      <c r="H30" s="188">
        <v>2</v>
      </c>
      <c r="I30" s="188">
        <f>LN(B30)</f>
        <v>-2.2926347621408776</v>
      </c>
      <c r="J30" s="188">
        <v>3.7749172176353707E-2</v>
      </c>
      <c r="K30" s="188" t="s">
        <v>31</v>
      </c>
      <c r="L30" s="188" t="s">
        <v>31</v>
      </c>
      <c r="M30" s="188" t="s">
        <v>31</v>
      </c>
      <c r="N30" s="188"/>
      <c r="O30" s="379" t="s">
        <v>857</v>
      </c>
      <c r="P30" s="107">
        <v>101</v>
      </c>
      <c r="Q30" s="188" t="s">
        <v>275</v>
      </c>
      <c r="R30" s="188">
        <f t="shared" si="0"/>
        <v>0.10100000000000001</v>
      </c>
      <c r="S30" s="188"/>
      <c r="T30" s="188"/>
      <c r="U30" s="188"/>
    </row>
    <row r="31" spans="1:21">
      <c r="A31" s="347" t="s">
        <v>5</v>
      </c>
      <c r="B31" s="348" t="s">
        <v>1228</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1231</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1228</v>
      </c>
      <c r="B41" s="188">
        <v>1</v>
      </c>
      <c r="C41" s="188" t="s">
        <v>18</v>
      </c>
      <c r="D41" s="386" t="s">
        <v>2</v>
      </c>
      <c r="E41" s="188" t="s">
        <v>29</v>
      </c>
      <c r="F41" s="37" t="s">
        <v>14</v>
      </c>
      <c r="G41" s="188" t="s">
        <v>30</v>
      </c>
      <c r="H41" s="188">
        <v>1</v>
      </c>
      <c r="I41" s="393">
        <f>B41</f>
        <v>1</v>
      </c>
      <c r="J41" s="188" t="s">
        <v>31</v>
      </c>
      <c r="K41" s="188" t="s">
        <v>31</v>
      </c>
      <c r="L41" s="188" t="s">
        <v>31</v>
      </c>
      <c r="M41" s="188" t="s">
        <v>31</v>
      </c>
      <c r="N41" s="188"/>
      <c r="O41" s="188"/>
      <c r="P41" s="188"/>
      <c r="Q41" s="188"/>
      <c r="R41" s="188"/>
      <c r="S41" s="188"/>
      <c r="T41" s="188"/>
      <c r="U41" s="188"/>
    </row>
    <row r="42" spans="1:21">
      <c r="A42" s="84" t="s">
        <v>1232</v>
      </c>
      <c r="B42" s="188">
        <f>B55</f>
        <v>0.12</v>
      </c>
      <c r="C42" s="188" t="s">
        <v>37</v>
      </c>
      <c r="D42" s="386" t="s">
        <v>2</v>
      </c>
      <c r="E42" s="188" t="s">
        <v>29</v>
      </c>
      <c r="F42" s="37" t="s">
        <v>14</v>
      </c>
      <c r="G42" s="188" t="s">
        <v>33</v>
      </c>
      <c r="H42" s="188">
        <v>1</v>
      </c>
      <c r="I42" s="393">
        <f>B42</f>
        <v>0.12</v>
      </c>
      <c r="J42" s="188" t="s">
        <v>31</v>
      </c>
      <c r="K42" s="188" t="s">
        <v>31</v>
      </c>
      <c r="L42" s="188" t="s">
        <v>31</v>
      </c>
      <c r="M42" s="188" t="s">
        <v>31</v>
      </c>
      <c r="N42" s="188"/>
      <c r="O42" s="192"/>
      <c r="P42" s="399"/>
      <c r="Q42" s="188"/>
      <c r="R42" s="188"/>
      <c r="S42" s="188"/>
      <c r="T42" s="188"/>
      <c r="U42" s="188"/>
    </row>
    <row r="43" spans="1:21">
      <c r="A43" s="84" t="s">
        <v>1233</v>
      </c>
      <c r="B43" s="188">
        <v>1</v>
      </c>
      <c r="C43" s="188" t="s">
        <v>18</v>
      </c>
      <c r="D43" s="386" t="s">
        <v>2</v>
      </c>
      <c r="E43" s="188" t="s">
        <v>29</v>
      </c>
      <c r="F43" s="37" t="s">
        <v>14</v>
      </c>
      <c r="G43" s="188" t="s">
        <v>33</v>
      </c>
      <c r="H43" s="188">
        <v>1</v>
      </c>
      <c r="I43" s="393">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1232</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1234</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0.12</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1232</v>
      </c>
      <c r="B55" s="188">
        <v>0.12</v>
      </c>
      <c r="C55" s="188" t="s">
        <v>37</v>
      </c>
      <c r="D55" s="386" t="s">
        <v>2</v>
      </c>
      <c r="E55" s="188" t="s">
        <v>29</v>
      </c>
      <c r="F55" s="37" t="s">
        <v>14</v>
      </c>
      <c r="G55" s="188" t="s">
        <v>30</v>
      </c>
      <c r="H55" s="188">
        <v>1</v>
      </c>
      <c r="I55" s="393">
        <f>B55</f>
        <v>0.12</v>
      </c>
      <c r="J55" s="188" t="s">
        <v>31</v>
      </c>
      <c r="K55" s="188" t="s">
        <v>31</v>
      </c>
      <c r="L55" s="188" t="s">
        <v>31</v>
      </c>
      <c r="M55" s="188" t="s">
        <v>31</v>
      </c>
      <c r="N55" s="188"/>
      <c r="O55" s="459" t="s">
        <v>275</v>
      </c>
      <c r="P55" s="443">
        <v>0.10299999999999999</v>
      </c>
      <c r="Q55" s="188" t="s">
        <v>275</v>
      </c>
      <c r="R55" s="188">
        <f>P55</f>
        <v>0.10299999999999999</v>
      </c>
      <c r="S55" s="188"/>
      <c r="T55" s="188"/>
      <c r="U55" s="188"/>
    </row>
    <row r="56" spans="1:21">
      <c r="A56" s="84" t="s">
        <v>179</v>
      </c>
      <c r="B56" s="370">
        <f>R56</f>
        <v>0.12</v>
      </c>
      <c r="C56" s="188" t="s">
        <v>37</v>
      </c>
      <c r="D56" s="188" t="s">
        <v>40</v>
      </c>
      <c r="E56" s="188" t="s">
        <v>29</v>
      </c>
      <c r="F56" s="37" t="s">
        <v>35</v>
      </c>
      <c r="G56" s="188" t="s">
        <v>33</v>
      </c>
      <c r="H56" s="188">
        <v>2</v>
      </c>
      <c r="I56" s="188">
        <f>LN(B56)</f>
        <v>-2.120263536200091</v>
      </c>
      <c r="J56" s="188">
        <v>2.8722813232690055E-2</v>
      </c>
      <c r="K56" s="188" t="s">
        <v>31</v>
      </c>
      <c r="L56" s="188" t="s">
        <v>31</v>
      </c>
      <c r="M56" s="188" t="s">
        <v>31</v>
      </c>
      <c r="N56" s="188"/>
      <c r="O56" s="461" t="s">
        <v>275</v>
      </c>
      <c r="P56" s="392">
        <v>0.12</v>
      </c>
      <c r="Q56" s="188" t="s">
        <v>275</v>
      </c>
      <c r="R56" s="370">
        <f>P56</f>
        <v>0.12</v>
      </c>
      <c r="S56" s="188"/>
      <c r="T56" s="188"/>
      <c r="U56" s="188"/>
    </row>
    <row r="57" spans="1:21">
      <c r="A57" s="323" t="s">
        <v>265</v>
      </c>
      <c r="B57" s="327">
        <f>R57</f>
        <v>0.03</v>
      </c>
      <c r="C57" s="188" t="s">
        <v>39</v>
      </c>
      <c r="D57" s="188" t="s">
        <v>40</v>
      </c>
      <c r="E57" s="188" t="s">
        <v>29</v>
      </c>
      <c r="F57" s="37" t="s">
        <v>35</v>
      </c>
      <c r="G57" s="188" t="s">
        <v>33</v>
      </c>
      <c r="H57" s="188">
        <v>2</v>
      </c>
      <c r="I57" s="188">
        <f t="shared" ref="I57" si="2">LN(B57)</f>
        <v>-3.5065578973199818</v>
      </c>
      <c r="J57" s="188">
        <v>7.2284161474004766E-2</v>
      </c>
      <c r="K57" s="188" t="s">
        <v>31</v>
      </c>
      <c r="L57" s="188" t="s">
        <v>31</v>
      </c>
      <c r="M57" s="188" t="s">
        <v>31</v>
      </c>
      <c r="N57" s="188"/>
      <c r="O57" s="361" t="s">
        <v>271</v>
      </c>
      <c r="P57" s="392">
        <v>0.03</v>
      </c>
      <c r="Q57" s="188" t="s">
        <v>271</v>
      </c>
      <c r="R57" s="327">
        <f>P57</f>
        <v>0.03</v>
      </c>
      <c r="S57" s="188"/>
      <c r="T57" s="188"/>
      <c r="U57" s="188"/>
    </row>
    <row r="58" spans="1:21">
      <c r="A58" s="347" t="s">
        <v>5</v>
      </c>
      <c r="B58" s="126" t="s">
        <v>1233</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1235</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1233</v>
      </c>
      <c r="B68" s="188">
        <v>1</v>
      </c>
      <c r="C68" s="188" t="s">
        <v>18</v>
      </c>
      <c r="D68" s="386" t="s">
        <v>2</v>
      </c>
      <c r="E68" s="188" t="s">
        <v>29</v>
      </c>
      <c r="F68" s="37" t="s">
        <v>14</v>
      </c>
      <c r="G68" s="188" t="s">
        <v>30</v>
      </c>
      <c r="H68" s="188">
        <v>1</v>
      </c>
      <c r="I68" s="393">
        <f>B68</f>
        <v>1</v>
      </c>
      <c r="J68" s="188" t="s">
        <v>31</v>
      </c>
      <c r="K68" s="188" t="s">
        <v>31</v>
      </c>
      <c r="L68" s="188" t="s">
        <v>31</v>
      </c>
      <c r="M68" s="188" t="s">
        <v>31</v>
      </c>
      <c r="N68" s="188"/>
      <c r="O68" s="188"/>
      <c r="P68" s="188"/>
      <c r="Q68" s="188"/>
      <c r="R68" s="188"/>
      <c r="S68" s="188"/>
      <c r="T68" s="188"/>
      <c r="U68" s="188"/>
    </row>
    <row r="69" spans="1:21">
      <c r="A69" s="84" t="s">
        <v>1236</v>
      </c>
      <c r="B69" s="370">
        <f>B77</f>
        <v>0.06</v>
      </c>
      <c r="C69" s="188" t="s">
        <v>37</v>
      </c>
      <c r="D69" s="386" t="s">
        <v>2</v>
      </c>
      <c r="E69" s="188" t="s">
        <v>29</v>
      </c>
      <c r="F69" s="37" t="s">
        <v>14</v>
      </c>
      <c r="G69" s="188" t="s">
        <v>33</v>
      </c>
      <c r="H69" s="188">
        <v>1</v>
      </c>
      <c r="I69" s="393">
        <f>B69</f>
        <v>0.06</v>
      </c>
      <c r="J69" s="188" t="s">
        <v>31</v>
      </c>
      <c r="K69" s="188" t="s">
        <v>31</v>
      </c>
      <c r="L69" s="188" t="s">
        <v>31</v>
      </c>
      <c r="M69" s="188" t="s">
        <v>31</v>
      </c>
      <c r="N69" s="188"/>
      <c r="O69" s="361"/>
      <c r="P69" s="372"/>
      <c r="Q69" s="188" t="s">
        <v>275</v>
      </c>
      <c r="R69" s="370">
        <v>0.01</v>
      </c>
      <c r="S69" s="188"/>
      <c r="T69" s="188"/>
      <c r="U69" s="188"/>
    </row>
    <row r="70" spans="1:21">
      <c r="A70" s="84" t="s">
        <v>1237</v>
      </c>
      <c r="B70" s="327">
        <v>1</v>
      </c>
      <c r="C70" s="188" t="s">
        <v>18</v>
      </c>
      <c r="D70" s="386" t="s">
        <v>2</v>
      </c>
      <c r="E70" s="188" t="s">
        <v>29</v>
      </c>
      <c r="F70" s="37" t="s">
        <v>14</v>
      </c>
      <c r="G70" s="188" t="s">
        <v>33</v>
      </c>
      <c r="H70" s="188">
        <v>1</v>
      </c>
      <c r="I70" s="393">
        <f>B70</f>
        <v>1</v>
      </c>
      <c r="J70" s="188" t="s">
        <v>31</v>
      </c>
      <c r="K70" s="188" t="s">
        <v>31</v>
      </c>
      <c r="L70" s="188" t="s">
        <v>31</v>
      </c>
      <c r="M70" s="188" t="s">
        <v>31</v>
      </c>
      <c r="N70" s="188"/>
      <c r="O70" s="361"/>
      <c r="P70" s="418"/>
      <c r="Q70" s="188"/>
      <c r="R70" s="327"/>
      <c r="S70" s="188"/>
      <c r="T70" s="188"/>
      <c r="U70" s="188"/>
    </row>
    <row r="71" spans="1:21">
      <c r="A71" s="323" t="s">
        <v>265</v>
      </c>
      <c r="B71" s="327">
        <f>R71</f>
        <v>0.41</v>
      </c>
      <c r="C71" s="188" t="s">
        <v>39</v>
      </c>
      <c r="D71" s="188" t="s">
        <v>40</v>
      </c>
      <c r="E71" s="188" t="s">
        <v>29</v>
      </c>
      <c r="F71" s="37" t="s">
        <v>35</v>
      </c>
      <c r="G71" s="188" t="s">
        <v>33</v>
      </c>
      <c r="H71" s="188">
        <v>2</v>
      </c>
      <c r="I71" s="188">
        <f t="shared" ref="I71" si="3">LN(B71)</f>
        <v>-0.89159811928378363</v>
      </c>
      <c r="J71" s="188">
        <v>7.2284161474004766E-2</v>
      </c>
      <c r="K71" s="188" t="s">
        <v>31</v>
      </c>
      <c r="L71" s="188" t="s">
        <v>31</v>
      </c>
      <c r="M71" s="188" t="s">
        <v>31</v>
      </c>
      <c r="N71" s="188"/>
      <c r="O71" s="361" t="s">
        <v>271</v>
      </c>
      <c r="P71" s="418">
        <v>0.41</v>
      </c>
      <c r="Q71" s="188" t="s">
        <v>271</v>
      </c>
      <c r="R71" s="327">
        <f>P71</f>
        <v>0.41</v>
      </c>
      <c r="S71" s="188"/>
      <c r="T71" s="188"/>
      <c r="U71" s="188"/>
    </row>
    <row r="72" spans="1:21">
      <c r="A72" s="347" t="s">
        <v>5</v>
      </c>
      <c r="B72" s="126" t="s">
        <v>1236</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1238</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0.06</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1236</v>
      </c>
      <c r="B82" s="335">
        <v>0.06</v>
      </c>
      <c r="C82" s="188" t="s">
        <v>37</v>
      </c>
      <c r="D82" s="386" t="s">
        <v>2</v>
      </c>
      <c r="E82" s="188" t="s">
        <v>29</v>
      </c>
      <c r="F82" s="37" t="s">
        <v>14</v>
      </c>
      <c r="G82" s="188" t="s">
        <v>30</v>
      </c>
      <c r="H82" s="188">
        <v>1</v>
      </c>
      <c r="I82" s="393">
        <f>B82</f>
        <v>0.06</v>
      </c>
      <c r="J82" s="188" t="s">
        <v>31</v>
      </c>
      <c r="K82" s="188" t="s">
        <v>31</v>
      </c>
      <c r="L82" s="188" t="s">
        <v>31</v>
      </c>
      <c r="M82" s="188" t="s">
        <v>31</v>
      </c>
      <c r="N82" s="188"/>
      <c r="O82" s="361"/>
      <c r="P82" s="372"/>
      <c r="Q82" s="188" t="s">
        <v>275</v>
      </c>
      <c r="R82" s="370">
        <v>0.01</v>
      </c>
      <c r="S82" s="188"/>
      <c r="T82" s="188"/>
      <c r="U82" s="188"/>
    </row>
    <row r="83" spans="1:21">
      <c r="A83" s="84" t="s">
        <v>755</v>
      </c>
      <c r="B83" s="192">
        <v>0.06</v>
      </c>
      <c r="C83" s="188" t="s">
        <v>37</v>
      </c>
      <c r="D83" s="188" t="s">
        <v>40</v>
      </c>
      <c r="E83" s="188" t="s">
        <v>29</v>
      </c>
      <c r="F83" s="37" t="s">
        <v>59</v>
      </c>
      <c r="G83" s="188" t="s">
        <v>33</v>
      </c>
      <c r="H83" s="188">
        <v>1</v>
      </c>
      <c r="I83" s="393">
        <f>B83</f>
        <v>0.06</v>
      </c>
      <c r="J83" s="188" t="s">
        <v>31</v>
      </c>
      <c r="K83" s="188" t="s">
        <v>31</v>
      </c>
      <c r="L83" s="188" t="s">
        <v>31</v>
      </c>
      <c r="M83" s="188" t="s">
        <v>31</v>
      </c>
      <c r="N83" s="188"/>
      <c r="O83" s="361"/>
      <c r="P83" s="418"/>
      <c r="Q83" s="188"/>
      <c r="R83" s="327"/>
      <c r="S83" s="188"/>
      <c r="T83" s="188"/>
      <c r="U83" s="188"/>
    </row>
    <row r="84" spans="1:21">
      <c r="A84" s="84" t="s">
        <v>757</v>
      </c>
      <c r="B84" s="188">
        <v>0.06</v>
      </c>
      <c r="C84" s="188" t="s">
        <v>37</v>
      </c>
      <c r="D84" s="188" t="s">
        <v>40</v>
      </c>
      <c r="E84" s="188" t="s">
        <v>29</v>
      </c>
      <c r="F84" s="188" t="s">
        <v>59</v>
      </c>
      <c r="G84" s="188" t="s">
        <v>33</v>
      </c>
      <c r="H84" s="188">
        <v>1</v>
      </c>
      <c r="I84" s="393">
        <f>B84</f>
        <v>0.06</v>
      </c>
      <c r="J84" s="188" t="s">
        <v>31</v>
      </c>
      <c r="K84" s="188" t="s">
        <v>31</v>
      </c>
      <c r="L84" s="188" t="s">
        <v>31</v>
      </c>
      <c r="M84" s="188" t="s">
        <v>31</v>
      </c>
      <c r="N84" s="188"/>
      <c r="O84" s="188"/>
      <c r="P84" s="188"/>
      <c r="Q84" s="188"/>
      <c r="R84" s="188"/>
      <c r="S84" s="188"/>
      <c r="T84" s="188"/>
      <c r="U84" s="188"/>
    </row>
    <row r="85" spans="1:21" s="73" customFormat="1">
      <c r="A85" s="347" t="s">
        <v>5</v>
      </c>
      <c r="B85" s="469" t="s">
        <v>1237</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1239</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1237</v>
      </c>
      <c r="B95" s="327">
        <v>1</v>
      </c>
      <c r="C95" s="188" t="s">
        <v>18</v>
      </c>
      <c r="D95" s="386" t="s">
        <v>2</v>
      </c>
      <c r="E95" s="188" t="s">
        <v>29</v>
      </c>
      <c r="F95" s="37" t="s">
        <v>14</v>
      </c>
      <c r="G95" s="188" t="s">
        <v>30</v>
      </c>
      <c r="H95" s="188">
        <v>1</v>
      </c>
      <c r="I95" s="393">
        <f>B95</f>
        <v>1</v>
      </c>
      <c r="J95" s="188" t="s">
        <v>31</v>
      </c>
      <c r="K95" s="188" t="s">
        <v>31</v>
      </c>
      <c r="L95" s="188" t="s">
        <v>31</v>
      </c>
      <c r="M95" s="188" t="s">
        <v>31</v>
      </c>
      <c r="N95" s="188"/>
      <c r="O95" s="361"/>
      <c r="P95" s="418"/>
      <c r="Q95" s="188"/>
      <c r="R95" s="327"/>
      <c r="S95" s="188"/>
      <c r="T95" s="188"/>
      <c r="U95" s="188"/>
    </row>
    <row r="96" spans="1:21">
      <c r="A96" s="84" t="s">
        <v>1240</v>
      </c>
      <c r="B96" s="188">
        <v>1</v>
      </c>
      <c r="C96" s="188" t="s">
        <v>18</v>
      </c>
      <c r="D96" s="386" t="s">
        <v>2</v>
      </c>
      <c r="E96" s="188" t="s">
        <v>29</v>
      </c>
      <c r="F96" s="37" t="s">
        <v>14</v>
      </c>
      <c r="G96" s="188" t="s">
        <v>33</v>
      </c>
      <c r="H96" s="188">
        <v>1</v>
      </c>
      <c r="I96" s="393">
        <f>B96</f>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1240</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1241</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1240</v>
      </c>
      <c r="B108" s="188">
        <v>1</v>
      </c>
      <c r="C108" s="188" t="s">
        <v>18</v>
      </c>
      <c r="D108" s="188" t="s">
        <v>2</v>
      </c>
      <c r="E108" s="188" t="s">
        <v>29</v>
      </c>
      <c r="F108" s="37" t="s">
        <v>14</v>
      </c>
      <c r="G108" s="188" t="s">
        <v>30</v>
      </c>
      <c r="H108" s="188">
        <v>1</v>
      </c>
      <c r="I108" s="393">
        <f>B108</f>
        <v>1</v>
      </c>
      <c r="J108" s="188" t="s">
        <v>31</v>
      </c>
      <c r="K108" s="188" t="s">
        <v>31</v>
      </c>
      <c r="L108" s="188" t="s">
        <v>31</v>
      </c>
      <c r="M108" s="188" t="s">
        <v>31</v>
      </c>
      <c r="N108" s="188"/>
      <c r="O108" s="188"/>
      <c r="P108" s="446"/>
      <c r="Q108" s="352" t="s">
        <v>1242</v>
      </c>
      <c r="R108" s="188"/>
      <c r="S108" s="188"/>
      <c r="T108" s="188"/>
      <c r="U108" s="188"/>
    </row>
    <row r="109" spans="1:21">
      <c r="A109" s="323" t="s">
        <v>1243</v>
      </c>
      <c r="B109" s="419">
        <f>B133</f>
        <v>3.9E-2</v>
      </c>
      <c r="C109" s="188" t="s">
        <v>853</v>
      </c>
      <c r="D109" s="188" t="s">
        <v>2</v>
      </c>
      <c r="E109" s="188" t="s">
        <v>29</v>
      </c>
      <c r="F109" s="37" t="s">
        <v>14</v>
      </c>
      <c r="G109" s="188" t="s">
        <v>33</v>
      </c>
      <c r="H109" s="188">
        <v>1</v>
      </c>
      <c r="I109" s="393">
        <f>B109</f>
        <v>3.9E-2</v>
      </c>
      <c r="J109" s="188" t="s">
        <v>31</v>
      </c>
      <c r="K109" s="188" t="s">
        <v>31</v>
      </c>
      <c r="L109" s="188" t="s">
        <v>31</v>
      </c>
      <c r="M109" s="188" t="s">
        <v>31</v>
      </c>
      <c r="N109" s="188"/>
      <c r="O109" s="387"/>
      <c r="P109" s="388"/>
      <c r="Q109" s="188">
        <f>0.05/0.27</f>
        <v>0.18518518518518517</v>
      </c>
      <c r="R109" s="188" t="s">
        <v>888</v>
      </c>
      <c r="S109" s="188"/>
      <c r="T109" s="188"/>
      <c r="U109" s="188"/>
    </row>
    <row r="110" spans="1:21">
      <c r="A110" s="188" t="s">
        <v>1197</v>
      </c>
      <c r="B110" s="370">
        <f>R110</f>
        <v>5.5555555555555549E-3</v>
      </c>
      <c r="C110" s="359" t="s">
        <v>853</v>
      </c>
      <c r="D110" s="188" t="s">
        <v>2</v>
      </c>
      <c r="E110" s="188" t="s">
        <v>29</v>
      </c>
      <c r="F110" s="37" t="s">
        <v>14</v>
      </c>
      <c r="G110" s="188" t="s">
        <v>33</v>
      </c>
      <c r="H110" s="188">
        <v>1</v>
      </c>
      <c r="I110" s="393">
        <f>B110</f>
        <v>5.5555555555555549E-3</v>
      </c>
      <c r="J110" s="188" t="s">
        <v>31</v>
      </c>
      <c r="K110" s="188" t="s">
        <v>31</v>
      </c>
      <c r="L110" s="188" t="s">
        <v>31</v>
      </c>
      <c r="M110" s="188" t="s">
        <v>31</v>
      </c>
      <c r="N110" s="188"/>
      <c r="O110" s="420" t="s">
        <v>857</v>
      </c>
      <c r="P110" s="421">
        <v>30</v>
      </c>
      <c r="R110" s="370">
        <f>P110*0.001*Q109</f>
        <v>5.5555555555555549E-3</v>
      </c>
      <c r="S110" s="188"/>
      <c r="T110" s="188"/>
      <c r="U110" s="188"/>
    </row>
    <row r="111" spans="1:21">
      <c r="A111" s="188" t="s">
        <v>1244</v>
      </c>
      <c r="B111" s="188">
        <v>1</v>
      </c>
      <c r="C111" s="188" t="s">
        <v>18</v>
      </c>
      <c r="D111" s="188" t="s">
        <v>2</v>
      </c>
      <c r="E111" s="188" t="s">
        <v>29</v>
      </c>
      <c r="F111" s="37" t="s">
        <v>14</v>
      </c>
      <c r="G111" s="188" t="s">
        <v>33</v>
      </c>
      <c r="H111" s="188">
        <v>1</v>
      </c>
      <c r="I111" s="393">
        <f>B111</f>
        <v>1</v>
      </c>
      <c r="J111" s="188" t="s">
        <v>31</v>
      </c>
      <c r="K111" s="188" t="s">
        <v>31</v>
      </c>
      <c r="L111" s="188" t="s">
        <v>31</v>
      </c>
      <c r="M111" s="188" t="s">
        <v>31</v>
      </c>
      <c r="N111" s="188"/>
      <c r="O111" s="387"/>
      <c r="P111" s="388"/>
      <c r="Q111" s="188"/>
      <c r="R111" s="188"/>
      <c r="S111" s="188"/>
      <c r="T111" s="188"/>
      <c r="U111" s="188"/>
    </row>
    <row r="112" spans="1:21">
      <c r="A112" s="84" t="s">
        <v>179</v>
      </c>
      <c r="B112" s="370">
        <f>R112</f>
        <v>1.7000000000000001E-4</v>
      </c>
      <c r="C112" s="188" t="s">
        <v>37</v>
      </c>
      <c r="D112" s="188" t="s">
        <v>40</v>
      </c>
      <c r="E112" s="188" t="s">
        <v>29</v>
      </c>
      <c r="F112" s="37" t="s">
        <v>35</v>
      </c>
      <c r="G112" s="188" t="s">
        <v>33</v>
      </c>
      <c r="H112" s="188">
        <v>2</v>
      </c>
      <c r="I112" s="188">
        <f>LN(B112)</f>
        <v>-8.6797121209140116</v>
      </c>
      <c r="J112" s="188">
        <v>2.8722813232690055E-2</v>
      </c>
      <c r="K112" s="188" t="s">
        <v>31</v>
      </c>
      <c r="L112" s="188" t="s">
        <v>31</v>
      </c>
      <c r="M112" s="188" t="s">
        <v>31</v>
      </c>
      <c r="N112" s="188"/>
      <c r="O112" s="420" t="s">
        <v>857</v>
      </c>
      <c r="P112" s="153">
        <v>0.17</v>
      </c>
      <c r="Q112" s="188" t="s">
        <v>275</v>
      </c>
      <c r="R112" s="370">
        <f>P112*10^-3</f>
        <v>1.7000000000000001E-4</v>
      </c>
      <c r="S112" s="188"/>
      <c r="T112" s="188"/>
      <c r="U112" s="188"/>
    </row>
    <row r="113" spans="1:21" s="73" customFormat="1">
      <c r="A113" s="347" t="s">
        <v>5</v>
      </c>
      <c r="B113" s="348" t="s">
        <v>1244</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1245</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1244</v>
      </c>
      <c r="B123" s="188">
        <v>1</v>
      </c>
      <c r="C123" s="188" t="s">
        <v>18</v>
      </c>
      <c r="D123" s="386" t="s">
        <v>2</v>
      </c>
      <c r="E123" s="188" t="s">
        <v>29</v>
      </c>
      <c r="F123" s="37" t="s">
        <v>14</v>
      </c>
      <c r="G123" s="188" t="s">
        <v>30</v>
      </c>
      <c r="H123" s="188">
        <v>1</v>
      </c>
      <c r="I123" s="393">
        <f>B123</f>
        <v>1</v>
      </c>
      <c r="J123" s="188" t="s">
        <v>31</v>
      </c>
      <c r="K123" s="188" t="s">
        <v>31</v>
      </c>
      <c r="L123" s="188" t="s">
        <v>31</v>
      </c>
      <c r="M123" s="188" t="s">
        <v>31</v>
      </c>
      <c r="N123" s="188"/>
      <c r="O123" s="188"/>
      <c r="P123" s="188"/>
      <c r="Q123" s="188"/>
      <c r="R123" s="188"/>
      <c r="S123" s="188"/>
      <c r="T123" s="188"/>
      <c r="U123" s="188"/>
    </row>
    <row r="124" spans="1:21">
      <c r="A124" s="84" t="s">
        <v>966</v>
      </c>
      <c r="B124" s="188">
        <f>R124</f>
        <v>0.34</v>
      </c>
      <c r="C124" s="188" t="s">
        <v>37</v>
      </c>
      <c r="D124" s="188" t="s">
        <v>40</v>
      </c>
      <c r="E124" s="188" t="s">
        <v>29</v>
      </c>
      <c r="F124" s="188" t="s">
        <v>59</v>
      </c>
      <c r="G124" s="188" t="s">
        <v>33</v>
      </c>
      <c r="H124" s="188">
        <v>1</v>
      </c>
      <c r="I124" s="393">
        <f>B124</f>
        <v>0.34</v>
      </c>
      <c r="J124" s="188" t="s">
        <v>31</v>
      </c>
      <c r="K124" s="188" t="s">
        <v>31</v>
      </c>
      <c r="L124" s="188" t="s">
        <v>31</v>
      </c>
      <c r="M124" s="188" t="s">
        <v>31</v>
      </c>
      <c r="N124" s="188"/>
      <c r="O124" s="188"/>
      <c r="P124" s="188">
        <v>0.34</v>
      </c>
      <c r="Q124" s="188" t="s">
        <v>275</v>
      </c>
      <c r="R124" s="188">
        <f>P124</f>
        <v>0.34</v>
      </c>
      <c r="S124" s="188"/>
      <c r="T124" s="188"/>
      <c r="U124" s="188"/>
    </row>
    <row r="125" spans="1:21">
      <c r="A125" s="84" t="s">
        <v>967</v>
      </c>
      <c r="B125" s="188">
        <f t="shared" ref="B125:B127" si="5">R125</f>
        <v>0.224</v>
      </c>
      <c r="C125" s="188" t="s">
        <v>37</v>
      </c>
      <c r="D125" s="188" t="s">
        <v>40</v>
      </c>
      <c r="E125" s="188" t="s">
        <v>29</v>
      </c>
      <c r="F125" s="188" t="s">
        <v>59</v>
      </c>
      <c r="G125" s="188" t="s">
        <v>33</v>
      </c>
      <c r="H125" s="188">
        <v>2</v>
      </c>
      <c r="I125" s="188">
        <f>LN(B125)</f>
        <v>-1.4961092271270973</v>
      </c>
      <c r="J125" s="188">
        <v>3.7749172176353707E-2</v>
      </c>
      <c r="K125" s="188" t="s">
        <v>31</v>
      </c>
      <c r="L125" s="188" t="s">
        <v>31</v>
      </c>
      <c r="M125" s="188" t="s">
        <v>31</v>
      </c>
      <c r="N125" s="188"/>
      <c r="O125" s="379" t="s">
        <v>857</v>
      </c>
      <c r="P125" s="107">
        <v>224</v>
      </c>
      <c r="Q125" s="188" t="s">
        <v>275</v>
      </c>
      <c r="R125" s="188">
        <f>P125*0.001</f>
        <v>0.224</v>
      </c>
      <c r="S125" s="188"/>
      <c r="T125" s="188"/>
      <c r="U125" s="188"/>
    </row>
    <row r="126" spans="1:21">
      <c r="A126" s="84" t="s">
        <v>968</v>
      </c>
      <c r="B126" s="188">
        <f t="shared" si="5"/>
        <v>1.34E-2</v>
      </c>
      <c r="C126" s="188" t="s">
        <v>37</v>
      </c>
      <c r="D126" s="188" t="s">
        <v>40</v>
      </c>
      <c r="E126" s="188" t="s">
        <v>29</v>
      </c>
      <c r="F126" s="188" t="s">
        <v>59</v>
      </c>
      <c r="G126" s="188" t="s">
        <v>33</v>
      </c>
      <c r="H126" s="188">
        <v>2</v>
      </c>
      <c r="I126" s="188">
        <f>LN(B126)</f>
        <v>-4.3125005720252716</v>
      </c>
      <c r="J126" s="188">
        <v>3.7749172176353707E-2</v>
      </c>
      <c r="K126" s="188" t="s">
        <v>31</v>
      </c>
      <c r="L126" s="188" t="s">
        <v>31</v>
      </c>
      <c r="M126" s="188" t="s">
        <v>31</v>
      </c>
      <c r="N126" s="188"/>
      <c r="O126" s="379" t="s">
        <v>857</v>
      </c>
      <c r="P126" s="107">
        <v>13.4</v>
      </c>
      <c r="Q126" s="188" t="s">
        <v>275</v>
      </c>
      <c r="R126" s="188">
        <f t="shared" ref="R126:R127" si="6">P126*0.001</f>
        <v>1.34E-2</v>
      </c>
      <c r="S126" s="188"/>
      <c r="T126" s="188"/>
      <c r="U126" s="188"/>
    </row>
    <row r="127" spans="1:21">
      <c r="A127" s="84" t="s">
        <v>969</v>
      </c>
      <c r="B127" s="188">
        <f t="shared" si="5"/>
        <v>0.10100000000000001</v>
      </c>
      <c r="C127" s="188" t="s">
        <v>37</v>
      </c>
      <c r="D127" s="188" t="s">
        <v>40</v>
      </c>
      <c r="E127" s="188" t="s">
        <v>29</v>
      </c>
      <c r="F127" s="188" t="s">
        <v>59</v>
      </c>
      <c r="G127" s="188" t="s">
        <v>33</v>
      </c>
      <c r="H127" s="188">
        <v>2</v>
      </c>
      <c r="I127" s="188">
        <f>LN(B127)</f>
        <v>-2.2926347621408776</v>
      </c>
      <c r="J127" s="188">
        <v>3.7749172176353707E-2</v>
      </c>
      <c r="K127" s="188" t="s">
        <v>31</v>
      </c>
      <c r="L127" s="188" t="s">
        <v>31</v>
      </c>
      <c r="M127" s="188" t="s">
        <v>31</v>
      </c>
      <c r="N127" s="188"/>
      <c r="O127" s="379" t="s">
        <v>857</v>
      </c>
      <c r="P127" s="107">
        <v>101</v>
      </c>
      <c r="Q127" s="188" t="s">
        <v>275</v>
      </c>
      <c r="R127" s="188">
        <f t="shared" si="6"/>
        <v>0.10100000000000001</v>
      </c>
      <c r="S127" s="188"/>
      <c r="T127" s="188"/>
      <c r="U127" s="188"/>
    </row>
    <row r="128" spans="1:21" s="73" customFormat="1">
      <c r="A128" s="347" t="s">
        <v>5</v>
      </c>
      <c r="B128" s="126" t="s">
        <v>1243</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1246</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3.9E-2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1243</v>
      </c>
      <c r="B138" s="403">
        <f>P138</f>
        <v>3.9E-2</v>
      </c>
      <c r="C138" s="188" t="s">
        <v>853</v>
      </c>
      <c r="D138" s="386" t="s">
        <v>2</v>
      </c>
      <c r="E138" s="188" t="s">
        <v>29</v>
      </c>
      <c r="F138" s="37" t="s">
        <v>14</v>
      </c>
      <c r="G138" s="188" t="s">
        <v>30</v>
      </c>
      <c r="H138" s="188">
        <v>1</v>
      </c>
      <c r="I138" s="393">
        <f>B138</f>
        <v>3.9E-2</v>
      </c>
      <c r="J138" s="188" t="s">
        <v>31</v>
      </c>
      <c r="K138" s="188" t="s">
        <v>31</v>
      </c>
      <c r="L138" s="188" t="s">
        <v>31</v>
      </c>
      <c r="M138" s="188" t="s">
        <v>31</v>
      </c>
      <c r="N138" s="188"/>
      <c r="O138" s="387"/>
      <c r="P138" s="447">
        <f>B152</f>
        <v>3.9E-2</v>
      </c>
      <c r="Q138" s="327"/>
      <c r="R138" s="188"/>
      <c r="S138" s="188"/>
      <c r="T138" s="188"/>
      <c r="U138" s="188"/>
    </row>
    <row r="139" spans="1:21">
      <c r="A139" s="192" t="s">
        <v>1247</v>
      </c>
      <c r="B139" s="403">
        <f>P139</f>
        <v>3.9E-2</v>
      </c>
      <c r="C139" s="188" t="s">
        <v>853</v>
      </c>
      <c r="D139" s="386" t="s">
        <v>2</v>
      </c>
      <c r="E139" s="188" t="s">
        <v>29</v>
      </c>
      <c r="F139" s="37" t="s">
        <v>14</v>
      </c>
      <c r="G139" s="188" t="s">
        <v>33</v>
      </c>
      <c r="H139" s="188">
        <v>1</v>
      </c>
      <c r="I139" s="393">
        <f>B139</f>
        <v>3.9E-2</v>
      </c>
      <c r="J139" s="188" t="s">
        <v>31</v>
      </c>
      <c r="K139" s="188" t="s">
        <v>31</v>
      </c>
      <c r="L139" s="188" t="s">
        <v>31</v>
      </c>
      <c r="M139" s="188" t="s">
        <v>31</v>
      </c>
      <c r="N139" s="188"/>
      <c r="O139" s="188"/>
      <c r="P139" s="447">
        <f>B152</f>
        <v>3.9E-2</v>
      </c>
      <c r="Q139" s="188"/>
      <c r="R139" s="188"/>
      <c r="S139" s="188"/>
      <c r="T139" s="188"/>
      <c r="U139" s="188"/>
    </row>
    <row r="140" spans="1:21">
      <c r="A140" s="84" t="s">
        <v>731</v>
      </c>
      <c r="B140" s="188">
        <f>R140</f>
        <v>3.5000000000000001E-3</v>
      </c>
      <c r="C140" s="188" t="s">
        <v>37</v>
      </c>
      <c r="D140" s="188" t="s">
        <v>40</v>
      </c>
      <c r="E140" s="188" t="s">
        <v>29</v>
      </c>
      <c r="F140" s="188" t="s">
        <v>35</v>
      </c>
      <c r="G140" s="188" t="s">
        <v>33</v>
      </c>
      <c r="H140" s="188">
        <v>2</v>
      </c>
      <c r="I140" s="188">
        <f>LN(B140)</f>
        <v>-5.6549923104867688</v>
      </c>
      <c r="J140" s="188">
        <v>0.20928449536456342</v>
      </c>
      <c r="K140" s="188" t="s">
        <v>31</v>
      </c>
      <c r="L140" s="188" t="s">
        <v>31</v>
      </c>
      <c r="M140" s="188" t="s">
        <v>31</v>
      </c>
      <c r="N140" s="188"/>
      <c r="O140" s="379" t="s">
        <v>857</v>
      </c>
      <c r="P140" s="107">
        <v>3.5</v>
      </c>
      <c r="Q140" s="188" t="s">
        <v>275</v>
      </c>
      <c r="R140" s="188">
        <f>0.001*P140</f>
        <v>3.5000000000000001E-3</v>
      </c>
      <c r="S140" s="188"/>
      <c r="T140" s="188"/>
      <c r="U140" s="188"/>
    </row>
    <row r="141" spans="1:21">
      <c r="A141" s="84" t="s">
        <v>987</v>
      </c>
      <c r="B141" s="188">
        <f>R141</f>
        <v>3.5000000000000001E-3</v>
      </c>
      <c r="C141" s="188" t="s">
        <v>37</v>
      </c>
      <c r="D141" s="188" t="s">
        <v>40</v>
      </c>
      <c r="E141" s="188" t="s">
        <v>29</v>
      </c>
      <c r="F141" s="188" t="s">
        <v>35</v>
      </c>
      <c r="G141" s="188" t="s">
        <v>33</v>
      </c>
      <c r="H141" s="188">
        <v>2</v>
      </c>
      <c r="I141" s="188">
        <f>LN(B141)</f>
        <v>-5.6549923104867688</v>
      </c>
      <c r="J141" s="188">
        <v>0.20928449536456342</v>
      </c>
      <c r="K141" s="188" t="s">
        <v>31</v>
      </c>
      <c r="L141" s="188" t="s">
        <v>31</v>
      </c>
      <c r="M141" s="188" t="s">
        <v>31</v>
      </c>
      <c r="N141" s="188"/>
      <c r="O141" s="379" t="s">
        <v>857</v>
      </c>
      <c r="P141" s="107">
        <v>3.5</v>
      </c>
      <c r="Q141" s="188" t="s">
        <v>275</v>
      </c>
      <c r="R141" s="188">
        <f>0.001*P141</f>
        <v>3.5000000000000001E-3</v>
      </c>
      <c r="S141" s="188"/>
      <c r="T141" s="188"/>
      <c r="U141" s="188"/>
    </row>
    <row r="142" spans="1:21" s="73" customFormat="1">
      <c r="A142" s="347" t="s">
        <v>5</v>
      </c>
      <c r="B142" s="424" t="s">
        <v>1247</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1248</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3.9E-2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1247</v>
      </c>
      <c r="B152" s="470">
        <f>P152</f>
        <v>3.9E-2</v>
      </c>
      <c r="C152" s="188" t="s">
        <v>853</v>
      </c>
      <c r="D152" s="386" t="s">
        <v>2</v>
      </c>
      <c r="E152" s="188" t="s">
        <v>29</v>
      </c>
      <c r="F152" s="37" t="s">
        <v>14</v>
      </c>
      <c r="G152" s="188" t="s">
        <v>30</v>
      </c>
      <c r="H152" s="188">
        <v>1</v>
      </c>
      <c r="I152" s="393">
        <f>B152</f>
        <v>3.9E-2</v>
      </c>
      <c r="J152" s="188" t="s">
        <v>31</v>
      </c>
      <c r="K152" s="188" t="s">
        <v>31</v>
      </c>
      <c r="L152" s="188" t="s">
        <v>31</v>
      </c>
      <c r="M152" s="188" t="s">
        <v>31</v>
      </c>
      <c r="N152" s="188"/>
      <c r="O152" s="449" t="s">
        <v>855</v>
      </c>
      <c r="P152" s="470">
        <v>3.9E-2</v>
      </c>
      <c r="Q152" s="188"/>
      <c r="R152" s="188"/>
      <c r="S152" s="188"/>
      <c r="T152" s="188"/>
      <c r="U152" s="188"/>
    </row>
    <row r="153" spans="1:21">
      <c r="A153" s="188" t="s">
        <v>1249</v>
      </c>
      <c r="B153" s="470">
        <f>P153</f>
        <v>1.2E-2</v>
      </c>
      <c r="C153" s="188" t="s">
        <v>853</v>
      </c>
      <c r="D153" s="386" t="s">
        <v>2</v>
      </c>
      <c r="E153" s="188" t="s">
        <v>29</v>
      </c>
      <c r="F153" s="37" t="s">
        <v>14</v>
      </c>
      <c r="G153" s="188" t="s">
        <v>33</v>
      </c>
      <c r="H153" s="188">
        <v>1</v>
      </c>
      <c r="I153" s="393">
        <f>B153</f>
        <v>1.2E-2</v>
      </c>
      <c r="J153" s="188" t="s">
        <v>31</v>
      </c>
      <c r="K153" s="188" t="s">
        <v>31</v>
      </c>
      <c r="L153" s="188" t="s">
        <v>31</v>
      </c>
      <c r="M153" s="188" t="s">
        <v>31</v>
      </c>
      <c r="N153" s="188"/>
      <c r="O153" s="449" t="s">
        <v>873</v>
      </c>
      <c r="P153" s="471">
        <v>1.2E-2</v>
      </c>
      <c r="Q153" s="188"/>
      <c r="R153" s="188"/>
      <c r="S153" s="188"/>
      <c r="T153" s="188"/>
      <c r="U153" s="188"/>
    </row>
    <row r="154" spans="1:21">
      <c r="A154" s="188" t="s">
        <v>1250</v>
      </c>
      <c r="B154" s="470">
        <f>P154</f>
        <v>3.9E-2</v>
      </c>
      <c r="C154" s="188" t="s">
        <v>853</v>
      </c>
      <c r="D154" s="386" t="s">
        <v>2</v>
      </c>
      <c r="E154" s="188" t="s">
        <v>29</v>
      </c>
      <c r="F154" s="37" t="s">
        <v>14</v>
      </c>
      <c r="G154" s="188" t="s">
        <v>33</v>
      </c>
      <c r="H154" s="188">
        <v>1</v>
      </c>
      <c r="I154" s="393">
        <f>B154</f>
        <v>3.9E-2</v>
      </c>
      <c r="J154" s="188" t="s">
        <v>31</v>
      </c>
      <c r="K154" s="188" t="s">
        <v>31</v>
      </c>
      <c r="L154" s="188" t="s">
        <v>31</v>
      </c>
      <c r="M154" s="188" t="s">
        <v>31</v>
      </c>
      <c r="N154" s="188"/>
      <c r="O154" s="378" t="s">
        <v>873</v>
      </c>
      <c r="P154" s="472">
        <v>3.9E-2</v>
      </c>
      <c r="Q154" s="188"/>
      <c r="R154" s="188"/>
      <c r="S154" s="188"/>
      <c r="T154" s="188"/>
      <c r="U154" s="188"/>
    </row>
    <row r="155" spans="1:21">
      <c r="A155" s="323" t="s">
        <v>265</v>
      </c>
      <c r="B155" s="423">
        <f t="shared" ref="B155:B156" si="7">P155</f>
        <v>0.94</v>
      </c>
      <c r="C155" s="188" t="s">
        <v>39</v>
      </c>
      <c r="D155" s="188" t="s">
        <v>40</v>
      </c>
      <c r="E155" s="188" t="s">
        <v>29</v>
      </c>
      <c r="F155" s="37" t="s">
        <v>35</v>
      </c>
      <c r="G155" s="188" t="s">
        <v>33</v>
      </c>
      <c r="H155" s="188">
        <v>2</v>
      </c>
      <c r="I155" s="188">
        <f t="shared" ref="I155:I156" si="8">LN(B155)</f>
        <v>-6.1875403718087529E-2</v>
      </c>
      <c r="J155" s="188">
        <v>9.7082439194738052E-2</v>
      </c>
      <c r="K155" s="188" t="s">
        <v>31</v>
      </c>
      <c r="L155" s="188" t="s">
        <v>31</v>
      </c>
      <c r="M155" s="188" t="s">
        <v>31</v>
      </c>
      <c r="N155" s="188"/>
      <c r="O155" s="379" t="s">
        <v>271</v>
      </c>
      <c r="P155" s="107">
        <v>0.94</v>
      </c>
      <c r="Q155" s="188" t="s">
        <v>271</v>
      </c>
      <c r="R155" s="327">
        <f>P155</f>
        <v>0.94</v>
      </c>
      <c r="S155" s="188"/>
      <c r="T155" s="188"/>
      <c r="U155" s="188"/>
    </row>
    <row r="156" spans="1:21">
      <c r="A156" s="323" t="s">
        <v>845</v>
      </c>
      <c r="B156" s="423">
        <f t="shared" si="7"/>
        <v>2.5</v>
      </c>
      <c r="C156" s="188" t="s">
        <v>37</v>
      </c>
      <c r="D156" s="188" t="s">
        <v>40</v>
      </c>
      <c r="E156" s="188" t="s">
        <v>29</v>
      </c>
      <c r="F156" s="37" t="s">
        <v>35</v>
      </c>
      <c r="G156" s="188" t="s">
        <v>33</v>
      </c>
      <c r="H156" s="188">
        <v>2</v>
      </c>
      <c r="I156" s="188">
        <f t="shared" si="8"/>
        <v>0.91629073187415511</v>
      </c>
      <c r="J156" s="188">
        <v>9.7082439194738052E-2</v>
      </c>
      <c r="K156" s="188" t="s">
        <v>31</v>
      </c>
      <c r="L156" s="188" t="s">
        <v>31</v>
      </c>
      <c r="M156" s="188" t="s">
        <v>31</v>
      </c>
      <c r="N156" s="188"/>
      <c r="O156" s="379" t="s">
        <v>275</v>
      </c>
      <c r="P156" s="107">
        <v>2.5</v>
      </c>
      <c r="Q156" s="188"/>
      <c r="R156" s="188"/>
      <c r="S156" s="188"/>
      <c r="T156" s="188"/>
      <c r="U156" s="188"/>
    </row>
    <row r="157" spans="1:21" s="73" customFormat="1">
      <c r="A157" s="347" t="s">
        <v>5</v>
      </c>
      <c r="B157" s="348" t="s">
        <v>1250</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1251</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151">
        <f>B167</f>
        <v>3.9E-2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1250</v>
      </c>
      <c r="B167" s="393">
        <f>P167</f>
        <v>3.9E-2</v>
      </c>
      <c r="C167" s="188" t="s">
        <v>853</v>
      </c>
      <c r="D167" s="386" t="s">
        <v>2</v>
      </c>
      <c r="E167" s="188" t="s">
        <v>29</v>
      </c>
      <c r="F167" s="37" t="s">
        <v>14</v>
      </c>
      <c r="G167" s="188" t="s">
        <v>30</v>
      </c>
      <c r="H167" s="188">
        <v>1</v>
      </c>
      <c r="I167" s="393">
        <f>B167</f>
        <v>3.9E-2</v>
      </c>
      <c r="J167" s="188" t="s">
        <v>31</v>
      </c>
      <c r="K167" s="188" t="s">
        <v>31</v>
      </c>
      <c r="L167" s="188" t="s">
        <v>31</v>
      </c>
      <c r="M167" s="188" t="s">
        <v>31</v>
      </c>
      <c r="N167" s="188"/>
      <c r="O167" s="188"/>
      <c r="P167" s="151">
        <v>3.9E-2</v>
      </c>
      <c r="Q167" s="188"/>
      <c r="R167" s="188"/>
      <c r="S167" s="188"/>
      <c r="T167" s="188"/>
      <c r="U167" s="188"/>
    </row>
    <row r="168" spans="1:21">
      <c r="A168" s="192" t="s">
        <v>1252</v>
      </c>
      <c r="B168" s="393">
        <f>P168</f>
        <v>3.9E-2</v>
      </c>
      <c r="C168" s="188" t="s">
        <v>853</v>
      </c>
      <c r="D168" s="386" t="s">
        <v>2</v>
      </c>
      <c r="E168" s="188" t="s">
        <v>29</v>
      </c>
      <c r="F168" s="37" t="s">
        <v>14</v>
      </c>
      <c r="G168" s="188" t="s">
        <v>33</v>
      </c>
      <c r="H168" s="188">
        <v>1</v>
      </c>
      <c r="I168" s="393">
        <f>B168</f>
        <v>3.9E-2</v>
      </c>
      <c r="J168" s="188" t="s">
        <v>31</v>
      </c>
      <c r="K168" s="188" t="s">
        <v>31</v>
      </c>
      <c r="L168" s="188" t="s">
        <v>31</v>
      </c>
      <c r="M168" s="188" t="s">
        <v>31</v>
      </c>
      <c r="N168" s="188"/>
      <c r="O168" s="188"/>
      <c r="P168" s="151">
        <v>3.9E-2</v>
      </c>
      <c r="Q168" s="188"/>
      <c r="R168" s="188"/>
      <c r="S168" s="188"/>
      <c r="T168" s="188"/>
      <c r="U168" s="188"/>
    </row>
    <row r="169" spans="1:21">
      <c r="A169" s="323" t="s">
        <v>265</v>
      </c>
      <c r="B169" s="327">
        <f>R169</f>
        <v>0.11</v>
      </c>
      <c r="C169" s="188" t="s">
        <v>39</v>
      </c>
      <c r="D169" s="188" t="s">
        <v>40</v>
      </c>
      <c r="E169" s="188" t="s">
        <v>29</v>
      </c>
      <c r="F169" s="37" t="s">
        <v>35</v>
      </c>
      <c r="G169" s="188" t="s">
        <v>33</v>
      </c>
      <c r="H169" s="188">
        <v>2</v>
      </c>
      <c r="I169" s="188">
        <f t="shared" ref="I169:I173" si="9">LN(B169)</f>
        <v>-2.2072749131897207</v>
      </c>
      <c r="J169" s="188">
        <v>0.20928449536456342</v>
      </c>
      <c r="K169" s="188" t="s">
        <v>31</v>
      </c>
      <c r="L169" s="188" t="s">
        <v>31</v>
      </c>
      <c r="M169" s="188" t="s">
        <v>31</v>
      </c>
      <c r="N169" s="188"/>
      <c r="O169" s="361" t="s">
        <v>271</v>
      </c>
      <c r="P169" s="392">
        <v>0.11</v>
      </c>
      <c r="Q169" s="188" t="s">
        <v>271</v>
      </c>
      <c r="R169" s="327">
        <f>P169</f>
        <v>0.11</v>
      </c>
      <c r="S169" s="188"/>
      <c r="T169" s="188"/>
      <c r="U169" s="188"/>
    </row>
    <row r="170" spans="1:21">
      <c r="A170" s="84" t="s">
        <v>843</v>
      </c>
      <c r="B170" s="188">
        <f>R170</f>
        <v>3.3E-3</v>
      </c>
      <c r="C170" s="188" t="s">
        <v>37</v>
      </c>
      <c r="D170" s="188" t="s">
        <v>40</v>
      </c>
      <c r="E170" s="188" t="s">
        <v>29</v>
      </c>
      <c r="F170" s="37" t="s">
        <v>35</v>
      </c>
      <c r="G170" s="188" t="s">
        <v>33</v>
      </c>
      <c r="H170" s="188">
        <v>2</v>
      </c>
      <c r="I170" s="188">
        <f t="shared" si="9"/>
        <v>-5.7138328105097029</v>
      </c>
      <c r="J170" s="188">
        <v>0.20928449536456342</v>
      </c>
      <c r="K170" s="188" t="s">
        <v>31</v>
      </c>
      <c r="L170" s="188" t="s">
        <v>31</v>
      </c>
      <c r="M170" s="188" t="s">
        <v>31</v>
      </c>
      <c r="N170" s="188"/>
      <c r="O170" s="379" t="s">
        <v>857</v>
      </c>
      <c r="P170" s="392">
        <v>3.3</v>
      </c>
      <c r="Q170" s="188" t="s">
        <v>275</v>
      </c>
      <c r="R170" s="188">
        <f>0.001*P170</f>
        <v>3.3E-3</v>
      </c>
      <c r="S170" s="188"/>
      <c r="T170" s="188"/>
      <c r="U170" s="188"/>
    </row>
    <row r="171" spans="1:21">
      <c r="A171" s="84" t="s">
        <v>489</v>
      </c>
      <c r="B171" s="188">
        <f>R171</f>
        <v>5.0000000000000001E-4</v>
      </c>
      <c r="C171" s="188" t="s">
        <v>37</v>
      </c>
      <c r="D171" s="188" t="s">
        <v>40</v>
      </c>
      <c r="E171" s="188" t="s">
        <v>29</v>
      </c>
      <c r="F171" s="37" t="s">
        <v>59</v>
      </c>
      <c r="G171" s="188" t="s">
        <v>33</v>
      </c>
      <c r="H171" s="188">
        <v>2</v>
      </c>
      <c r="I171" s="188">
        <f t="shared" si="9"/>
        <v>-7.6009024595420822</v>
      </c>
      <c r="J171" s="188">
        <v>0.20928449536456342</v>
      </c>
      <c r="K171" s="188" t="s">
        <v>31</v>
      </c>
      <c r="L171" s="188" t="s">
        <v>31</v>
      </c>
      <c r="M171" s="188" t="s">
        <v>31</v>
      </c>
      <c r="N171" s="188"/>
      <c r="O171" s="379" t="s">
        <v>857</v>
      </c>
      <c r="P171" s="392">
        <v>0.5</v>
      </c>
      <c r="Q171" s="188" t="s">
        <v>275</v>
      </c>
      <c r="R171" s="188">
        <f t="shared" ref="R171:R173" si="10">0.001*P171</f>
        <v>5.0000000000000001E-4</v>
      </c>
      <c r="S171" s="188"/>
      <c r="T171" s="188"/>
      <c r="U171" s="188"/>
    </row>
    <row r="172" spans="1:21">
      <c r="A172" s="323" t="s">
        <v>844</v>
      </c>
      <c r="B172" s="188">
        <f>R172</f>
        <v>1.6300000000000002E-2</v>
      </c>
      <c r="C172" s="188" t="s">
        <v>37</v>
      </c>
      <c r="D172" s="188" t="s">
        <v>40</v>
      </c>
      <c r="E172" s="188" t="s">
        <v>29</v>
      </c>
      <c r="F172" s="37" t="s">
        <v>74</v>
      </c>
      <c r="G172" s="188" t="s">
        <v>33</v>
      </c>
      <c r="H172" s="188">
        <v>2</v>
      </c>
      <c r="I172" s="188">
        <f t="shared" si="9"/>
        <v>-4.1165901711694204</v>
      </c>
      <c r="J172" s="188">
        <v>0.20928449536456342</v>
      </c>
      <c r="K172" s="188" t="s">
        <v>31</v>
      </c>
      <c r="L172" s="188" t="s">
        <v>31</v>
      </c>
      <c r="M172" s="188" t="s">
        <v>31</v>
      </c>
      <c r="N172" s="188"/>
      <c r="O172" s="379" t="s">
        <v>857</v>
      </c>
      <c r="P172" s="392">
        <v>16.3</v>
      </c>
      <c r="Q172" s="188" t="s">
        <v>275</v>
      </c>
      <c r="R172" s="188">
        <f t="shared" si="10"/>
        <v>1.6300000000000002E-2</v>
      </c>
      <c r="S172" s="188"/>
      <c r="T172" s="188"/>
      <c r="U172" s="188"/>
    </row>
    <row r="173" spans="1:21">
      <c r="A173" s="188" t="s">
        <v>829</v>
      </c>
      <c r="B173" s="188">
        <f>R173</f>
        <v>3.8E-3</v>
      </c>
      <c r="C173" s="188" t="s">
        <v>37</v>
      </c>
      <c r="D173" s="386" t="s">
        <v>2</v>
      </c>
      <c r="E173" s="188" t="s">
        <v>29</v>
      </c>
      <c r="F173" s="37" t="s">
        <v>74</v>
      </c>
      <c r="G173" s="188" t="s">
        <v>33</v>
      </c>
      <c r="H173" s="188">
        <v>2</v>
      </c>
      <c r="I173" s="188">
        <f t="shared" si="9"/>
        <v>-5.5727542122497971</v>
      </c>
      <c r="J173" s="188">
        <v>0.20928449536456342</v>
      </c>
      <c r="K173" s="188" t="s">
        <v>31</v>
      </c>
      <c r="L173" s="188" t="s">
        <v>31</v>
      </c>
      <c r="M173" s="188" t="s">
        <v>31</v>
      </c>
      <c r="N173" s="188"/>
      <c r="O173" s="425" t="s">
        <v>857</v>
      </c>
      <c r="P173" s="397">
        <v>3.8</v>
      </c>
      <c r="Q173" s="188" t="s">
        <v>275</v>
      </c>
      <c r="R173" s="188">
        <f t="shared" si="10"/>
        <v>3.8E-3</v>
      </c>
      <c r="S173" s="188"/>
      <c r="T173" s="188"/>
      <c r="U173" s="188"/>
    </row>
    <row r="174" spans="1:21" s="73" customFormat="1">
      <c r="A174" s="347" t="s">
        <v>5</v>
      </c>
      <c r="B174" s="348" t="s">
        <v>1252</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1253</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3.9E-2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1252</v>
      </c>
      <c r="B184" s="393">
        <f>P184</f>
        <v>3.9E-2</v>
      </c>
      <c r="C184" s="188" t="s">
        <v>853</v>
      </c>
      <c r="D184" s="386" t="s">
        <v>2</v>
      </c>
      <c r="E184" s="188" t="s">
        <v>29</v>
      </c>
      <c r="F184" s="37" t="s">
        <v>14</v>
      </c>
      <c r="G184" s="188" t="s">
        <v>30</v>
      </c>
      <c r="H184" s="188">
        <v>1</v>
      </c>
      <c r="I184" s="393">
        <f>B184</f>
        <v>3.9E-2</v>
      </c>
      <c r="J184" s="188" t="s">
        <v>31</v>
      </c>
      <c r="K184" s="188" t="s">
        <v>31</v>
      </c>
      <c r="L184" s="188" t="s">
        <v>31</v>
      </c>
      <c r="M184" s="188" t="s">
        <v>31</v>
      </c>
      <c r="N184" s="188"/>
      <c r="O184" s="188"/>
      <c r="P184" s="151">
        <v>3.9E-2</v>
      </c>
      <c r="Q184" s="188"/>
      <c r="R184" s="188"/>
      <c r="S184" s="188"/>
      <c r="T184" s="188"/>
      <c r="U184" s="188"/>
    </row>
    <row r="185" spans="1:21">
      <c r="A185" s="188" t="s">
        <v>1254</v>
      </c>
      <c r="B185" s="393">
        <f>P185</f>
        <v>3.9E-2</v>
      </c>
      <c r="C185" s="188" t="s">
        <v>853</v>
      </c>
      <c r="D185" s="386" t="s">
        <v>2</v>
      </c>
      <c r="E185" s="188" t="s">
        <v>29</v>
      </c>
      <c r="F185" s="37" t="s">
        <v>14</v>
      </c>
      <c r="G185" s="188" t="s">
        <v>33</v>
      </c>
      <c r="H185" s="188">
        <v>1</v>
      </c>
      <c r="I185" s="393">
        <f>B185</f>
        <v>3.9E-2</v>
      </c>
      <c r="J185" s="188" t="s">
        <v>31</v>
      </c>
      <c r="K185" s="188" t="s">
        <v>31</v>
      </c>
      <c r="L185" s="188" t="s">
        <v>31</v>
      </c>
      <c r="M185" s="188" t="s">
        <v>31</v>
      </c>
      <c r="N185" s="188"/>
      <c r="O185" s="188"/>
      <c r="P185" s="151">
        <v>3.9E-2</v>
      </c>
      <c r="Q185" s="188"/>
      <c r="R185" s="188"/>
      <c r="S185" s="188"/>
      <c r="T185" s="188"/>
      <c r="U185" s="188"/>
    </row>
    <row r="186" spans="1:21">
      <c r="A186" s="323" t="s">
        <v>265</v>
      </c>
      <c r="B186" s="327">
        <f>P186</f>
        <v>2.29</v>
      </c>
      <c r="C186" s="188" t="s">
        <v>39</v>
      </c>
      <c r="D186" s="188" t="s">
        <v>40</v>
      </c>
      <c r="E186" s="188" t="s">
        <v>29</v>
      </c>
      <c r="F186" s="37" t="s">
        <v>35</v>
      </c>
      <c r="G186" s="188" t="s">
        <v>33</v>
      </c>
      <c r="H186" s="188">
        <v>2</v>
      </c>
      <c r="I186" s="188">
        <f t="shared" ref="I186:I187" si="11">LN(B186)</f>
        <v>0.82855181756614826</v>
      </c>
      <c r="J186" s="188">
        <v>0.20928449536456342</v>
      </c>
      <c r="K186" s="188" t="s">
        <v>31</v>
      </c>
      <c r="L186" s="188" t="s">
        <v>31</v>
      </c>
      <c r="M186" s="188" t="s">
        <v>31</v>
      </c>
      <c r="N186" s="188"/>
      <c r="O186" s="379" t="s">
        <v>271</v>
      </c>
      <c r="P186" s="392">
        <f>1.58+0.71</f>
        <v>2.29</v>
      </c>
      <c r="Q186" s="188"/>
      <c r="R186" s="188"/>
      <c r="S186" s="188"/>
      <c r="T186" s="188"/>
      <c r="U186" s="188"/>
    </row>
    <row r="187" spans="1:21">
      <c r="A187" s="323" t="s">
        <v>844</v>
      </c>
      <c r="B187" s="188">
        <f>R187</f>
        <v>4.5999999999999999E-3</v>
      </c>
      <c r="C187" s="188" t="s">
        <v>37</v>
      </c>
      <c r="D187" s="188" t="s">
        <v>40</v>
      </c>
      <c r="E187" s="188" t="s">
        <v>29</v>
      </c>
      <c r="F187" s="37" t="s">
        <v>74</v>
      </c>
      <c r="G187" s="188" t="s">
        <v>33</v>
      </c>
      <c r="H187" s="188">
        <v>2</v>
      </c>
      <c r="I187" s="188">
        <f t="shared" si="11"/>
        <v>-5.3816989754870876</v>
      </c>
      <c r="J187" s="188">
        <v>0.20928449536456342</v>
      </c>
      <c r="K187" s="188" t="s">
        <v>31</v>
      </c>
      <c r="L187" s="188" t="s">
        <v>31</v>
      </c>
      <c r="M187" s="188" t="s">
        <v>31</v>
      </c>
      <c r="N187" s="188"/>
      <c r="O187" s="379" t="s">
        <v>857</v>
      </c>
      <c r="P187" s="107">
        <v>4.5999999999999996</v>
      </c>
      <c r="Q187" s="188" t="s">
        <v>275</v>
      </c>
      <c r="R187" s="188">
        <f>P187*0.001</f>
        <v>4.5999999999999999E-3</v>
      </c>
      <c r="S187" s="188"/>
      <c r="T187" s="188"/>
      <c r="U187" s="188"/>
    </row>
    <row r="188" spans="1:21">
      <c r="A188" s="84" t="s">
        <v>987</v>
      </c>
      <c r="B188" s="188">
        <f>R188</f>
        <v>5.5999999999999999E-3</v>
      </c>
      <c r="C188" s="188" t="s">
        <v>37</v>
      </c>
      <c r="D188" s="188" t="s">
        <v>40</v>
      </c>
      <c r="E188" s="188" t="s">
        <v>29</v>
      </c>
      <c r="F188" s="188" t="s">
        <v>35</v>
      </c>
      <c r="G188" s="188" t="s">
        <v>33</v>
      </c>
      <c r="H188" s="188">
        <v>2</v>
      </c>
      <c r="I188" s="188">
        <f>LN(B188)</f>
        <v>-5.1849886812410331</v>
      </c>
      <c r="J188" s="188">
        <v>0.20928449536456342</v>
      </c>
      <c r="K188" s="188" t="s">
        <v>31</v>
      </c>
      <c r="L188" s="188" t="s">
        <v>31</v>
      </c>
      <c r="M188" s="188" t="s">
        <v>31</v>
      </c>
      <c r="N188" s="188"/>
      <c r="O188" s="379" t="s">
        <v>857</v>
      </c>
      <c r="P188" s="107">
        <v>5.6</v>
      </c>
      <c r="Q188" s="188" t="s">
        <v>275</v>
      </c>
      <c r="R188" s="188">
        <f>P188*0.001</f>
        <v>5.5999999999999999E-3</v>
      </c>
      <c r="S188" s="188"/>
      <c r="T188" s="188"/>
      <c r="U188" s="188"/>
    </row>
    <row r="189" spans="1:21">
      <c r="A189" s="188" t="s">
        <v>829</v>
      </c>
      <c r="B189" s="188">
        <f>R189</f>
        <v>5.5999999999999999E-3</v>
      </c>
      <c r="C189" s="188" t="s">
        <v>37</v>
      </c>
      <c r="D189" s="386" t="s">
        <v>2</v>
      </c>
      <c r="E189" s="188" t="s">
        <v>29</v>
      </c>
      <c r="F189" s="37" t="s">
        <v>74</v>
      </c>
      <c r="G189" s="188" t="s">
        <v>33</v>
      </c>
      <c r="H189" s="188">
        <v>2</v>
      </c>
      <c r="I189" s="188">
        <f t="shared" ref="I189" si="12">LN(B189)</f>
        <v>-5.1849886812410331</v>
      </c>
      <c r="J189" s="188">
        <v>0.20928449536456342</v>
      </c>
      <c r="K189" s="188" t="s">
        <v>31</v>
      </c>
      <c r="L189" s="188" t="s">
        <v>31</v>
      </c>
      <c r="M189" s="188" t="s">
        <v>31</v>
      </c>
      <c r="N189" s="188"/>
      <c r="O189" s="425" t="s">
        <v>857</v>
      </c>
      <c r="P189" s="123">
        <v>5.6</v>
      </c>
      <c r="Q189" s="188" t="s">
        <v>275</v>
      </c>
      <c r="R189" s="188">
        <f t="shared" ref="R189" si="13">0.001*P189</f>
        <v>5.5999999999999999E-3</v>
      </c>
      <c r="S189" s="188"/>
      <c r="T189" s="188"/>
      <c r="U189" s="188"/>
    </row>
    <row r="190" spans="1:21" s="73" customFormat="1">
      <c r="A190" s="347" t="s">
        <v>5</v>
      </c>
      <c r="B190" s="348" t="s">
        <v>1254</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1255</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321" t="s">
        <v>937</v>
      </c>
      <c r="R194" s="188"/>
      <c r="S194" s="188"/>
      <c r="T194" s="188"/>
      <c r="U194" s="188"/>
    </row>
    <row r="195" spans="1:21">
      <c r="A195" s="323" t="s">
        <v>15</v>
      </c>
      <c r="B195" s="403">
        <f>B200</f>
        <v>0.52</v>
      </c>
      <c r="C195" s="188"/>
      <c r="D195" s="188"/>
      <c r="E195" s="188"/>
      <c r="F195" s="188"/>
      <c r="G195" s="188"/>
      <c r="H195" s="188"/>
      <c r="I195" s="188"/>
      <c r="J195" s="188"/>
      <c r="K195" s="188"/>
      <c r="L195" s="188"/>
      <c r="M195" s="188"/>
      <c r="N195" s="188"/>
      <c r="O195" s="188"/>
      <c r="P195" s="188"/>
      <c r="Q195" s="188" t="s">
        <v>938</v>
      </c>
      <c r="R195" s="188">
        <v>8900</v>
      </c>
      <c r="S195" s="188" t="s">
        <v>939</v>
      </c>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t="s">
        <v>940</v>
      </c>
      <c r="R196" s="188">
        <f>5*10^-6</f>
        <v>4.9999999999999996E-6</v>
      </c>
      <c r="S196" s="188" t="s">
        <v>941</v>
      </c>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405" t="s">
        <v>942</v>
      </c>
      <c r="R197" s="406">
        <f>R196*R195</f>
        <v>4.4499999999999998E-2</v>
      </c>
      <c r="S197" s="407" t="s">
        <v>943</v>
      </c>
      <c r="T197" s="188"/>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c r="S198" s="188"/>
      <c r="T198" s="188"/>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t="s">
        <v>945</v>
      </c>
      <c r="R199" s="188"/>
      <c r="S199" s="188"/>
      <c r="T199" s="388"/>
      <c r="U199" s="188"/>
    </row>
    <row r="200" spans="1:21">
      <c r="A200" s="188" t="s">
        <v>1254</v>
      </c>
      <c r="B200" s="473">
        <v>0.52</v>
      </c>
      <c r="C200" s="188" t="s">
        <v>853</v>
      </c>
      <c r="D200" s="386" t="s">
        <v>2</v>
      </c>
      <c r="E200" s="188" t="s">
        <v>29</v>
      </c>
      <c r="F200" s="188" t="s">
        <v>14</v>
      </c>
      <c r="G200" s="188" t="s">
        <v>30</v>
      </c>
      <c r="H200" s="188">
        <v>1</v>
      </c>
      <c r="I200" s="393">
        <f>B200</f>
        <v>0.52</v>
      </c>
      <c r="J200" s="188" t="s">
        <v>31</v>
      </c>
      <c r="K200" s="188" t="s">
        <v>31</v>
      </c>
      <c r="L200" s="188" t="s">
        <v>31</v>
      </c>
      <c r="M200" s="188" t="s">
        <v>31</v>
      </c>
      <c r="N200" s="188"/>
      <c r="O200" s="192"/>
      <c r="P200" s="399"/>
      <c r="Q200" s="408">
        <v>0.57999999999999996</v>
      </c>
      <c r="R200" s="409" t="s">
        <v>855</v>
      </c>
      <c r="S200" s="408">
        <f>Q200*R197</f>
        <v>2.5809999999999996E-2</v>
      </c>
      <c r="T200" s="409" t="s">
        <v>275</v>
      </c>
      <c r="U200" s="188"/>
    </row>
    <row r="201" spans="1:21">
      <c r="A201" s="188" t="s">
        <v>1256</v>
      </c>
      <c r="B201" s="473">
        <v>0.52</v>
      </c>
      <c r="C201" s="188" t="s">
        <v>853</v>
      </c>
      <c r="D201" s="386" t="s">
        <v>2</v>
      </c>
      <c r="E201" s="188" t="s">
        <v>29</v>
      </c>
      <c r="F201" s="188" t="s">
        <v>14</v>
      </c>
      <c r="G201" s="188" t="s">
        <v>33</v>
      </c>
      <c r="H201" s="188">
        <v>1</v>
      </c>
      <c r="I201" s="393">
        <f>B201</f>
        <v>0.52</v>
      </c>
      <c r="J201" s="188">
        <v>7.2284161474004766E-2</v>
      </c>
      <c r="K201" s="188" t="s">
        <v>31</v>
      </c>
      <c r="L201" s="188" t="s">
        <v>31</v>
      </c>
      <c r="M201" s="188" t="s">
        <v>31</v>
      </c>
      <c r="N201" s="188"/>
      <c r="O201" s="192"/>
      <c r="P201" s="399"/>
      <c r="Q201" s="188"/>
      <c r="R201" s="188"/>
      <c r="S201" s="188"/>
      <c r="T201" s="188"/>
      <c r="U201" s="188"/>
    </row>
    <row r="202" spans="1:21">
      <c r="A202" s="192" t="s">
        <v>1211</v>
      </c>
      <c r="B202" s="398">
        <f>S200</f>
        <v>2.5809999999999996E-2</v>
      </c>
      <c r="C202" s="188" t="s">
        <v>37</v>
      </c>
      <c r="D202" s="386" t="s">
        <v>2</v>
      </c>
      <c r="E202" s="188" t="s">
        <v>29</v>
      </c>
      <c r="F202" s="37" t="s">
        <v>14</v>
      </c>
      <c r="G202" s="188" t="s">
        <v>33</v>
      </c>
      <c r="H202" s="188">
        <v>1</v>
      </c>
      <c r="I202" s="393">
        <f>B202</f>
        <v>2.5809999999999996E-2</v>
      </c>
      <c r="J202" s="188">
        <v>7.2284161474004766E-2</v>
      </c>
      <c r="K202" s="188" t="s">
        <v>31</v>
      </c>
      <c r="L202" s="188" t="s">
        <v>31</v>
      </c>
      <c r="M202" s="188" t="s">
        <v>31</v>
      </c>
      <c r="N202" s="188"/>
      <c r="O202" s="192"/>
      <c r="P202" s="399"/>
      <c r="Q202" s="188"/>
      <c r="R202" s="188"/>
      <c r="S202" s="188"/>
      <c r="T202" s="188"/>
      <c r="U202" s="188"/>
    </row>
    <row r="203" spans="1:21">
      <c r="A203" s="323" t="s">
        <v>844</v>
      </c>
      <c r="B203" s="188">
        <f>P203</f>
        <v>4.7</v>
      </c>
      <c r="C203" s="188" t="s">
        <v>37</v>
      </c>
      <c r="D203" s="188" t="s">
        <v>40</v>
      </c>
      <c r="E203" s="188" t="s">
        <v>29</v>
      </c>
      <c r="F203" s="37" t="s">
        <v>74</v>
      </c>
      <c r="G203" s="188" t="s">
        <v>33</v>
      </c>
      <c r="H203" s="188">
        <v>2</v>
      </c>
      <c r="I203" s="188">
        <f t="shared" ref="I203" si="14">LN(B203)</f>
        <v>1.547562508716013</v>
      </c>
      <c r="J203" s="188">
        <v>7.2284161474004766E-2</v>
      </c>
      <c r="K203" s="188" t="s">
        <v>31</v>
      </c>
      <c r="L203" s="188" t="s">
        <v>31</v>
      </c>
      <c r="M203" s="188" t="s">
        <v>31</v>
      </c>
      <c r="N203" s="188"/>
      <c r="O203" s="455" t="s">
        <v>275</v>
      </c>
      <c r="P203" s="107">
        <v>4.7</v>
      </c>
      <c r="Q203" s="188"/>
      <c r="R203" s="188"/>
      <c r="S203" s="188"/>
      <c r="T203" s="188"/>
      <c r="U203" s="188"/>
    </row>
    <row r="204" spans="1:21">
      <c r="A204" s="84" t="s">
        <v>924</v>
      </c>
      <c r="B204" s="429">
        <f>R204</f>
        <v>1.9999999999999999E-7</v>
      </c>
      <c r="C204" s="188" t="s">
        <v>37</v>
      </c>
      <c r="D204" s="188" t="s">
        <v>40</v>
      </c>
      <c r="E204" s="188" t="s">
        <v>29</v>
      </c>
      <c r="F204" s="37" t="s">
        <v>59</v>
      </c>
      <c r="G204" s="188" t="s">
        <v>33</v>
      </c>
      <c r="H204" s="188">
        <v>2</v>
      </c>
      <c r="I204" s="188">
        <f>LN(B204)</f>
        <v>-15.424948470398375</v>
      </c>
      <c r="J204" s="188">
        <v>7.2284161474004766E-2</v>
      </c>
      <c r="K204" s="188" t="s">
        <v>31</v>
      </c>
      <c r="L204" s="188" t="s">
        <v>31</v>
      </c>
      <c r="M204" s="188" t="s">
        <v>31</v>
      </c>
      <c r="N204" s="188"/>
      <c r="O204" s="394" t="s">
        <v>862</v>
      </c>
      <c r="P204" s="145">
        <v>0.2</v>
      </c>
      <c r="Q204" s="188" t="s">
        <v>275</v>
      </c>
      <c r="R204" s="188">
        <f>0.000001*P204</f>
        <v>1.9999999999999999E-7</v>
      </c>
      <c r="S204" s="188"/>
      <c r="T204" s="188"/>
      <c r="U204" s="188"/>
    </row>
    <row r="205" spans="1:21">
      <c r="A205" s="84" t="s">
        <v>76</v>
      </c>
      <c r="B205" s="429">
        <f>R205</f>
        <v>4.7000000000000002E-3</v>
      </c>
      <c r="C205" s="188" t="s">
        <v>42</v>
      </c>
      <c r="D205" s="188" t="s">
        <v>40</v>
      </c>
      <c r="E205" s="188" t="s">
        <v>29</v>
      </c>
      <c r="F205" s="37" t="s">
        <v>74</v>
      </c>
      <c r="G205" s="188" t="s">
        <v>33</v>
      </c>
      <c r="H205" s="188">
        <v>2</v>
      </c>
      <c r="I205" s="188">
        <f t="shared" ref="I205" si="15">LN(B205)</f>
        <v>-5.3601927702661243</v>
      </c>
      <c r="J205" s="188">
        <v>7.2284161474004766E-2</v>
      </c>
      <c r="K205" s="188" t="s">
        <v>31</v>
      </c>
      <c r="L205" s="188" t="s">
        <v>31</v>
      </c>
      <c r="M205" s="188" t="s">
        <v>31</v>
      </c>
      <c r="N205" s="188"/>
      <c r="O205" s="396" t="s">
        <v>913</v>
      </c>
      <c r="P205" s="123">
        <v>4.7</v>
      </c>
      <c r="Q205" s="188" t="s">
        <v>274</v>
      </c>
      <c r="R205" s="188">
        <f>0.001*P205</f>
        <v>4.7000000000000002E-3</v>
      </c>
      <c r="S205" s="188"/>
      <c r="T205" s="188"/>
      <c r="U205" s="188"/>
    </row>
    <row r="206" spans="1:21" s="73" customFormat="1">
      <c r="A206" s="347" t="s">
        <v>5</v>
      </c>
      <c r="B206" s="348" t="s">
        <v>1256</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1257</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f>B216</f>
        <v>0.52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1256</v>
      </c>
      <c r="B216" s="393">
        <f>P216</f>
        <v>0.52</v>
      </c>
      <c r="C216" s="188" t="s">
        <v>853</v>
      </c>
      <c r="D216" s="386" t="s">
        <v>2</v>
      </c>
      <c r="E216" s="188" t="s">
        <v>29</v>
      </c>
      <c r="F216" s="188" t="s">
        <v>14</v>
      </c>
      <c r="G216" s="188" t="s">
        <v>30</v>
      </c>
      <c r="H216" s="188">
        <v>1</v>
      </c>
      <c r="I216" s="393">
        <f>B216</f>
        <v>0.52</v>
      </c>
      <c r="J216" s="188" t="s">
        <v>31</v>
      </c>
      <c r="K216" s="188" t="s">
        <v>31</v>
      </c>
      <c r="L216" s="188" t="s">
        <v>31</v>
      </c>
      <c r="M216" s="188" t="s">
        <v>31</v>
      </c>
      <c r="N216" s="188"/>
      <c r="O216" s="379" t="s">
        <v>855</v>
      </c>
      <c r="P216" s="433">
        <v>0.52</v>
      </c>
      <c r="Q216" s="188"/>
      <c r="R216" s="188"/>
      <c r="S216" s="188"/>
      <c r="T216" s="188"/>
      <c r="U216" s="188"/>
    </row>
    <row r="217" spans="1:21">
      <c r="A217" s="188" t="s">
        <v>1214</v>
      </c>
      <c r="B217" s="393">
        <f>'[2]Same processes'!B46</f>
        <v>0.25</v>
      </c>
      <c r="C217" s="188" t="s">
        <v>37</v>
      </c>
      <c r="D217" s="386" t="s">
        <v>2</v>
      </c>
      <c r="E217" s="188" t="s">
        <v>29</v>
      </c>
      <c r="F217" s="188" t="s">
        <v>14</v>
      </c>
      <c r="G217" s="188" t="s">
        <v>33</v>
      </c>
      <c r="H217" s="188">
        <v>1</v>
      </c>
      <c r="I217" s="393">
        <f>B217</f>
        <v>0.25</v>
      </c>
      <c r="J217" s="188" t="s">
        <v>31</v>
      </c>
      <c r="K217" s="188" t="s">
        <v>31</v>
      </c>
      <c r="L217" s="188" t="s">
        <v>31</v>
      </c>
      <c r="M217" s="188" t="s">
        <v>31</v>
      </c>
      <c r="N217" s="188"/>
      <c r="O217" s="410"/>
      <c r="P217" s="433">
        <v>0.52</v>
      </c>
      <c r="Q217" s="188" t="s">
        <v>1100</v>
      </c>
      <c r="R217" s="188"/>
      <c r="S217" s="188"/>
      <c r="T217" s="188"/>
      <c r="U217" s="188"/>
    </row>
    <row r="218" spans="1:21">
      <c r="A218" s="323" t="s">
        <v>265</v>
      </c>
      <c r="B218" s="327">
        <f>P218</f>
        <v>0.27</v>
      </c>
      <c r="C218" s="188" t="s">
        <v>39</v>
      </c>
      <c r="D218" s="188" t="s">
        <v>40</v>
      </c>
      <c r="E218" s="188" t="s">
        <v>29</v>
      </c>
      <c r="F218" s="37" t="s">
        <v>35</v>
      </c>
      <c r="G218" s="188" t="s">
        <v>33</v>
      </c>
      <c r="H218" s="188">
        <v>2</v>
      </c>
      <c r="I218" s="188">
        <f t="shared" ref="I218:I219" si="16">LN(B218)</f>
        <v>-1.3093333199837622</v>
      </c>
      <c r="J218" s="188">
        <v>7.2284161474004766E-2</v>
      </c>
      <c r="K218" s="188" t="s">
        <v>31</v>
      </c>
      <c r="L218" s="188" t="s">
        <v>31</v>
      </c>
      <c r="M218" s="188" t="s">
        <v>31</v>
      </c>
      <c r="N218" s="188"/>
      <c r="O218" s="379" t="s">
        <v>271</v>
      </c>
      <c r="P218" s="107">
        <v>0.27</v>
      </c>
      <c r="Q218" s="188"/>
      <c r="R218" s="188"/>
      <c r="S218" s="188"/>
      <c r="T218" s="188"/>
      <c r="U218" s="188"/>
    </row>
    <row r="219" spans="1:21">
      <c r="A219" s="84" t="s">
        <v>491</v>
      </c>
      <c r="B219" s="188">
        <f>R219</f>
        <v>6.0000000000000001E-3</v>
      </c>
      <c r="C219" s="393" t="s">
        <v>37</v>
      </c>
      <c r="D219" s="188" t="s">
        <v>40</v>
      </c>
      <c r="E219" s="188" t="s">
        <v>29</v>
      </c>
      <c r="F219" s="188" t="s">
        <v>59</v>
      </c>
      <c r="G219" s="188" t="s">
        <v>33</v>
      </c>
      <c r="H219" s="188">
        <v>2</v>
      </c>
      <c r="I219" s="188">
        <f t="shared" si="16"/>
        <v>-5.1159958097540823</v>
      </c>
      <c r="J219" s="188">
        <v>7.2284161474004766E-2</v>
      </c>
      <c r="K219" s="188" t="s">
        <v>31</v>
      </c>
      <c r="L219" s="188" t="s">
        <v>31</v>
      </c>
      <c r="M219" s="188" t="s">
        <v>31</v>
      </c>
      <c r="N219" s="188"/>
      <c r="O219" s="379" t="s">
        <v>857</v>
      </c>
      <c r="P219" s="107">
        <v>6</v>
      </c>
      <c r="Q219" s="188" t="s">
        <v>275</v>
      </c>
      <c r="R219" s="188">
        <f>P219*0.001</f>
        <v>6.0000000000000001E-3</v>
      </c>
      <c r="S219" s="188"/>
      <c r="T219" s="188"/>
      <c r="U219" s="188"/>
    </row>
    <row r="220" spans="1:21">
      <c r="A220" s="116" t="s">
        <v>921</v>
      </c>
      <c r="B220" s="188">
        <f t="shared" ref="B220:B221" si="17">R220</f>
        <v>1.0999999999999999E-2</v>
      </c>
      <c r="C220" s="188" t="s">
        <v>37</v>
      </c>
      <c r="D220" s="188" t="s">
        <v>40</v>
      </c>
      <c r="E220" s="188" t="s">
        <v>29</v>
      </c>
      <c r="F220" s="37" t="s">
        <v>35</v>
      </c>
      <c r="G220" s="188" t="s">
        <v>33</v>
      </c>
      <c r="H220" s="188">
        <v>2</v>
      </c>
      <c r="I220" s="188">
        <f>LN(B220)</f>
        <v>-4.5098600061837661</v>
      </c>
      <c r="J220" s="188">
        <v>7.2284161474004766E-2</v>
      </c>
      <c r="K220" s="188" t="s">
        <v>31</v>
      </c>
      <c r="L220" s="188" t="s">
        <v>31</v>
      </c>
      <c r="M220" s="188" t="s">
        <v>31</v>
      </c>
      <c r="N220" s="188"/>
      <c r="O220" s="379" t="s">
        <v>857</v>
      </c>
      <c r="P220" s="107">
        <v>11</v>
      </c>
      <c r="Q220" s="188" t="s">
        <v>275</v>
      </c>
      <c r="R220" s="188">
        <f>P220*0.001</f>
        <v>1.0999999999999999E-2</v>
      </c>
      <c r="S220" s="188"/>
      <c r="T220" s="188"/>
      <c r="U220" s="188"/>
    </row>
    <row r="221" spans="1:21">
      <c r="A221" s="323" t="s">
        <v>844</v>
      </c>
      <c r="B221" s="188">
        <f t="shared" si="17"/>
        <v>10.1</v>
      </c>
      <c r="C221" s="188" t="s">
        <v>37</v>
      </c>
      <c r="D221" s="188" t="s">
        <v>40</v>
      </c>
      <c r="E221" s="188" t="s">
        <v>29</v>
      </c>
      <c r="F221" s="37" t="s">
        <v>74</v>
      </c>
      <c r="G221" s="188" t="s">
        <v>33</v>
      </c>
      <c r="H221" s="188">
        <v>2</v>
      </c>
      <c r="I221" s="188">
        <f t="shared" ref="I221:I222" si="18">LN(B221)</f>
        <v>2.3125354238472138</v>
      </c>
      <c r="J221" s="188">
        <v>7.2284161474004766E-2</v>
      </c>
      <c r="K221" s="188" t="s">
        <v>31</v>
      </c>
      <c r="L221" s="188" t="s">
        <v>31</v>
      </c>
      <c r="M221" s="188" t="s">
        <v>31</v>
      </c>
      <c r="N221" s="188"/>
      <c r="O221" s="379" t="s">
        <v>275</v>
      </c>
      <c r="P221" s="107">
        <v>10.1</v>
      </c>
      <c r="Q221" s="188" t="s">
        <v>275</v>
      </c>
      <c r="R221" s="188">
        <f>P221</f>
        <v>10.1</v>
      </c>
      <c r="S221" s="188"/>
      <c r="T221" s="188"/>
      <c r="U221" s="188"/>
    </row>
    <row r="222" spans="1:21">
      <c r="A222" s="84" t="s">
        <v>76</v>
      </c>
      <c r="B222" s="188">
        <f>R222</f>
        <v>1.01E-2</v>
      </c>
      <c r="C222" s="188" t="s">
        <v>42</v>
      </c>
      <c r="D222" s="188" t="s">
        <v>40</v>
      </c>
      <c r="E222" s="188" t="s">
        <v>29</v>
      </c>
      <c r="F222" s="37" t="s">
        <v>74</v>
      </c>
      <c r="G222" s="188" t="s">
        <v>33</v>
      </c>
      <c r="H222" s="188">
        <v>2</v>
      </c>
      <c r="I222" s="188">
        <f t="shared" si="18"/>
        <v>-4.595219855134923</v>
      </c>
      <c r="J222" s="188">
        <v>7.2284161474004766E-2</v>
      </c>
      <c r="K222" s="188" t="s">
        <v>31</v>
      </c>
      <c r="L222" s="188" t="s">
        <v>31</v>
      </c>
      <c r="M222" s="188" t="s">
        <v>31</v>
      </c>
      <c r="N222" s="188"/>
      <c r="O222" s="396" t="s">
        <v>913</v>
      </c>
      <c r="P222" s="123">
        <v>10.1</v>
      </c>
      <c r="Q222" s="188" t="s">
        <v>274</v>
      </c>
      <c r="R222" s="188">
        <f>0.001*P222</f>
        <v>1.01E-2</v>
      </c>
      <c r="S222" s="188"/>
      <c r="T222" s="188"/>
      <c r="U222" s="188"/>
    </row>
    <row r="223" spans="1:21" s="73" customFormat="1">
      <c r="A223" s="347" t="s">
        <v>5</v>
      </c>
      <c r="B223" s="424" t="s">
        <v>1249</v>
      </c>
      <c r="C223" s="349"/>
      <c r="D223" s="330"/>
      <c r="E223" s="330"/>
      <c r="F223" s="330"/>
      <c r="G223" s="330"/>
      <c r="H223" s="330"/>
      <c r="I223" s="330"/>
      <c r="J223" s="330"/>
      <c r="K223" s="330"/>
      <c r="L223" s="330"/>
      <c r="M223" s="330"/>
      <c r="N223" s="330"/>
      <c r="O223" s="330"/>
      <c r="P223" s="188"/>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1258</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1.2E-2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1249</v>
      </c>
      <c r="B233" s="474">
        <f>B234</f>
        <v>1.2E-2</v>
      </c>
      <c r="C233" s="188" t="s">
        <v>853</v>
      </c>
      <c r="D233" s="386" t="s">
        <v>2</v>
      </c>
      <c r="E233" s="188" t="s">
        <v>29</v>
      </c>
      <c r="F233" s="37" t="s">
        <v>14</v>
      </c>
      <c r="G233" s="188" t="s">
        <v>30</v>
      </c>
      <c r="H233" s="188">
        <v>1</v>
      </c>
      <c r="I233" s="393">
        <f>B233</f>
        <v>1.2E-2</v>
      </c>
      <c r="J233" s="188" t="s">
        <v>31</v>
      </c>
      <c r="K233" s="188" t="s">
        <v>31</v>
      </c>
      <c r="L233" s="188" t="s">
        <v>31</v>
      </c>
      <c r="M233" s="188" t="s">
        <v>31</v>
      </c>
      <c r="N233" s="188"/>
      <c r="O233" s="449" t="s">
        <v>873</v>
      </c>
      <c r="P233" s="450"/>
      <c r="Q233" s="188"/>
      <c r="R233" s="188"/>
      <c r="S233" s="188"/>
      <c r="T233" s="188"/>
      <c r="U233" s="188"/>
    </row>
    <row r="234" spans="1:21">
      <c r="A234" s="188" t="s">
        <v>1259</v>
      </c>
      <c r="B234" s="393">
        <f>B254</f>
        <v>1.2E-2</v>
      </c>
      <c r="C234" s="188" t="s">
        <v>853</v>
      </c>
      <c r="D234" s="386" t="s">
        <v>2</v>
      </c>
      <c r="E234" s="188" t="s">
        <v>29</v>
      </c>
      <c r="F234" s="37" t="s">
        <v>14</v>
      </c>
      <c r="G234" s="188" t="s">
        <v>33</v>
      </c>
      <c r="H234" s="188">
        <v>1</v>
      </c>
      <c r="I234" s="393">
        <f>B234</f>
        <v>1.2E-2</v>
      </c>
      <c r="J234" s="188" t="s">
        <v>31</v>
      </c>
      <c r="K234" s="188" t="s">
        <v>31</v>
      </c>
      <c r="L234" s="188" t="s">
        <v>31</v>
      </c>
      <c r="M234" s="188" t="s">
        <v>31</v>
      </c>
      <c r="N234" s="188"/>
      <c r="O234" s="449" t="s">
        <v>873</v>
      </c>
      <c r="P234" s="450"/>
      <c r="Q234" s="188"/>
      <c r="R234" s="188"/>
      <c r="S234" s="188"/>
      <c r="T234" s="188"/>
      <c r="U234" s="188"/>
    </row>
    <row r="235" spans="1:21">
      <c r="A235" s="188" t="s">
        <v>1260</v>
      </c>
      <c r="B235" s="393">
        <f>B242</f>
        <v>2.0700000000000002E-3</v>
      </c>
      <c r="C235" s="188" t="s">
        <v>853</v>
      </c>
      <c r="D235" s="386" t="s">
        <v>2</v>
      </c>
      <c r="E235" s="188" t="s">
        <v>29</v>
      </c>
      <c r="F235" s="37" t="s">
        <v>14</v>
      </c>
      <c r="G235" s="188" t="s">
        <v>33</v>
      </c>
      <c r="H235" s="188">
        <v>1</v>
      </c>
      <c r="I235" s="393">
        <f>B235</f>
        <v>2.0700000000000002E-3</v>
      </c>
      <c r="J235" s="188" t="s">
        <v>31</v>
      </c>
      <c r="K235" s="188" t="s">
        <v>31</v>
      </c>
      <c r="L235" s="188" t="s">
        <v>31</v>
      </c>
      <c r="M235" s="188" t="s">
        <v>31</v>
      </c>
      <c r="N235" s="188"/>
      <c r="O235" s="378" t="s">
        <v>873</v>
      </c>
      <c r="P235" s="447"/>
      <c r="Q235" s="188"/>
      <c r="R235" s="188"/>
      <c r="S235" s="188"/>
      <c r="T235" s="188"/>
      <c r="U235" s="188"/>
    </row>
    <row r="236" spans="1:21">
      <c r="A236" s="323" t="s">
        <v>265</v>
      </c>
      <c r="B236" s="393">
        <f>P236</f>
        <v>0.28999999999999998</v>
      </c>
      <c r="C236" s="188" t="s">
        <v>39</v>
      </c>
      <c r="D236" s="188" t="s">
        <v>40</v>
      </c>
      <c r="E236" s="188" t="s">
        <v>29</v>
      </c>
      <c r="F236" s="37" t="s">
        <v>35</v>
      </c>
      <c r="G236" s="188" t="s">
        <v>33</v>
      </c>
      <c r="H236" s="188">
        <v>2</v>
      </c>
      <c r="I236" s="188">
        <f t="shared" ref="I236" si="19">LN(B236)</f>
        <v>-1.2378743560016174</v>
      </c>
      <c r="J236" s="188">
        <v>0.20928449536456342</v>
      </c>
      <c r="K236" s="188" t="s">
        <v>31</v>
      </c>
      <c r="L236" s="188" t="s">
        <v>31</v>
      </c>
      <c r="M236" s="188" t="s">
        <v>31</v>
      </c>
      <c r="N236" s="188"/>
      <c r="O236" s="379" t="s">
        <v>271</v>
      </c>
      <c r="P236" s="392">
        <v>0.28999999999999998</v>
      </c>
      <c r="Q236" s="188"/>
      <c r="R236" s="188"/>
      <c r="S236" s="188"/>
      <c r="T236" s="188"/>
      <c r="U236" s="188"/>
    </row>
    <row r="237" spans="1:21" s="73" customFormat="1">
      <c r="A237" s="347" t="s">
        <v>5</v>
      </c>
      <c r="B237" s="424" t="s">
        <v>1260</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1261</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2.0700000000000002E-3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1260</v>
      </c>
      <c r="B247" s="393">
        <f>S247</f>
        <v>2.0700000000000002E-3</v>
      </c>
      <c r="C247" s="188" t="s">
        <v>853</v>
      </c>
      <c r="D247" s="386" t="s">
        <v>2</v>
      </c>
      <c r="E247" s="188" t="s">
        <v>29</v>
      </c>
      <c r="F247" s="37" t="s">
        <v>14</v>
      </c>
      <c r="G247" s="188" t="s">
        <v>30</v>
      </c>
      <c r="H247" s="188">
        <v>1</v>
      </c>
      <c r="I247" s="393">
        <f>B247</f>
        <v>2.0700000000000002E-3</v>
      </c>
      <c r="J247" s="188" t="s">
        <v>31</v>
      </c>
      <c r="K247" s="188" t="s">
        <v>31</v>
      </c>
      <c r="L247" s="188" t="s">
        <v>31</v>
      </c>
      <c r="M247" s="188" t="s">
        <v>31</v>
      </c>
      <c r="N247" s="188"/>
      <c r="O247" s="188"/>
      <c r="P247" s="379" t="s">
        <v>1183</v>
      </c>
      <c r="Q247" s="392">
        <v>20.7</v>
      </c>
      <c r="R247" s="188" t="s">
        <v>855</v>
      </c>
      <c r="S247" s="188">
        <f>Q247*0.0001</f>
        <v>2.0700000000000002E-3</v>
      </c>
      <c r="T247" s="188"/>
      <c r="U247" s="188"/>
    </row>
    <row r="248" spans="1:21">
      <c r="A248" s="84" t="s">
        <v>1002</v>
      </c>
      <c r="B248" s="393">
        <f>S248</f>
        <v>2.0700000000000002E-3</v>
      </c>
      <c r="C248" s="188" t="s">
        <v>853</v>
      </c>
      <c r="D248" s="188" t="s">
        <v>40</v>
      </c>
      <c r="E248" s="188" t="s">
        <v>29</v>
      </c>
      <c r="F248" s="188" t="s">
        <v>59</v>
      </c>
      <c r="G248" s="188" t="s">
        <v>33</v>
      </c>
      <c r="H248" s="188">
        <v>2</v>
      </c>
      <c r="I248" s="188">
        <f>LN(B248)</f>
        <v>-6.1802066717048589</v>
      </c>
      <c r="J248" s="188">
        <v>3.7749172176353707E-2</v>
      </c>
      <c r="K248" s="188" t="s">
        <v>31</v>
      </c>
      <c r="L248" s="188" t="s">
        <v>31</v>
      </c>
      <c r="M248" s="188" t="s">
        <v>31</v>
      </c>
      <c r="N248" s="188"/>
      <c r="O248" s="188"/>
      <c r="P248" s="378" t="s">
        <v>1183</v>
      </c>
      <c r="Q248" s="433">
        <v>20.7</v>
      </c>
      <c r="R248" s="188" t="s">
        <v>855</v>
      </c>
      <c r="S248" s="188">
        <f>Q248*0.0001</f>
        <v>2.0700000000000002E-3</v>
      </c>
      <c r="T248" s="188"/>
      <c r="U248" s="188"/>
    </row>
    <row r="249" spans="1:21" s="73" customFormat="1">
      <c r="A249" s="347" t="s">
        <v>5</v>
      </c>
      <c r="B249" s="348" t="s">
        <v>1259</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1262</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1.2E-2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1259</v>
      </c>
      <c r="B259" s="393">
        <f>B260</f>
        <v>1.2E-2</v>
      </c>
      <c r="C259" s="188" t="s">
        <v>853</v>
      </c>
      <c r="D259" s="386" t="s">
        <v>2</v>
      </c>
      <c r="E259" s="188" t="s">
        <v>29</v>
      </c>
      <c r="F259" s="37" t="s">
        <v>14</v>
      </c>
      <c r="G259" s="188" t="s">
        <v>30</v>
      </c>
      <c r="H259" s="188">
        <v>1</v>
      </c>
      <c r="I259" s="393">
        <f>B259</f>
        <v>1.2E-2</v>
      </c>
      <c r="J259" s="188" t="s">
        <v>31</v>
      </c>
      <c r="K259" s="188" t="s">
        <v>31</v>
      </c>
      <c r="L259" s="188" t="s">
        <v>31</v>
      </c>
      <c r="M259" s="188" t="s">
        <v>31</v>
      </c>
      <c r="N259" s="188"/>
      <c r="O259" s="188"/>
      <c r="P259" s="188"/>
      <c r="Q259" s="188"/>
      <c r="R259" s="188"/>
      <c r="S259" s="188"/>
      <c r="T259" s="188"/>
      <c r="U259" s="188"/>
    </row>
    <row r="260" spans="1:21">
      <c r="A260" s="188" t="s">
        <v>1263</v>
      </c>
      <c r="B260" s="393">
        <f>P260</f>
        <v>1.2E-2</v>
      </c>
      <c r="C260" s="188" t="s">
        <v>853</v>
      </c>
      <c r="D260" s="386" t="s">
        <v>2</v>
      </c>
      <c r="E260" s="188" t="s">
        <v>29</v>
      </c>
      <c r="F260" s="188" t="s">
        <v>14</v>
      </c>
      <c r="G260" s="188" t="s">
        <v>33</v>
      </c>
      <c r="H260" s="188">
        <v>1</v>
      </c>
      <c r="I260" s="393">
        <f>B260</f>
        <v>1.2E-2</v>
      </c>
      <c r="J260" s="188" t="s">
        <v>31</v>
      </c>
      <c r="K260" s="188" t="s">
        <v>31</v>
      </c>
      <c r="L260" s="188" t="s">
        <v>31</v>
      </c>
      <c r="M260" s="188" t="s">
        <v>31</v>
      </c>
      <c r="N260" s="188"/>
      <c r="O260" s="188"/>
      <c r="P260" s="448">
        <v>1.2E-2</v>
      </c>
      <c r="Q260" s="188"/>
      <c r="R260" s="188"/>
      <c r="S260" s="188"/>
      <c r="T260" s="188"/>
      <c r="U260" s="188"/>
    </row>
    <row r="261" spans="1:21">
      <c r="A261" s="323" t="s">
        <v>265</v>
      </c>
      <c r="B261" s="327">
        <f>R261</f>
        <v>0.11</v>
      </c>
      <c r="C261" s="188" t="s">
        <v>39</v>
      </c>
      <c r="D261" s="188" t="s">
        <v>40</v>
      </c>
      <c r="E261" s="188" t="s">
        <v>29</v>
      </c>
      <c r="F261" s="37" t="s">
        <v>35</v>
      </c>
      <c r="G261" s="188" t="s">
        <v>33</v>
      </c>
      <c r="H261" s="188">
        <v>2</v>
      </c>
      <c r="I261" s="188">
        <f t="shared" ref="I261:I265" si="20">LN(B261)</f>
        <v>-2.2072749131897207</v>
      </c>
      <c r="J261" s="188">
        <v>0.20928449536456342</v>
      </c>
      <c r="K261" s="188" t="s">
        <v>31</v>
      </c>
      <c r="L261" s="188" t="s">
        <v>31</v>
      </c>
      <c r="M261" s="188" t="s">
        <v>31</v>
      </c>
      <c r="N261" s="188"/>
      <c r="O261" s="361" t="s">
        <v>271</v>
      </c>
      <c r="P261" s="107">
        <v>0.11</v>
      </c>
      <c r="Q261" s="188" t="s">
        <v>271</v>
      </c>
      <c r="R261" s="327">
        <f>P261</f>
        <v>0.11</v>
      </c>
      <c r="S261" s="188"/>
      <c r="T261" s="188"/>
      <c r="U261" s="188"/>
    </row>
    <row r="262" spans="1:21">
      <c r="A262" s="84" t="s">
        <v>843</v>
      </c>
      <c r="B262" s="188">
        <f>R262</f>
        <v>3.3E-3</v>
      </c>
      <c r="C262" s="188" t="s">
        <v>37</v>
      </c>
      <c r="D262" s="188" t="s">
        <v>40</v>
      </c>
      <c r="E262" s="188" t="s">
        <v>29</v>
      </c>
      <c r="F262" s="37" t="s">
        <v>35</v>
      </c>
      <c r="G262" s="188" t="s">
        <v>33</v>
      </c>
      <c r="H262" s="188">
        <v>2</v>
      </c>
      <c r="I262" s="188">
        <f t="shared" si="20"/>
        <v>-5.7138328105097029</v>
      </c>
      <c r="J262" s="188">
        <v>0.20928449536456342</v>
      </c>
      <c r="K262" s="188" t="s">
        <v>31</v>
      </c>
      <c r="L262" s="188" t="s">
        <v>31</v>
      </c>
      <c r="M262" s="188" t="s">
        <v>31</v>
      </c>
      <c r="N262" s="188"/>
      <c r="O262" s="379" t="s">
        <v>857</v>
      </c>
      <c r="P262" s="107">
        <v>3.3</v>
      </c>
      <c r="Q262" s="188" t="s">
        <v>275</v>
      </c>
      <c r="R262" s="188">
        <f>0.001*P262</f>
        <v>3.3E-3</v>
      </c>
      <c r="S262" s="188"/>
      <c r="T262" s="188"/>
      <c r="U262" s="188"/>
    </row>
    <row r="263" spans="1:21">
      <c r="A263" s="84" t="s">
        <v>489</v>
      </c>
      <c r="B263" s="188">
        <f>R263</f>
        <v>5.0000000000000001E-4</v>
      </c>
      <c r="C263" s="188" t="s">
        <v>37</v>
      </c>
      <c r="D263" s="188" t="s">
        <v>40</v>
      </c>
      <c r="E263" s="188" t="s">
        <v>29</v>
      </c>
      <c r="F263" s="37" t="s">
        <v>59</v>
      </c>
      <c r="G263" s="188" t="s">
        <v>33</v>
      </c>
      <c r="H263" s="188">
        <v>2</v>
      </c>
      <c r="I263" s="188">
        <f t="shared" si="20"/>
        <v>-7.6009024595420822</v>
      </c>
      <c r="J263" s="188">
        <v>0.20928449536456342</v>
      </c>
      <c r="K263" s="188" t="s">
        <v>31</v>
      </c>
      <c r="L263" s="188" t="s">
        <v>31</v>
      </c>
      <c r="M263" s="188" t="s">
        <v>31</v>
      </c>
      <c r="N263" s="188"/>
      <c r="O263" s="379" t="s">
        <v>857</v>
      </c>
      <c r="P263" s="107">
        <v>0.5</v>
      </c>
      <c r="Q263" s="188" t="s">
        <v>275</v>
      </c>
      <c r="R263" s="188">
        <f>0.001*P263</f>
        <v>5.0000000000000001E-4</v>
      </c>
      <c r="S263" s="188"/>
      <c r="T263" s="188"/>
      <c r="U263" s="188"/>
    </row>
    <row r="264" spans="1:21">
      <c r="A264" s="323" t="s">
        <v>844</v>
      </c>
      <c r="B264" s="188">
        <f>R264</f>
        <v>1.6300000000000002E-2</v>
      </c>
      <c r="C264" s="188" t="s">
        <v>37</v>
      </c>
      <c r="D264" s="188" t="s">
        <v>40</v>
      </c>
      <c r="E264" s="188" t="s">
        <v>29</v>
      </c>
      <c r="F264" s="37" t="s">
        <v>74</v>
      </c>
      <c r="G264" s="188" t="s">
        <v>33</v>
      </c>
      <c r="H264" s="188">
        <v>2</v>
      </c>
      <c r="I264" s="188">
        <f t="shared" si="20"/>
        <v>-4.1165901711694204</v>
      </c>
      <c r="J264" s="188">
        <v>0.20928449536456342</v>
      </c>
      <c r="K264" s="188" t="s">
        <v>31</v>
      </c>
      <c r="L264" s="188" t="s">
        <v>31</v>
      </c>
      <c r="M264" s="188" t="s">
        <v>31</v>
      </c>
      <c r="N264" s="188"/>
      <c r="O264" s="379" t="s">
        <v>857</v>
      </c>
      <c r="P264" s="107">
        <v>16.3</v>
      </c>
      <c r="Q264" s="188" t="s">
        <v>275</v>
      </c>
      <c r="R264" s="188">
        <f>0.001*P264</f>
        <v>1.6300000000000002E-2</v>
      </c>
      <c r="S264" s="188"/>
      <c r="T264" s="188"/>
      <c r="U264" s="188"/>
    </row>
    <row r="265" spans="1:21">
      <c r="A265" s="188" t="s">
        <v>829</v>
      </c>
      <c r="B265" s="188">
        <f>R265</f>
        <v>3.8E-3</v>
      </c>
      <c r="C265" s="188" t="s">
        <v>37</v>
      </c>
      <c r="D265" s="386" t="s">
        <v>2</v>
      </c>
      <c r="E265" s="188" t="s">
        <v>29</v>
      </c>
      <c r="F265" s="37" t="s">
        <v>74</v>
      </c>
      <c r="G265" s="188" t="s">
        <v>33</v>
      </c>
      <c r="H265" s="188">
        <v>2</v>
      </c>
      <c r="I265" s="188">
        <f t="shared" si="20"/>
        <v>-5.5727542122497971</v>
      </c>
      <c r="J265" s="188">
        <v>0.20928449536456342</v>
      </c>
      <c r="K265" s="188" t="s">
        <v>31</v>
      </c>
      <c r="L265" s="188" t="s">
        <v>31</v>
      </c>
      <c r="M265" s="188" t="s">
        <v>31</v>
      </c>
      <c r="N265" s="188"/>
      <c r="O265" s="425" t="s">
        <v>857</v>
      </c>
      <c r="P265" s="123">
        <v>3.8</v>
      </c>
      <c r="Q265" s="188" t="s">
        <v>275</v>
      </c>
      <c r="R265" s="188">
        <f>0.001*P265</f>
        <v>3.8E-3</v>
      </c>
      <c r="S265" s="188"/>
      <c r="T265" s="188"/>
      <c r="U265" s="188"/>
    </row>
    <row r="266" spans="1:21" s="73" customFormat="1">
      <c r="A266" s="347" t="s">
        <v>5</v>
      </c>
      <c r="B266" s="348" t="s">
        <v>1263</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1264</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1.2E-2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1263</v>
      </c>
      <c r="B276" s="393">
        <f>P277</f>
        <v>1.2E-2</v>
      </c>
      <c r="C276" s="188" t="s">
        <v>853</v>
      </c>
      <c r="D276" s="386" t="s">
        <v>2</v>
      </c>
      <c r="E276" s="188" t="s">
        <v>29</v>
      </c>
      <c r="F276" s="188" t="s">
        <v>14</v>
      </c>
      <c r="G276" s="188" t="s">
        <v>30</v>
      </c>
      <c r="H276" s="188">
        <v>1</v>
      </c>
      <c r="I276" s="393">
        <f>B276</f>
        <v>1.2E-2</v>
      </c>
      <c r="J276" s="188" t="s">
        <v>31</v>
      </c>
      <c r="K276" s="188" t="s">
        <v>31</v>
      </c>
      <c r="L276" s="188" t="s">
        <v>31</v>
      </c>
      <c r="M276" s="188" t="s">
        <v>31</v>
      </c>
      <c r="N276" s="188"/>
      <c r="O276" s="188"/>
      <c r="P276" s="188"/>
      <c r="Q276" s="188"/>
      <c r="R276" s="188"/>
      <c r="S276" s="188"/>
      <c r="T276" s="188"/>
      <c r="U276" s="188"/>
    </row>
    <row r="277" spans="1:21">
      <c r="A277" s="188" t="s">
        <v>1265</v>
      </c>
      <c r="B277" s="393">
        <f>P277</f>
        <v>1.2E-2</v>
      </c>
      <c r="C277" s="188" t="s">
        <v>853</v>
      </c>
      <c r="D277" s="386" t="s">
        <v>2</v>
      </c>
      <c r="E277" s="188" t="s">
        <v>29</v>
      </c>
      <c r="F277" s="188" t="s">
        <v>14</v>
      </c>
      <c r="G277" s="188" t="s">
        <v>33</v>
      </c>
      <c r="H277" s="188">
        <v>1</v>
      </c>
      <c r="I277" s="393">
        <f>B277</f>
        <v>1.2E-2</v>
      </c>
      <c r="J277" s="188" t="s">
        <v>31</v>
      </c>
      <c r="K277" s="188" t="s">
        <v>31</v>
      </c>
      <c r="L277" s="188" t="s">
        <v>31</v>
      </c>
      <c r="M277" s="188" t="s">
        <v>31</v>
      </c>
      <c r="N277" s="188"/>
      <c r="O277" s="188"/>
      <c r="P277" s="448">
        <v>1.2E-2</v>
      </c>
      <c r="Q277" s="188"/>
      <c r="R277" s="188"/>
      <c r="S277" s="188"/>
      <c r="T277" s="188"/>
      <c r="U277" s="188"/>
    </row>
    <row r="278" spans="1:21">
      <c r="A278" s="323" t="s">
        <v>265</v>
      </c>
      <c r="B278" s="327">
        <f>P278</f>
        <v>2.29</v>
      </c>
      <c r="C278" s="188" t="s">
        <v>39</v>
      </c>
      <c r="D278" s="188" t="s">
        <v>40</v>
      </c>
      <c r="E278" s="188" t="s">
        <v>29</v>
      </c>
      <c r="F278" s="37" t="s">
        <v>35</v>
      </c>
      <c r="G278" s="188" t="s">
        <v>33</v>
      </c>
      <c r="H278" s="188">
        <v>2</v>
      </c>
      <c r="I278" s="188">
        <f t="shared" ref="I278:I279" si="21">LN(B278)</f>
        <v>0.82855181756614826</v>
      </c>
      <c r="J278" s="188">
        <v>0.20928449536456342</v>
      </c>
      <c r="K278" s="188" t="s">
        <v>31</v>
      </c>
      <c r="L278" s="188" t="s">
        <v>31</v>
      </c>
      <c r="M278" s="188" t="s">
        <v>31</v>
      </c>
      <c r="N278" s="188"/>
      <c r="O278" s="379" t="s">
        <v>271</v>
      </c>
      <c r="P278" s="392">
        <f>1.58+0.71</f>
        <v>2.29</v>
      </c>
      <c r="Q278" s="188"/>
      <c r="R278" s="188"/>
      <c r="S278" s="188"/>
      <c r="T278" s="188"/>
      <c r="U278" s="188"/>
    </row>
    <row r="279" spans="1:21">
      <c r="A279" s="323" t="s">
        <v>844</v>
      </c>
      <c r="B279" s="327">
        <f>R279</f>
        <v>4.5999999999999999E-3</v>
      </c>
      <c r="C279" s="188" t="s">
        <v>37</v>
      </c>
      <c r="D279" s="188" t="s">
        <v>40</v>
      </c>
      <c r="E279" s="188" t="s">
        <v>29</v>
      </c>
      <c r="F279" s="37" t="s">
        <v>74</v>
      </c>
      <c r="G279" s="188" t="s">
        <v>33</v>
      </c>
      <c r="H279" s="188">
        <v>2</v>
      </c>
      <c r="I279" s="188">
        <f t="shared" si="21"/>
        <v>-5.3816989754870876</v>
      </c>
      <c r="J279" s="188">
        <v>0.20928449536456342</v>
      </c>
      <c r="K279" s="188" t="s">
        <v>31</v>
      </c>
      <c r="L279" s="188" t="s">
        <v>31</v>
      </c>
      <c r="M279" s="188" t="s">
        <v>31</v>
      </c>
      <c r="N279" s="188"/>
      <c r="O279" s="379" t="s">
        <v>857</v>
      </c>
      <c r="P279" s="107">
        <v>4.5999999999999996</v>
      </c>
      <c r="Q279" s="188" t="s">
        <v>275</v>
      </c>
      <c r="R279" s="188">
        <f>P279*0.001</f>
        <v>4.5999999999999999E-3</v>
      </c>
      <c r="S279" s="188"/>
      <c r="T279" s="188"/>
      <c r="U279" s="188"/>
    </row>
    <row r="280" spans="1:21">
      <c r="A280" s="84" t="s">
        <v>987</v>
      </c>
      <c r="B280" s="327">
        <f>R280</f>
        <v>5.5999999999999999E-3</v>
      </c>
      <c r="C280" s="188" t="s">
        <v>37</v>
      </c>
      <c r="D280" s="188" t="s">
        <v>40</v>
      </c>
      <c r="E280" s="188" t="s">
        <v>29</v>
      </c>
      <c r="F280" s="188" t="s">
        <v>35</v>
      </c>
      <c r="G280" s="188" t="s">
        <v>33</v>
      </c>
      <c r="H280" s="188">
        <v>2</v>
      </c>
      <c r="I280" s="188">
        <f>LN(B280)</f>
        <v>-5.1849886812410331</v>
      </c>
      <c r="J280" s="188">
        <v>0.20928449536456342</v>
      </c>
      <c r="K280" s="188" t="s">
        <v>31</v>
      </c>
      <c r="L280" s="188" t="s">
        <v>31</v>
      </c>
      <c r="M280" s="188" t="s">
        <v>31</v>
      </c>
      <c r="N280" s="188"/>
      <c r="O280" s="379" t="s">
        <v>857</v>
      </c>
      <c r="P280" s="107">
        <v>5.6</v>
      </c>
      <c r="Q280" s="188" t="s">
        <v>275</v>
      </c>
      <c r="R280" s="188">
        <f>P280*0.001</f>
        <v>5.5999999999999999E-3</v>
      </c>
      <c r="S280" s="188"/>
      <c r="T280" s="188"/>
      <c r="U280" s="188"/>
    </row>
    <row r="281" spans="1:21">
      <c r="A281" s="188" t="s">
        <v>829</v>
      </c>
      <c r="B281" s="327">
        <f>R281</f>
        <v>5.5999999999999999E-3</v>
      </c>
      <c r="C281" s="188" t="s">
        <v>37</v>
      </c>
      <c r="D281" s="386" t="s">
        <v>2</v>
      </c>
      <c r="E281" s="188" t="s">
        <v>29</v>
      </c>
      <c r="F281" s="37" t="s">
        <v>74</v>
      </c>
      <c r="G281" s="188" t="s">
        <v>33</v>
      </c>
      <c r="H281" s="188">
        <v>2</v>
      </c>
      <c r="I281" s="188">
        <f t="shared" ref="I281" si="22">LN(B281)</f>
        <v>-5.1849886812410331</v>
      </c>
      <c r="J281" s="188">
        <v>0.20928449536456342</v>
      </c>
      <c r="K281" s="188" t="s">
        <v>31</v>
      </c>
      <c r="L281" s="188" t="s">
        <v>31</v>
      </c>
      <c r="M281" s="188" t="s">
        <v>31</v>
      </c>
      <c r="N281" s="188"/>
      <c r="O281" s="425" t="s">
        <v>857</v>
      </c>
      <c r="P281" s="123">
        <v>5.6</v>
      </c>
      <c r="Q281" s="188" t="s">
        <v>275</v>
      </c>
      <c r="R281" s="188">
        <f>0.001*P281</f>
        <v>5.5999999999999999E-3</v>
      </c>
      <c r="S281" s="188"/>
      <c r="T281" s="188"/>
      <c r="U281" s="188"/>
    </row>
    <row r="282" spans="1:21" s="73" customFormat="1">
      <c r="A282" s="347" t="s">
        <v>5</v>
      </c>
      <c r="B282" s="348" t="s">
        <v>1265</v>
      </c>
      <c r="C282" s="330"/>
      <c r="D282" s="330"/>
      <c r="E282" s="330"/>
      <c r="F282" s="330"/>
      <c r="G282" s="330"/>
      <c r="H282" s="330"/>
      <c r="I282" s="330"/>
      <c r="J282" s="330"/>
      <c r="K282" s="330"/>
      <c r="L282" s="330"/>
      <c r="M282" s="330"/>
      <c r="N282" s="330"/>
      <c r="O282" s="330"/>
      <c r="P282" s="415"/>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1266</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321" t="s">
        <v>937</v>
      </c>
      <c r="S288" s="188"/>
      <c r="T288" s="188"/>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938</v>
      </c>
      <c r="S289" s="188">
        <v>8900</v>
      </c>
      <c r="T289" s="188" t="s">
        <v>939</v>
      </c>
      <c r="U289" s="188"/>
    </row>
    <row r="290" spans="1:21">
      <c r="A290" s="320" t="s">
        <v>19</v>
      </c>
      <c r="B290" s="188"/>
      <c r="C290" s="188"/>
      <c r="D290" s="188"/>
      <c r="E290" s="188"/>
      <c r="F290" s="188"/>
      <c r="G290" s="188"/>
      <c r="H290" s="188"/>
      <c r="I290" s="188"/>
      <c r="J290" s="188"/>
      <c r="K290" s="188"/>
      <c r="L290" s="188"/>
      <c r="M290" s="188"/>
      <c r="N290" s="188"/>
      <c r="O290" s="188"/>
      <c r="P290" s="188"/>
      <c r="Q290" s="188"/>
      <c r="R290" s="188" t="s">
        <v>940</v>
      </c>
      <c r="S290" s="188">
        <f>5*10^-6</f>
        <v>4.9999999999999996E-6</v>
      </c>
      <c r="T290" s="188" t="s">
        <v>941</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405" t="s">
        <v>942</v>
      </c>
      <c r="S291" s="406">
        <f>S290*S289</f>
        <v>4.4499999999999998E-2</v>
      </c>
      <c r="T291" s="407" t="s">
        <v>943</v>
      </c>
      <c r="U291" s="188"/>
    </row>
    <row r="292" spans="1:21">
      <c r="A292" s="188" t="s">
        <v>1265</v>
      </c>
      <c r="B292" s="393">
        <v>0.02</v>
      </c>
      <c r="C292" s="188" t="s">
        <v>853</v>
      </c>
      <c r="D292" s="386" t="s">
        <v>2</v>
      </c>
      <c r="E292" s="188" t="s">
        <v>29</v>
      </c>
      <c r="F292" s="188" t="s">
        <v>14</v>
      </c>
      <c r="G292" s="188" t="s">
        <v>30</v>
      </c>
      <c r="H292" s="188">
        <v>1</v>
      </c>
      <c r="I292" s="393">
        <f>B292</f>
        <v>0.02</v>
      </c>
      <c r="J292" s="188" t="s">
        <v>31</v>
      </c>
      <c r="K292" s="188" t="s">
        <v>31</v>
      </c>
      <c r="L292" s="188" t="s">
        <v>31</v>
      </c>
      <c r="M292" s="188" t="s">
        <v>31</v>
      </c>
      <c r="N292" s="188"/>
      <c r="O292" s="379" t="s">
        <v>944</v>
      </c>
      <c r="P292" s="392">
        <f>B292*100</f>
        <v>2</v>
      </c>
      <c r="Q292" s="188"/>
      <c r="R292" s="188"/>
      <c r="S292" s="188"/>
      <c r="T292" s="188"/>
      <c r="U292" s="188"/>
    </row>
    <row r="293" spans="1:21">
      <c r="A293" s="188" t="s">
        <v>1267</v>
      </c>
      <c r="B293" s="393">
        <v>0.02</v>
      </c>
      <c r="C293" s="188" t="s">
        <v>853</v>
      </c>
      <c r="D293" s="386" t="s">
        <v>2</v>
      </c>
      <c r="E293" s="188" t="s">
        <v>29</v>
      </c>
      <c r="F293" s="188" t="s">
        <v>14</v>
      </c>
      <c r="G293" s="188" t="s">
        <v>33</v>
      </c>
      <c r="H293" s="188">
        <v>1</v>
      </c>
      <c r="I293" s="393">
        <f>B293</f>
        <v>0.02</v>
      </c>
      <c r="J293" s="188">
        <v>7.2284161474004766E-2</v>
      </c>
      <c r="K293" s="188" t="s">
        <v>31</v>
      </c>
      <c r="L293" s="188" t="s">
        <v>31</v>
      </c>
      <c r="M293" s="188" t="s">
        <v>31</v>
      </c>
      <c r="N293" s="188"/>
      <c r="O293" s="379" t="s">
        <v>944</v>
      </c>
      <c r="P293" s="392">
        <f>B293*100</f>
        <v>2</v>
      </c>
      <c r="Q293" s="188"/>
      <c r="R293" s="188" t="s">
        <v>945</v>
      </c>
      <c r="S293" s="188"/>
      <c r="T293" s="188"/>
      <c r="U293" s="388"/>
    </row>
    <row r="294" spans="1:21">
      <c r="A294" s="192" t="s">
        <v>1211</v>
      </c>
      <c r="B294" s="398">
        <f>T294</f>
        <v>2.5809999999999996E-2</v>
      </c>
      <c r="C294" s="188" t="s">
        <v>37</v>
      </c>
      <c r="D294" s="386" t="s">
        <v>2</v>
      </c>
      <c r="E294" s="188" t="s">
        <v>29</v>
      </c>
      <c r="F294" s="37" t="s">
        <v>14</v>
      </c>
      <c r="G294" s="188" t="s">
        <v>33</v>
      </c>
      <c r="H294" s="188">
        <v>1</v>
      </c>
      <c r="I294" s="393">
        <f>B294</f>
        <v>2.5809999999999996E-2</v>
      </c>
      <c r="J294" s="188">
        <v>7.2284161474004766E-2</v>
      </c>
      <c r="K294" s="188" t="s">
        <v>31</v>
      </c>
      <c r="L294" s="188" t="s">
        <v>31</v>
      </c>
      <c r="M294" s="188" t="s">
        <v>31</v>
      </c>
      <c r="N294" s="188"/>
      <c r="O294" s="410"/>
      <c r="P294" s="411"/>
      <c r="Q294" s="188"/>
      <c r="R294" s="408">
        <v>0.57999999999999996</v>
      </c>
      <c r="S294" s="409" t="s">
        <v>855</v>
      </c>
      <c r="T294" s="408">
        <f>R294*S291</f>
        <v>2.5809999999999996E-2</v>
      </c>
      <c r="U294" s="409" t="s">
        <v>275</v>
      </c>
    </row>
    <row r="295" spans="1:21">
      <c r="A295" s="323" t="s">
        <v>844</v>
      </c>
      <c r="B295" s="188">
        <f>P295</f>
        <v>4.7</v>
      </c>
      <c r="C295" s="188" t="s">
        <v>37</v>
      </c>
      <c r="D295" s="188" t="s">
        <v>40</v>
      </c>
      <c r="E295" s="188" t="s">
        <v>29</v>
      </c>
      <c r="F295" s="37" t="s">
        <v>74</v>
      </c>
      <c r="G295" s="188" t="s">
        <v>33</v>
      </c>
      <c r="H295" s="188">
        <v>2</v>
      </c>
      <c r="I295" s="188">
        <f t="shared" ref="I295" si="23">LN(B295)</f>
        <v>1.547562508716013</v>
      </c>
      <c r="J295" s="188">
        <v>7.2284161474004766E-2</v>
      </c>
      <c r="K295" s="188" t="s">
        <v>31</v>
      </c>
      <c r="L295" s="188" t="s">
        <v>31</v>
      </c>
      <c r="M295" s="188" t="s">
        <v>31</v>
      </c>
      <c r="N295" s="188"/>
      <c r="O295" s="379" t="s">
        <v>275</v>
      </c>
      <c r="P295" s="107">
        <v>4.7</v>
      </c>
      <c r="Q295" s="188"/>
      <c r="R295" s="188"/>
      <c r="S295" s="188"/>
      <c r="T295" s="188"/>
      <c r="U295" s="188"/>
    </row>
    <row r="296" spans="1:21">
      <c r="A296" s="84" t="s">
        <v>924</v>
      </c>
      <c r="B296" s="327">
        <f>R296</f>
        <v>2.0000000000000001E-4</v>
      </c>
      <c r="C296" s="188" t="s">
        <v>37</v>
      </c>
      <c r="D296" s="188" t="s">
        <v>40</v>
      </c>
      <c r="E296" s="188" t="s">
        <v>29</v>
      </c>
      <c r="F296" s="37" t="s">
        <v>59</v>
      </c>
      <c r="G296" s="188" t="s">
        <v>33</v>
      </c>
      <c r="H296" s="188">
        <v>2</v>
      </c>
      <c r="I296" s="188">
        <f>LN(B296)</f>
        <v>-8.5171931914162382</v>
      </c>
      <c r="J296" s="188">
        <v>7.2284161474004766E-2</v>
      </c>
      <c r="K296" s="188" t="s">
        <v>31</v>
      </c>
      <c r="L296" s="188" t="s">
        <v>31</v>
      </c>
      <c r="M296" s="188" t="s">
        <v>31</v>
      </c>
      <c r="N296" s="188"/>
      <c r="O296" s="394" t="s">
        <v>862</v>
      </c>
      <c r="P296" s="145">
        <v>0.2</v>
      </c>
      <c r="Q296" s="379" t="s">
        <v>275</v>
      </c>
      <c r="R296" s="188">
        <f>P296*0.001</f>
        <v>2.0000000000000001E-4</v>
      </c>
      <c r="S296" s="188"/>
      <c r="T296" s="188"/>
      <c r="U296" s="188"/>
    </row>
    <row r="297" spans="1:21">
      <c r="A297" s="84" t="s">
        <v>76</v>
      </c>
      <c r="B297" s="188">
        <f>R297</f>
        <v>4.7000000000000002E-3</v>
      </c>
      <c r="C297" s="188" t="s">
        <v>42</v>
      </c>
      <c r="D297" s="188" t="s">
        <v>40</v>
      </c>
      <c r="E297" s="188" t="s">
        <v>29</v>
      </c>
      <c r="F297" s="37" t="s">
        <v>74</v>
      </c>
      <c r="G297" s="188" t="s">
        <v>33</v>
      </c>
      <c r="H297" s="188">
        <v>2</v>
      </c>
      <c r="I297" s="188">
        <f t="shared" ref="I297" si="24">LN(B297)</f>
        <v>-5.3601927702661243</v>
      </c>
      <c r="J297" s="188">
        <v>7.2284161474004766E-2</v>
      </c>
      <c r="K297" s="188" t="s">
        <v>31</v>
      </c>
      <c r="L297" s="188" t="s">
        <v>31</v>
      </c>
      <c r="M297" s="188" t="s">
        <v>31</v>
      </c>
      <c r="N297" s="188"/>
      <c r="O297" s="396" t="s">
        <v>913</v>
      </c>
      <c r="P297" s="123">
        <v>4.7</v>
      </c>
      <c r="Q297" s="188" t="s">
        <v>274</v>
      </c>
      <c r="R297" s="188">
        <f>P297*0.001</f>
        <v>4.7000000000000002E-3</v>
      </c>
      <c r="S297" s="188"/>
      <c r="T297" s="188"/>
      <c r="U297" s="188"/>
    </row>
    <row r="298" spans="1:21" s="73" customFormat="1">
      <c r="A298" s="347" t="s">
        <v>5</v>
      </c>
      <c r="B298" s="348" t="s">
        <v>1267</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1268</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1.2E-2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1267</v>
      </c>
      <c r="B308" s="393">
        <f t="shared" ref="B308:B318" si="25">P308</f>
        <v>1.2E-2</v>
      </c>
      <c r="C308" s="188" t="s">
        <v>853</v>
      </c>
      <c r="D308" s="386" t="s">
        <v>2</v>
      </c>
      <c r="E308" s="188" t="s">
        <v>29</v>
      </c>
      <c r="F308" s="188" t="s">
        <v>14</v>
      </c>
      <c r="G308" s="188" t="s">
        <v>30</v>
      </c>
      <c r="H308" s="188">
        <v>1</v>
      </c>
      <c r="I308" s="393">
        <f>B308</f>
        <v>1.2E-2</v>
      </c>
      <c r="J308" s="188" t="s">
        <v>31</v>
      </c>
      <c r="K308" s="188" t="s">
        <v>31</v>
      </c>
      <c r="L308" s="188" t="s">
        <v>31</v>
      </c>
      <c r="M308" s="188" t="s">
        <v>31</v>
      </c>
      <c r="N308" s="188"/>
      <c r="O308" s="188"/>
      <c r="P308" s="447">
        <v>1.2E-2</v>
      </c>
      <c r="Q308" s="188"/>
      <c r="R308" s="188"/>
      <c r="S308" s="188"/>
      <c r="T308" s="188"/>
      <c r="U308" s="188"/>
    </row>
    <row r="309" spans="1:21">
      <c r="A309" s="188" t="s">
        <v>1269</v>
      </c>
      <c r="B309" s="393">
        <f t="shared" si="25"/>
        <v>1.2E-2</v>
      </c>
      <c r="C309" s="188" t="s">
        <v>853</v>
      </c>
      <c r="D309" s="386" t="s">
        <v>2</v>
      </c>
      <c r="E309" s="188" t="s">
        <v>29</v>
      </c>
      <c r="F309" s="188" t="s">
        <v>14</v>
      </c>
      <c r="G309" s="188" t="s">
        <v>33</v>
      </c>
      <c r="H309" s="188">
        <v>1</v>
      </c>
      <c r="I309" s="393">
        <f>B309</f>
        <v>1.2E-2</v>
      </c>
      <c r="J309" s="188" t="s">
        <v>31</v>
      </c>
      <c r="K309" s="188" t="s">
        <v>31</v>
      </c>
      <c r="L309" s="188" t="s">
        <v>31</v>
      </c>
      <c r="M309" s="188" t="s">
        <v>31</v>
      </c>
      <c r="N309" s="188"/>
      <c r="O309" s="188"/>
      <c r="P309" s="447">
        <v>1.2E-2</v>
      </c>
      <c r="Q309" s="188"/>
      <c r="R309" s="188"/>
      <c r="S309" s="188"/>
      <c r="T309" s="188"/>
      <c r="U309" s="188"/>
    </row>
    <row r="310" spans="1:21">
      <c r="A310" s="323" t="s">
        <v>265</v>
      </c>
      <c r="B310" s="327">
        <f t="shared" si="25"/>
        <v>0.16</v>
      </c>
      <c r="C310" s="188" t="s">
        <v>39</v>
      </c>
      <c r="D310" s="188" t="s">
        <v>40</v>
      </c>
      <c r="E310" s="188" t="s">
        <v>29</v>
      </c>
      <c r="F310" s="37" t="s">
        <v>35</v>
      </c>
      <c r="G310" s="188" t="s">
        <v>33</v>
      </c>
      <c r="H310" s="188">
        <v>2</v>
      </c>
      <c r="I310" s="188">
        <f t="shared" ref="I310" si="26">LN(B310)</f>
        <v>-1.8325814637483102</v>
      </c>
      <c r="J310" s="188">
        <v>0.22500000000000006</v>
      </c>
      <c r="K310" s="188" t="s">
        <v>31</v>
      </c>
      <c r="L310" s="188" t="s">
        <v>31</v>
      </c>
      <c r="M310" s="188" t="s">
        <v>31</v>
      </c>
      <c r="N310" s="188"/>
      <c r="O310" s="379" t="s">
        <v>271</v>
      </c>
      <c r="P310" s="392">
        <v>0.16</v>
      </c>
      <c r="Q310" s="188"/>
      <c r="R310" s="188"/>
      <c r="S310" s="188"/>
      <c r="T310" s="188"/>
      <c r="U310" s="188"/>
    </row>
    <row r="311" spans="1:21">
      <c r="A311" s="84" t="s">
        <v>731</v>
      </c>
      <c r="B311" s="393">
        <f t="shared" si="25"/>
        <v>7.1999999999999998E-3</v>
      </c>
      <c r="C311" s="188" t="s">
        <v>37</v>
      </c>
      <c r="D311" s="188" t="s">
        <v>40</v>
      </c>
      <c r="E311" s="188" t="s">
        <v>29</v>
      </c>
      <c r="F311" s="188" t="s">
        <v>35</v>
      </c>
      <c r="G311" s="188" t="s">
        <v>33</v>
      </c>
      <c r="H311" s="188">
        <v>2</v>
      </c>
      <c r="I311" s="188">
        <f>LN(B311)</f>
        <v>-4.9336742529601274</v>
      </c>
      <c r="J311" s="188">
        <v>0.22500000000000006</v>
      </c>
      <c r="K311" s="188" t="s">
        <v>31</v>
      </c>
      <c r="L311" s="188" t="s">
        <v>31</v>
      </c>
      <c r="M311" s="188" t="s">
        <v>31</v>
      </c>
      <c r="N311" s="188"/>
      <c r="O311" s="379" t="s">
        <v>275</v>
      </c>
      <c r="P311" s="430">
        <v>7.1999999999999998E-3</v>
      </c>
      <c r="Q311" s="188"/>
      <c r="R311" s="188"/>
      <c r="S311" s="188"/>
      <c r="T311" s="188"/>
      <c r="U311" s="188"/>
    </row>
    <row r="312" spans="1:21">
      <c r="A312" s="188" t="s">
        <v>1012</v>
      </c>
      <c r="B312" s="393">
        <f t="shared" si="25"/>
        <v>1.55E-2</v>
      </c>
      <c r="C312" s="188" t="s">
        <v>37</v>
      </c>
      <c r="D312" s="188" t="s">
        <v>40</v>
      </c>
      <c r="E312" s="188" t="s">
        <v>29</v>
      </c>
      <c r="F312" s="188" t="s">
        <v>59</v>
      </c>
      <c r="G312" s="188" t="s">
        <v>33</v>
      </c>
      <c r="H312" s="188">
        <v>2</v>
      </c>
      <c r="I312" s="188">
        <f t="shared" ref="I312:I318" si="27">LN(B312)</f>
        <v>-4.1669152550569359</v>
      </c>
      <c r="J312" s="188">
        <v>0.22500000000000006</v>
      </c>
      <c r="K312" s="188" t="s">
        <v>31</v>
      </c>
      <c r="L312" s="188" t="s">
        <v>31</v>
      </c>
      <c r="M312" s="188" t="s">
        <v>31</v>
      </c>
      <c r="N312" s="188"/>
      <c r="O312" s="379" t="s">
        <v>275</v>
      </c>
      <c r="P312" s="430">
        <v>1.55E-2</v>
      </c>
      <c r="Q312" s="188"/>
      <c r="R312" s="188"/>
      <c r="S312" s="188"/>
      <c r="T312" s="188"/>
      <c r="U312" s="188"/>
    </row>
    <row r="313" spans="1:21">
      <c r="A313" s="84" t="s">
        <v>987</v>
      </c>
      <c r="B313" s="393">
        <f t="shared" si="25"/>
        <v>7.1999999999999998E-3</v>
      </c>
      <c r="C313" s="188" t="s">
        <v>37</v>
      </c>
      <c r="D313" s="188" t="s">
        <v>40</v>
      </c>
      <c r="E313" s="188" t="s">
        <v>29</v>
      </c>
      <c r="F313" s="188" t="s">
        <v>35</v>
      </c>
      <c r="G313" s="188" t="s">
        <v>33</v>
      </c>
      <c r="H313" s="188">
        <v>2</v>
      </c>
      <c r="I313" s="188">
        <f t="shared" si="27"/>
        <v>-4.9336742529601274</v>
      </c>
      <c r="J313" s="188">
        <v>0.22500000000000006</v>
      </c>
      <c r="K313" s="188" t="s">
        <v>31</v>
      </c>
      <c r="L313" s="188" t="s">
        <v>31</v>
      </c>
      <c r="M313" s="188" t="s">
        <v>31</v>
      </c>
      <c r="N313" s="188"/>
      <c r="O313" s="379" t="s">
        <v>275</v>
      </c>
      <c r="P313" s="430">
        <v>7.1999999999999998E-3</v>
      </c>
      <c r="Q313" s="188"/>
      <c r="R313" s="188"/>
      <c r="S313" s="188"/>
      <c r="T313" s="188"/>
      <c r="U313" s="188"/>
    </row>
    <row r="314" spans="1:21">
      <c r="A314" s="84" t="s">
        <v>1013</v>
      </c>
      <c r="B314" s="393">
        <f t="shared" si="25"/>
        <v>5.4000000000000003E-3</v>
      </c>
      <c r="C314" s="188" t="s">
        <v>37</v>
      </c>
      <c r="D314" s="188" t="s">
        <v>40</v>
      </c>
      <c r="E314" s="188" t="s">
        <v>29</v>
      </c>
      <c r="F314" s="188" t="s">
        <v>59</v>
      </c>
      <c r="G314" s="188" t="s">
        <v>33</v>
      </c>
      <c r="H314" s="188">
        <v>2</v>
      </c>
      <c r="I314" s="188">
        <f t="shared" si="27"/>
        <v>-5.2213563254119082</v>
      </c>
      <c r="J314" s="188">
        <v>0.22500000000000006</v>
      </c>
      <c r="K314" s="188" t="s">
        <v>31</v>
      </c>
      <c r="L314" s="188" t="s">
        <v>31</v>
      </c>
      <c r="M314" s="188" t="s">
        <v>31</v>
      </c>
      <c r="N314" s="188"/>
      <c r="O314" s="379" t="s">
        <v>275</v>
      </c>
      <c r="P314" s="430">
        <v>5.4000000000000003E-3</v>
      </c>
      <c r="Q314" s="188"/>
      <c r="R314" s="188"/>
      <c r="S314" s="188"/>
      <c r="T314" s="188"/>
      <c r="U314" s="188"/>
    </row>
    <row r="315" spans="1:21">
      <c r="A315" s="84" t="s">
        <v>1014</v>
      </c>
      <c r="B315" s="393">
        <f t="shared" si="25"/>
        <v>1.55E-2</v>
      </c>
      <c r="C315" s="188" t="s">
        <v>37</v>
      </c>
      <c r="D315" s="188" t="s">
        <v>40</v>
      </c>
      <c r="E315" s="188" t="s">
        <v>29</v>
      </c>
      <c r="F315" s="188" t="s">
        <v>59</v>
      </c>
      <c r="G315" s="188" t="s">
        <v>33</v>
      </c>
      <c r="H315" s="188">
        <v>2</v>
      </c>
      <c r="I315" s="188">
        <f t="shared" si="27"/>
        <v>-4.1669152550569359</v>
      </c>
      <c r="J315" s="188">
        <v>0.22500000000000006</v>
      </c>
      <c r="K315" s="188" t="s">
        <v>31</v>
      </c>
      <c r="L315" s="188" t="s">
        <v>31</v>
      </c>
      <c r="M315" s="188" t="s">
        <v>31</v>
      </c>
      <c r="N315" s="188"/>
      <c r="O315" s="379" t="s">
        <v>275</v>
      </c>
      <c r="P315" s="430">
        <v>1.55E-2</v>
      </c>
      <c r="Q315" s="188"/>
      <c r="R315" s="188"/>
      <c r="S315" s="188"/>
      <c r="T315" s="188"/>
      <c r="U315" s="188"/>
    </row>
    <row r="316" spans="1:21">
      <c r="A316" s="323" t="s">
        <v>844</v>
      </c>
      <c r="B316" s="393">
        <f t="shared" si="25"/>
        <v>0.28599999999999998</v>
      </c>
      <c r="C316" s="188" t="s">
        <v>37</v>
      </c>
      <c r="D316" s="188" t="s">
        <v>40</v>
      </c>
      <c r="E316" s="188" t="s">
        <v>29</v>
      </c>
      <c r="F316" s="37" t="s">
        <v>74</v>
      </c>
      <c r="G316" s="188" t="s">
        <v>33</v>
      </c>
      <c r="H316" s="188">
        <v>2</v>
      </c>
      <c r="I316" s="188">
        <f t="shared" si="27"/>
        <v>-1.2517634681622845</v>
      </c>
      <c r="J316" s="188">
        <v>0.22500000000000006</v>
      </c>
      <c r="K316" s="188" t="s">
        <v>31</v>
      </c>
      <c r="L316" s="188" t="s">
        <v>31</v>
      </c>
      <c r="M316" s="188" t="s">
        <v>31</v>
      </c>
      <c r="N316" s="188"/>
      <c r="O316" s="379" t="s">
        <v>275</v>
      </c>
      <c r="P316" s="430">
        <v>0.28599999999999998</v>
      </c>
      <c r="Q316" s="188"/>
      <c r="R316" s="188"/>
      <c r="S316" s="188"/>
      <c r="T316" s="188"/>
      <c r="U316" s="188"/>
    </row>
    <row r="317" spans="1:21">
      <c r="A317" s="84" t="s">
        <v>807</v>
      </c>
      <c r="B317" s="393">
        <f t="shared" si="25"/>
        <v>2.7000000000000001E-3</v>
      </c>
      <c r="C317" s="188" t="s">
        <v>37</v>
      </c>
      <c r="D317" s="188" t="s">
        <v>43</v>
      </c>
      <c r="E317" s="188" t="s">
        <v>44</v>
      </c>
      <c r="F317" s="188" t="s">
        <v>29</v>
      </c>
      <c r="G317" s="188" t="s">
        <v>45</v>
      </c>
      <c r="H317" s="188">
        <v>2</v>
      </c>
      <c r="I317" s="188">
        <f t="shared" si="27"/>
        <v>-5.9145035059718536</v>
      </c>
      <c r="J317" s="188">
        <v>0.22500000000000006</v>
      </c>
      <c r="K317" s="188" t="s">
        <v>31</v>
      </c>
      <c r="L317" s="188" t="s">
        <v>31</v>
      </c>
      <c r="M317" s="188" t="s">
        <v>31</v>
      </c>
      <c r="N317" s="188"/>
      <c r="O317" s="394" t="s">
        <v>275</v>
      </c>
      <c r="P317" s="395">
        <v>2.7000000000000001E-3</v>
      </c>
      <c r="Q317" s="188"/>
      <c r="R317" s="188"/>
      <c r="S317" s="188"/>
      <c r="T317" s="188"/>
      <c r="U317" s="188"/>
    </row>
    <row r="318" spans="1:21">
      <c r="A318" s="188" t="s">
        <v>829</v>
      </c>
      <c r="B318" s="393">
        <f t="shared" si="25"/>
        <v>5.0999999999999997E-2</v>
      </c>
      <c r="C318" s="188" t="s">
        <v>37</v>
      </c>
      <c r="D318" s="386" t="s">
        <v>2</v>
      </c>
      <c r="E318" s="188" t="s">
        <v>29</v>
      </c>
      <c r="F318" s="37" t="s">
        <v>74</v>
      </c>
      <c r="G318" s="188" t="s">
        <v>33</v>
      </c>
      <c r="H318" s="188">
        <v>2</v>
      </c>
      <c r="I318" s="188">
        <f t="shared" si="27"/>
        <v>-2.9759296462578115</v>
      </c>
      <c r="J318" s="188">
        <v>0.22500000000000006</v>
      </c>
      <c r="K318" s="188" t="s">
        <v>31</v>
      </c>
      <c r="L318" s="188" t="s">
        <v>31</v>
      </c>
      <c r="M318" s="188" t="s">
        <v>31</v>
      </c>
      <c r="N318" s="188"/>
      <c r="O318" s="396" t="s">
        <v>275</v>
      </c>
      <c r="P318" s="431">
        <v>5.0999999999999997E-2</v>
      </c>
      <c r="Q318" s="188"/>
      <c r="R318" s="188"/>
      <c r="S318" s="188"/>
      <c r="T318" s="188"/>
      <c r="U318" s="188"/>
    </row>
    <row r="319" spans="1:21" s="73" customFormat="1">
      <c r="A319" s="347" t="s">
        <v>5</v>
      </c>
      <c r="B319" s="348" t="s">
        <v>1269</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1270</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1.2E-2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1269</v>
      </c>
      <c r="B329" s="393">
        <f>P330</f>
        <v>1.2E-2</v>
      </c>
      <c r="C329" s="188" t="s">
        <v>853</v>
      </c>
      <c r="D329" s="386" t="s">
        <v>2</v>
      </c>
      <c r="E329" s="188" t="s">
        <v>29</v>
      </c>
      <c r="F329" s="188" t="s">
        <v>14</v>
      </c>
      <c r="G329" s="188" t="s">
        <v>30</v>
      </c>
      <c r="H329" s="188">
        <v>1</v>
      </c>
      <c r="I329" s="393">
        <f>B329</f>
        <v>1.2E-2</v>
      </c>
      <c r="J329" s="188" t="s">
        <v>31</v>
      </c>
      <c r="K329" s="188" t="s">
        <v>31</v>
      </c>
      <c r="L329" s="188" t="s">
        <v>31</v>
      </c>
      <c r="M329" s="188" t="s">
        <v>31</v>
      </c>
      <c r="N329" s="188"/>
      <c r="O329" s="188"/>
      <c r="P329" s="188"/>
      <c r="Q329" s="188"/>
      <c r="R329" s="188"/>
      <c r="S329" s="188"/>
      <c r="T329" s="188"/>
      <c r="U329" s="188"/>
    </row>
    <row r="330" spans="1:21">
      <c r="A330" s="192" t="s">
        <v>1271</v>
      </c>
      <c r="B330" s="393">
        <f>P330</f>
        <v>1.2E-2</v>
      </c>
      <c r="C330" s="188" t="s">
        <v>853</v>
      </c>
      <c r="D330" s="386" t="s">
        <v>2</v>
      </c>
      <c r="E330" s="188" t="s">
        <v>29</v>
      </c>
      <c r="F330" s="188" t="s">
        <v>14</v>
      </c>
      <c r="G330" s="188" t="s">
        <v>33</v>
      </c>
      <c r="H330" s="188">
        <v>1</v>
      </c>
      <c r="I330" s="393">
        <f>B330</f>
        <v>1.2E-2</v>
      </c>
      <c r="J330" s="188">
        <v>2.8722813232690055E-2</v>
      </c>
      <c r="K330" s="188" t="s">
        <v>31</v>
      </c>
      <c r="L330" s="188" t="s">
        <v>31</v>
      </c>
      <c r="M330" s="188" t="s">
        <v>31</v>
      </c>
      <c r="N330" s="188"/>
      <c r="O330" s="374" t="s">
        <v>873</v>
      </c>
      <c r="P330" s="432">
        <v>1.2E-2</v>
      </c>
      <c r="Q330" s="188"/>
      <c r="R330" s="188"/>
      <c r="S330" s="188"/>
      <c r="T330" s="188"/>
      <c r="U330" s="188"/>
    </row>
    <row r="331" spans="1:21">
      <c r="A331" s="192" t="s">
        <v>1214</v>
      </c>
      <c r="B331" s="188">
        <f>R331</f>
        <v>0.124</v>
      </c>
      <c r="C331" s="188" t="s">
        <v>275</v>
      </c>
      <c r="D331" s="386" t="s">
        <v>2</v>
      </c>
      <c r="E331" s="188" t="s">
        <v>29</v>
      </c>
      <c r="F331" s="188" t="s">
        <v>14</v>
      </c>
      <c r="G331" s="188" t="s">
        <v>33</v>
      </c>
      <c r="H331" s="188">
        <v>1</v>
      </c>
      <c r="I331" s="393">
        <f>B331</f>
        <v>0.124</v>
      </c>
      <c r="J331" s="188">
        <v>2.8722813232690055E-2</v>
      </c>
      <c r="K331" s="188" t="s">
        <v>31</v>
      </c>
      <c r="L331" s="188" t="s">
        <v>31</v>
      </c>
      <c r="M331" s="188" t="s">
        <v>31</v>
      </c>
      <c r="N331" s="188"/>
      <c r="O331" s="374" t="s">
        <v>857</v>
      </c>
      <c r="P331" s="433">
        <v>124</v>
      </c>
      <c r="Q331" s="188" t="s">
        <v>275</v>
      </c>
      <c r="R331" s="188">
        <f>P331*0.001</f>
        <v>0.124</v>
      </c>
      <c r="S331" s="188"/>
      <c r="T331" s="188"/>
      <c r="U331" s="188"/>
    </row>
    <row r="332" spans="1:21">
      <c r="A332" s="323" t="s">
        <v>265</v>
      </c>
      <c r="B332" s="327">
        <f>P332</f>
        <v>0.01</v>
      </c>
      <c r="C332" s="188" t="s">
        <v>39</v>
      </c>
      <c r="D332" s="188" t="s">
        <v>40</v>
      </c>
      <c r="E332" s="188" t="s">
        <v>29</v>
      </c>
      <c r="F332" s="37" t="s">
        <v>35</v>
      </c>
      <c r="G332" s="188" t="s">
        <v>33</v>
      </c>
      <c r="H332" s="188">
        <v>2</v>
      </c>
      <c r="I332" s="188">
        <f t="shared" ref="I332:I334" si="28">LN(B332)</f>
        <v>-4.6051701859880909</v>
      </c>
      <c r="J332" s="188">
        <v>0.20928449536456342</v>
      </c>
      <c r="K332" s="188" t="s">
        <v>31</v>
      </c>
      <c r="L332" s="188" t="s">
        <v>31</v>
      </c>
      <c r="M332" s="188" t="s">
        <v>31</v>
      </c>
      <c r="N332" s="188"/>
      <c r="O332" s="379" t="s">
        <v>271</v>
      </c>
      <c r="P332" s="153">
        <v>0.01</v>
      </c>
      <c r="Q332" s="188"/>
      <c r="R332" s="188"/>
      <c r="S332" s="188"/>
      <c r="T332" s="188"/>
      <c r="U332" s="188"/>
    </row>
    <row r="333" spans="1:21">
      <c r="A333" s="323" t="s">
        <v>265</v>
      </c>
      <c r="B333" s="327">
        <f>P333</f>
        <v>0.7</v>
      </c>
      <c r="C333" s="188" t="s">
        <v>39</v>
      </c>
      <c r="D333" s="188" t="s">
        <v>40</v>
      </c>
      <c r="E333" s="188" t="s">
        <v>29</v>
      </c>
      <c r="F333" s="37" t="s">
        <v>35</v>
      </c>
      <c r="G333" s="188" t="s">
        <v>33</v>
      </c>
      <c r="H333" s="188">
        <v>2</v>
      </c>
      <c r="I333" s="188">
        <f t="shared" si="28"/>
        <v>-0.35667494393873245</v>
      </c>
      <c r="J333" s="188">
        <v>0.20928449536456342</v>
      </c>
      <c r="K333" s="188" t="s">
        <v>31</v>
      </c>
      <c r="L333" s="188" t="s">
        <v>31</v>
      </c>
      <c r="M333" s="188" t="s">
        <v>31</v>
      </c>
      <c r="N333" s="188"/>
      <c r="O333" s="379" t="s">
        <v>271</v>
      </c>
      <c r="P333" s="107">
        <v>0.7</v>
      </c>
      <c r="Q333" s="188"/>
      <c r="R333" s="188"/>
      <c r="S333" s="188"/>
      <c r="T333" s="188"/>
      <c r="U333" s="188"/>
    </row>
    <row r="334" spans="1:21">
      <c r="A334" s="323" t="s">
        <v>265</v>
      </c>
      <c r="B334" s="327">
        <f>P334</f>
        <v>0.18</v>
      </c>
      <c r="C334" s="188" t="s">
        <v>39</v>
      </c>
      <c r="D334" s="188" t="s">
        <v>40</v>
      </c>
      <c r="E334" s="188" t="s">
        <v>29</v>
      </c>
      <c r="F334" s="37" t="s">
        <v>35</v>
      </c>
      <c r="G334" s="188" t="s">
        <v>33</v>
      </c>
      <c r="H334" s="188">
        <v>2</v>
      </c>
      <c r="I334" s="188">
        <f t="shared" si="28"/>
        <v>-1.7147984280919266</v>
      </c>
      <c r="J334" s="188">
        <v>9.6436507609929598E-2</v>
      </c>
      <c r="K334" s="188" t="s">
        <v>31</v>
      </c>
      <c r="L334" s="188" t="s">
        <v>31</v>
      </c>
      <c r="M334" s="188" t="s">
        <v>31</v>
      </c>
      <c r="N334" s="188"/>
      <c r="O334" s="379" t="s">
        <v>271</v>
      </c>
      <c r="P334" s="107">
        <v>0.18</v>
      </c>
      <c r="Q334" s="188"/>
      <c r="R334" s="188"/>
      <c r="S334" s="188"/>
      <c r="T334" s="188"/>
      <c r="U334" s="188"/>
    </row>
    <row r="335" spans="1:21">
      <c r="A335" s="84" t="s">
        <v>731</v>
      </c>
      <c r="B335" s="393">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379" t="s">
        <v>857</v>
      </c>
      <c r="P335" s="107">
        <v>1</v>
      </c>
      <c r="Q335" s="188" t="s">
        <v>275</v>
      </c>
      <c r="R335" s="188">
        <f>P335*0.001</f>
        <v>1E-3</v>
      </c>
      <c r="S335" s="188"/>
      <c r="T335" s="188"/>
      <c r="U335" s="188"/>
    </row>
    <row r="336" spans="1:21">
      <c r="A336" s="323" t="s">
        <v>844</v>
      </c>
      <c r="B336" s="393">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379" t="s">
        <v>275</v>
      </c>
      <c r="P336" s="153">
        <v>0.01</v>
      </c>
      <c r="Q336" s="188"/>
      <c r="R336" s="188"/>
      <c r="S336" s="188"/>
      <c r="T336" s="188"/>
      <c r="U336" s="188"/>
    </row>
    <row r="337" spans="1:21">
      <c r="A337" s="84" t="s">
        <v>481</v>
      </c>
      <c r="B337" s="419">
        <f>R337</f>
        <v>1.8000000000000002E-3</v>
      </c>
      <c r="C337" s="188" t="s">
        <v>37</v>
      </c>
      <c r="D337" s="188" t="s">
        <v>40</v>
      </c>
      <c r="E337" s="188" t="s">
        <v>29</v>
      </c>
      <c r="F337" s="37" t="s">
        <v>82</v>
      </c>
      <c r="G337" s="188" t="s">
        <v>33</v>
      </c>
      <c r="H337" s="188">
        <v>2</v>
      </c>
      <c r="I337" s="188">
        <f>LN(B337)</f>
        <v>-6.3199686140800182</v>
      </c>
      <c r="J337" s="188">
        <v>0.20928449536456342</v>
      </c>
      <c r="K337" s="188" t="s">
        <v>31</v>
      </c>
      <c r="L337" s="188" t="s">
        <v>31</v>
      </c>
      <c r="M337" s="188" t="s">
        <v>31</v>
      </c>
      <c r="N337" s="188"/>
      <c r="O337" s="379" t="s">
        <v>857</v>
      </c>
      <c r="P337" s="107">
        <v>1.8</v>
      </c>
      <c r="Q337" s="188" t="s">
        <v>275</v>
      </c>
      <c r="R337" s="188">
        <f>P337*0.001</f>
        <v>1.8000000000000002E-3</v>
      </c>
      <c r="S337" s="188"/>
      <c r="T337" s="188"/>
      <c r="U337" s="188"/>
    </row>
    <row r="338" spans="1:21">
      <c r="A338" s="84" t="s">
        <v>987</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379" t="s">
        <v>857</v>
      </c>
      <c r="P338" s="107">
        <v>3</v>
      </c>
      <c r="Q338" s="188" t="s">
        <v>275</v>
      </c>
      <c r="R338" s="188">
        <f>P338*0.001</f>
        <v>3.0000000000000001E-3</v>
      </c>
      <c r="S338" s="188"/>
      <c r="T338" s="188"/>
      <c r="U338" s="188"/>
    </row>
    <row r="339" spans="1:21">
      <c r="A339" s="323" t="s">
        <v>845</v>
      </c>
      <c r="B339" s="188">
        <f>P339</f>
        <v>2.1</v>
      </c>
      <c r="C339" s="188" t="s">
        <v>37</v>
      </c>
      <c r="D339" s="188" t="s">
        <v>40</v>
      </c>
      <c r="E339" s="188" t="s">
        <v>29</v>
      </c>
      <c r="F339" s="37" t="s">
        <v>35</v>
      </c>
      <c r="G339" s="188" t="s">
        <v>33</v>
      </c>
      <c r="H339" s="188">
        <v>2</v>
      </c>
      <c r="I339" s="188">
        <f t="shared" ref="I339:I340" si="29">LN(B339)</f>
        <v>0.74193734472937733</v>
      </c>
      <c r="J339" s="188">
        <v>0.20928449536456342</v>
      </c>
      <c r="K339" s="188" t="s">
        <v>31</v>
      </c>
      <c r="L339" s="188" t="s">
        <v>31</v>
      </c>
      <c r="M339" s="188" t="s">
        <v>31</v>
      </c>
      <c r="N339" s="188"/>
      <c r="O339" s="379" t="s">
        <v>275</v>
      </c>
      <c r="P339" s="107">
        <v>2.1</v>
      </c>
      <c r="Q339" s="188"/>
      <c r="R339" s="188"/>
      <c r="S339" s="188"/>
      <c r="T339" s="188"/>
      <c r="U339" s="188"/>
    </row>
    <row r="340" spans="1:21">
      <c r="A340" s="188" t="s">
        <v>829</v>
      </c>
      <c r="B340" s="393">
        <f>P340</f>
        <v>6.0000000000000001E-3</v>
      </c>
      <c r="C340" s="188" t="s">
        <v>37</v>
      </c>
      <c r="D340" s="386" t="s">
        <v>2</v>
      </c>
      <c r="E340" s="188" t="s">
        <v>29</v>
      </c>
      <c r="F340" s="37" t="s">
        <v>74</v>
      </c>
      <c r="G340" s="188" t="s">
        <v>33</v>
      </c>
      <c r="H340" s="188">
        <v>2</v>
      </c>
      <c r="I340" s="188">
        <f t="shared" si="29"/>
        <v>-5.1159958097540823</v>
      </c>
      <c r="J340" s="188">
        <v>0.20928449536456342</v>
      </c>
      <c r="K340" s="188" t="s">
        <v>31</v>
      </c>
      <c r="L340" s="188" t="s">
        <v>31</v>
      </c>
      <c r="M340" s="188" t="s">
        <v>31</v>
      </c>
      <c r="N340" s="188"/>
      <c r="O340" s="396" t="s">
        <v>275</v>
      </c>
      <c r="P340" s="152">
        <v>6.0000000000000001E-3</v>
      </c>
      <c r="Q340" s="188"/>
      <c r="R340" s="188"/>
      <c r="S340" s="188"/>
      <c r="T340" s="188"/>
      <c r="U340" s="188"/>
    </row>
    <row r="341" spans="1:21" s="73" customFormat="1">
      <c r="A341" s="347" t="s">
        <v>5</v>
      </c>
      <c r="B341" s="348" t="s">
        <v>1271</v>
      </c>
      <c r="C341" s="330"/>
      <c r="D341" s="330"/>
      <c r="E341" s="330"/>
      <c r="F341" s="330"/>
      <c r="G341" s="330"/>
      <c r="H341" s="330"/>
      <c r="I341" s="330"/>
      <c r="J341" s="330"/>
      <c r="K341" s="330"/>
      <c r="L341" s="330"/>
      <c r="M341" s="330"/>
      <c r="N341" s="330"/>
      <c r="O341" s="330"/>
      <c r="P341" s="447"/>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1272</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1.2E-2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1271</v>
      </c>
      <c r="B351" s="393">
        <f>P351</f>
        <v>1.2E-2</v>
      </c>
      <c r="C351" s="188" t="s">
        <v>853</v>
      </c>
      <c r="D351" s="386" t="s">
        <v>2</v>
      </c>
      <c r="E351" s="188" t="s">
        <v>29</v>
      </c>
      <c r="F351" s="188" t="s">
        <v>14</v>
      </c>
      <c r="G351" s="188" t="s">
        <v>30</v>
      </c>
      <c r="H351" s="188">
        <v>1</v>
      </c>
      <c r="I351" s="393">
        <f>B351</f>
        <v>1.2E-2</v>
      </c>
      <c r="J351" s="188" t="s">
        <v>31</v>
      </c>
      <c r="K351" s="188" t="s">
        <v>31</v>
      </c>
      <c r="L351" s="188" t="s">
        <v>31</v>
      </c>
      <c r="M351" s="188" t="s">
        <v>31</v>
      </c>
      <c r="N351" s="188"/>
      <c r="O351" s="374" t="s">
        <v>873</v>
      </c>
      <c r="P351" s="447">
        <v>1.2E-2</v>
      </c>
      <c r="Q351" s="188"/>
      <c r="R351" s="188"/>
      <c r="S351" s="188"/>
      <c r="T351" s="188"/>
      <c r="U351" s="188"/>
    </row>
    <row r="352" spans="1:21">
      <c r="A352" s="84" t="s">
        <v>898</v>
      </c>
      <c r="B352" s="188">
        <f>P352</f>
        <v>0.02</v>
      </c>
      <c r="C352" s="188" t="s">
        <v>37</v>
      </c>
      <c r="D352" s="188" t="s">
        <v>40</v>
      </c>
      <c r="E352" s="188" t="s">
        <v>29</v>
      </c>
      <c r="F352" s="188" t="s">
        <v>82</v>
      </c>
      <c r="G352" s="188" t="s">
        <v>33</v>
      </c>
      <c r="H352" s="188">
        <v>2</v>
      </c>
      <c r="I352" s="188">
        <f t="shared" ref="I352:I362" si="30">LN(B352)</f>
        <v>-3.912023005428146</v>
      </c>
      <c r="J352" s="442">
        <v>0.22516660498395411</v>
      </c>
      <c r="K352" s="188" t="s">
        <v>31</v>
      </c>
      <c r="L352" s="188" t="s">
        <v>31</v>
      </c>
      <c r="M352" s="188" t="s">
        <v>31</v>
      </c>
      <c r="N352" s="188"/>
      <c r="O352" s="379" t="s">
        <v>275</v>
      </c>
      <c r="P352" s="392">
        <v>0.02</v>
      </c>
      <c r="Q352" s="188"/>
      <c r="R352" s="188"/>
      <c r="S352" s="188"/>
      <c r="T352" s="188"/>
      <c r="U352" s="188"/>
    </row>
    <row r="353" spans="1:21">
      <c r="A353" s="323" t="s">
        <v>265</v>
      </c>
      <c r="B353" s="327">
        <f>P353</f>
        <v>0.25</v>
      </c>
      <c r="C353" s="188" t="s">
        <v>39</v>
      </c>
      <c r="D353" s="188" t="s">
        <v>40</v>
      </c>
      <c r="E353" s="188" t="s">
        <v>29</v>
      </c>
      <c r="F353" s="37" t="s">
        <v>35</v>
      </c>
      <c r="G353" s="188" t="s">
        <v>33</v>
      </c>
      <c r="H353" s="188">
        <v>2</v>
      </c>
      <c r="I353" s="188">
        <f t="shared" si="30"/>
        <v>-1.3862943611198906</v>
      </c>
      <c r="J353" s="442">
        <v>0.22516660498395411</v>
      </c>
      <c r="K353" s="188" t="s">
        <v>31</v>
      </c>
      <c r="L353" s="188" t="s">
        <v>31</v>
      </c>
      <c r="M353" s="188" t="s">
        <v>31</v>
      </c>
      <c r="N353" s="188"/>
      <c r="O353" s="379" t="s">
        <v>271</v>
      </c>
      <c r="P353" s="392">
        <v>0.25</v>
      </c>
      <c r="Q353" s="188"/>
      <c r="R353" s="188"/>
      <c r="S353" s="188"/>
      <c r="T353" s="188"/>
      <c r="U353" s="188"/>
    </row>
    <row r="354" spans="1:21">
      <c r="A354" s="84" t="s">
        <v>1018</v>
      </c>
      <c r="B354" s="393">
        <f>R354</f>
        <v>4.2000000000000002E-4</v>
      </c>
      <c r="C354" s="188" t="s">
        <v>37</v>
      </c>
      <c r="D354" s="188" t="s">
        <v>40</v>
      </c>
      <c r="E354" s="188" t="s">
        <v>29</v>
      </c>
      <c r="F354" s="188" t="s">
        <v>35</v>
      </c>
      <c r="G354" s="188" t="s">
        <v>33</v>
      </c>
      <c r="H354" s="188">
        <v>2</v>
      </c>
      <c r="I354" s="188">
        <f t="shared" si="30"/>
        <v>-7.7752558466868598</v>
      </c>
      <c r="J354" s="442">
        <v>0.22516660498395411</v>
      </c>
      <c r="K354" s="188" t="s">
        <v>31</v>
      </c>
      <c r="L354" s="188" t="s">
        <v>31</v>
      </c>
      <c r="M354" s="188" t="s">
        <v>31</v>
      </c>
      <c r="N354" s="188"/>
      <c r="O354" s="379" t="s">
        <v>857</v>
      </c>
      <c r="P354" s="430">
        <v>0.42</v>
      </c>
      <c r="Q354" s="188" t="s">
        <v>275</v>
      </c>
      <c r="R354" s="393">
        <f>0.001*P354</f>
        <v>4.2000000000000002E-4</v>
      </c>
      <c r="S354" s="188"/>
      <c r="T354" s="188"/>
      <c r="U354" s="188"/>
    </row>
    <row r="355" spans="1:21">
      <c r="A355" s="84" t="s">
        <v>1019</v>
      </c>
      <c r="B355" s="393">
        <f>P355</f>
        <v>2E-3</v>
      </c>
      <c r="C355" s="188" t="s">
        <v>37</v>
      </c>
      <c r="D355" s="188" t="s">
        <v>40</v>
      </c>
      <c r="E355" s="188" t="s">
        <v>29</v>
      </c>
      <c r="F355" s="188" t="s">
        <v>35</v>
      </c>
      <c r="G355" s="188" t="s">
        <v>33</v>
      </c>
      <c r="H355" s="188">
        <v>2</v>
      </c>
      <c r="I355" s="188">
        <f t="shared" si="30"/>
        <v>-6.2146080984221914</v>
      </c>
      <c r="J355" s="442">
        <v>0.22516660498395411</v>
      </c>
      <c r="K355" s="188" t="s">
        <v>31</v>
      </c>
      <c r="L355" s="188" t="s">
        <v>31</v>
      </c>
      <c r="M355" s="188" t="s">
        <v>31</v>
      </c>
      <c r="N355" s="188"/>
      <c r="O355" s="379" t="s">
        <v>275</v>
      </c>
      <c r="P355" s="430">
        <v>2E-3</v>
      </c>
      <c r="Q355" s="188"/>
      <c r="R355" s="188"/>
      <c r="S355" s="188"/>
      <c r="T355" s="188"/>
      <c r="U355" s="188"/>
    </row>
    <row r="356" spans="1:21">
      <c r="A356" s="84" t="s">
        <v>1020</v>
      </c>
      <c r="B356" s="393">
        <f>P356</f>
        <v>1.6999999999999999E-3</v>
      </c>
      <c r="C356" s="188" t="s">
        <v>37</v>
      </c>
      <c r="D356" s="188" t="s">
        <v>40</v>
      </c>
      <c r="E356" s="188" t="s">
        <v>29</v>
      </c>
      <c r="F356" s="188" t="s">
        <v>35</v>
      </c>
      <c r="G356" s="188" t="s">
        <v>33</v>
      </c>
      <c r="H356" s="188">
        <v>2</v>
      </c>
      <c r="I356" s="188">
        <f t="shared" si="30"/>
        <v>-6.3771270279199666</v>
      </c>
      <c r="J356" s="442">
        <v>0.22516660498395411</v>
      </c>
      <c r="K356" s="188" t="s">
        <v>31</v>
      </c>
      <c r="L356" s="188" t="s">
        <v>31</v>
      </c>
      <c r="M356" s="188" t="s">
        <v>31</v>
      </c>
      <c r="N356" s="188"/>
      <c r="O356" s="379" t="s">
        <v>275</v>
      </c>
      <c r="P356" s="430">
        <v>1.6999999999999999E-3</v>
      </c>
      <c r="Q356" s="188"/>
      <c r="R356" s="188"/>
      <c r="S356" s="188"/>
      <c r="T356" s="188"/>
      <c r="U356" s="188"/>
    </row>
    <row r="357" spans="1:21">
      <c r="A357" s="84" t="s">
        <v>1021</v>
      </c>
      <c r="B357" s="393">
        <f>P357</f>
        <v>1.4999999999999999E-2</v>
      </c>
      <c r="C357" s="188" t="s">
        <v>37</v>
      </c>
      <c r="D357" s="188" t="s">
        <v>40</v>
      </c>
      <c r="E357" s="188" t="s">
        <v>29</v>
      </c>
      <c r="F357" s="188" t="s">
        <v>35</v>
      </c>
      <c r="G357" s="188" t="s">
        <v>33</v>
      </c>
      <c r="H357" s="188">
        <v>2</v>
      </c>
      <c r="I357" s="188">
        <f t="shared" si="30"/>
        <v>-4.1997050778799272</v>
      </c>
      <c r="J357" s="442">
        <v>0.22516660498395411</v>
      </c>
      <c r="K357" s="188" t="s">
        <v>31</v>
      </c>
      <c r="L357" s="188" t="s">
        <v>31</v>
      </c>
      <c r="M357" s="188" t="s">
        <v>31</v>
      </c>
      <c r="N357" s="188"/>
      <c r="O357" s="379" t="s">
        <v>275</v>
      </c>
      <c r="P357" s="392">
        <v>1.4999999999999999E-2</v>
      </c>
      <c r="Q357" s="188"/>
      <c r="R357" s="188"/>
      <c r="S357" s="188"/>
      <c r="T357" s="188"/>
      <c r="U357" s="188"/>
    </row>
    <row r="358" spans="1:21">
      <c r="A358" s="84" t="s">
        <v>1022</v>
      </c>
      <c r="B358" s="393">
        <f>R358</f>
        <v>8.3000000000000012E-5</v>
      </c>
      <c r="C358" s="188" t="s">
        <v>37</v>
      </c>
      <c r="D358" s="188" t="s">
        <v>43</v>
      </c>
      <c r="E358" s="188" t="s">
        <v>44</v>
      </c>
      <c r="F358" s="188" t="s">
        <v>29</v>
      </c>
      <c r="G358" s="188" t="s">
        <v>45</v>
      </c>
      <c r="H358" s="188">
        <v>2</v>
      </c>
      <c r="I358" s="188">
        <f t="shared" si="30"/>
        <v>-9.3966699501676754</v>
      </c>
      <c r="J358" s="442">
        <v>0.10344080432788608</v>
      </c>
      <c r="K358" s="188" t="s">
        <v>31</v>
      </c>
      <c r="L358" s="188" t="s">
        <v>31</v>
      </c>
      <c r="M358" s="188" t="s">
        <v>31</v>
      </c>
      <c r="N358" s="188"/>
      <c r="O358" s="394" t="s">
        <v>857</v>
      </c>
      <c r="P358" s="395">
        <v>8.3000000000000004E-2</v>
      </c>
      <c r="Q358" s="188" t="s">
        <v>275</v>
      </c>
      <c r="R358" s="393">
        <f>0.001*P358</f>
        <v>8.3000000000000012E-5</v>
      </c>
      <c r="S358" s="188"/>
      <c r="T358" s="188"/>
      <c r="U358" s="188"/>
    </row>
    <row r="359" spans="1:21">
      <c r="A359" s="84" t="s">
        <v>77</v>
      </c>
      <c r="B359" s="393">
        <f t="shared" ref="B359:B361" si="31">R359</f>
        <v>9.2000000000000003E-4</v>
      </c>
      <c r="C359" s="188" t="s">
        <v>37</v>
      </c>
      <c r="D359" s="188" t="s">
        <v>43</v>
      </c>
      <c r="E359" s="188" t="s">
        <v>44</v>
      </c>
      <c r="F359" s="188" t="s">
        <v>29</v>
      </c>
      <c r="G359" s="188" t="s">
        <v>45</v>
      </c>
      <c r="H359" s="188">
        <v>2</v>
      </c>
      <c r="I359" s="188">
        <f t="shared" si="30"/>
        <v>-6.9911368879211881</v>
      </c>
      <c r="J359" s="442">
        <v>0.10344080432788608</v>
      </c>
      <c r="K359" s="188" t="s">
        <v>31</v>
      </c>
      <c r="L359" s="188" t="s">
        <v>31</v>
      </c>
      <c r="M359" s="188" t="s">
        <v>31</v>
      </c>
      <c r="N359" s="188"/>
      <c r="O359" s="394" t="s">
        <v>857</v>
      </c>
      <c r="P359" s="395">
        <v>0.92</v>
      </c>
      <c r="Q359" s="188" t="s">
        <v>275</v>
      </c>
      <c r="R359" s="393">
        <f>0.001*P359</f>
        <v>9.2000000000000003E-4</v>
      </c>
      <c r="S359" s="188"/>
      <c r="T359" s="188"/>
      <c r="U359" s="188"/>
    </row>
    <row r="360" spans="1:21">
      <c r="A360" s="84" t="s">
        <v>1023</v>
      </c>
      <c r="B360" s="393">
        <f t="shared" si="31"/>
        <v>5.8E-4</v>
      </c>
      <c r="C360" s="188" t="s">
        <v>37</v>
      </c>
      <c r="D360" s="188" t="s">
        <v>43</v>
      </c>
      <c r="E360" s="188" t="s">
        <v>44</v>
      </c>
      <c r="F360" s="188" t="s">
        <v>29</v>
      </c>
      <c r="G360" s="188" t="s">
        <v>45</v>
      </c>
      <c r="H360" s="188">
        <v>2</v>
      </c>
      <c r="I360" s="188">
        <f t="shared" si="30"/>
        <v>-7.4524824544238095</v>
      </c>
      <c r="J360" s="442">
        <v>0.10344080432788608</v>
      </c>
      <c r="K360" s="188" t="s">
        <v>31</v>
      </c>
      <c r="L360" s="188" t="s">
        <v>31</v>
      </c>
      <c r="M360" s="188" t="s">
        <v>31</v>
      </c>
      <c r="N360" s="188"/>
      <c r="O360" s="394" t="s">
        <v>857</v>
      </c>
      <c r="P360" s="395">
        <v>0.57999999999999996</v>
      </c>
      <c r="Q360" s="188" t="s">
        <v>275</v>
      </c>
      <c r="R360" s="393">
        <f>0.001*P360</f>
        <v>5.8E-4</v>
      </c>
      <c r="S360" s="188"/>
      <c r="T360" s="188"/>
      <c r="U360" s="188"/>
    </row>
    <row r="361" spans="1:21">
      <c r="A361" s="84" t="s">
        <v>807</v>
      </c>
      <c r="B361" s="393">
        <f t="shared" si="31"/>
        <v>3.3E-4</v>
      </c>
      <c r="C361" s="188" t="s">
        <v>37</v>
      </c>
      <c r="D361" s="188" t="s">
        <v>43</v>
      </c>
      <c r="E361" s="188" t="s">
        <v>44</v>
      </c>
      <c r="F361" s="188" t="s">
        <v>29</v>
      </c>
      <c r="G361" s="188" t="s">
        <v>45</v>
      </c>
      <c r="H361" s="188">
        <v>2</v>
      </c>
      <c r="I361" s="188">
        <f t="shared" si="30"/>
        <v>-8.0164179035037488</v>
      </c>
      <c r="J361" s="442">
        <v>0.10344080432788608</v>
      </c>
      <c r="K361" s="188" t="s">
        <v>31</v>
      </c>
      <c r="L361" s="188" t="s">
        <v>31</v>
      </c>
      <c r="M361" s="188" t="s">
        <v>31</v>
      </c>
      <c r="N361" s="188"/>
      <c r="O361" s="394" t="s">
        <v>857</v>
      </c>
      <c r="P361" s="395">
        <v>0.33</v>
      </c>
      <c r="Q361" s="188" t="s">
        <v>275</v>
      </c>
      <c r="R361" s="393">
        <f>0.001*P361</f>
        <v>3.3E-4</v>
      </c>
      <c r="S361" s="188"/>
      <c r="T361" s="188"/>
      <c r="U361" s="188"/>
    </row>
    <row r="362" spans="1:21">
      <c r="A362" s="188" t="s">
        <v>835</v>
      </c>
      <c r="B362" s="393">
        <f>P362</f>
        <v>4.4999999999999997E-3</v>
      </c>
      <c r="C362" s="188" t="s">
        <v>37</v>
      </c>
      <c r="D362" s="386" t="s">
        <v>2</v>
      </c>
      <c r="E362" s="188" t="s">
        <v>29</v>
      </c>
      <c r="F362" s="37" t="s">
        <v>74</v>
      </c>
      <c r="G362" s="188" t="s">
        <v>33</v>
      </c>
      <c r="H362" s="188">
        <v>2</v>
      </c>
      <c r="I362" s="188">
        <f t="shared" si="30"/>
        <v>-5.4036778822058631</v>
      </c>
      <c r="J362" s="188">
        <v>0.11269427669584645</v>
      </c>
      <c r="K362" s="188" t="s">
        <v>31</v>
      </c>
      <c r="L362" s="188" t="s">
        <v>31</v>
      </c>
      <c r="M362" s="188" t="s">
        <v>31</v>
      </c>
      <c r="N362" s="188"/>
      <c r="O362" s="396" t="s">
        <v>275</v>
      </c>
      <c r="P362" s="431">
        <v>4.4999999999999997E-3</v>
      </c>
      <c r="Q362" s="188"/>
      <c r="R362" s="188"/>
      <c r="S362" s="188"/>
      <c r="T362" s="188"/>
      <c r="U362" s="188"/>
    </row>
    <row r="363" spans="1:21">
      <c r="P363" s="151"/>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EC242-6DFB-4427-84E0-E214B8681EFA}">
  <sheetPr>
    <tabColor theme="6" tint="0.79998168889431442"/>
  </sheetPr>
  <dimension ref="A1:AC57"/>
  <sheetViews>
    <sheetView topLeftCell="B1" zoomScale="85" zoomScaleNormal="85" workbookViewId="0">
      <selection activeCell="I13" sqref="I13:I30"/>
    </sheetView>
  </sheetViews>
  <sheetFormatPr defaultColWidth="9.140625" defaultRowHeight="12.95"/>
  <cols>
    <col min="1" max="1" width="109.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2870EB1FB0F74851B3F41C94D71C1B09</v>
      </c>
    </row>
    <row r="2" spans="1:26">
      <c r="A2" s="347" t="s">
        <v>5</v>
      </c>
      <c r="B2" s="348" t="s">
        <v>826</v>
      </c>
      <c r="C2" s="349"/>
      <c r="D2" s="330"/>
      <c r="E2" s="330"/>
      <c r="F2" s="330"/>
      <c r="G2" s="330"/>
      <c r="H2" s="330"/>
      <c r="I2" s="330"/>
      <c r="J2" s="330"/>
      <c r="K2" s="330"/>
      <c r="L2" s="330"/>
      <c r="M2" s="330"/>
    </row>
    <row r="3" spans="1:26">
      <c r="A3" s="323" t="s">
        <v>7</v>
      </c>
      <c r="B3" s="188" t="s">
        <v>831</v>
      </c>
      <c r="C3" s="322"/>
    </row>
    <row r="4" spans="1:26">
      <c r="A4" s="323" t="s">
        <v>9</v>
      </c>
      <c r="B4" s="188" t="s">
        <v>1273</v>
      </c>
      <c r="C4" s="322"/>
    </row>
    <row r="5" spans="1:26" ht="26.1">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826</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3.88</v>
      </c>
      <c r="C15" s="188" t="s">
        <v>37</v>
      </c>
      <c r="D15" s="188" t="s">
        <v>40</v>
      </c>
      <c r="E15" s="188" t="s">
        <v>29</v>
      </c>
      <c r="F15" s="37" t="s">
        <v>59</v>
      </c>
      <c r="G15" s="188" t="s">
        <v>33</v>
      </c>
      <c r="H15" s="188">
        <v>1</v>
      </c>
      <c r="I15" s="188">
        <f t="shared" si="1"/>
        <v>3.88</v>
      </c>
      <c r="J15" s="188" t="s">
        <v>31</v>
      </c>
      <c r="K15" s="188" t="s">
        <v>31</v>
      </c>
      <c r="L15" s="188" t="s">
        <v>31</v>
      </c>
      <c r="M15" s="188" t="s">
        <v>31</v>
      </c>
      <c r="U15" s="374" t="s">
        <v>1027</v>
      </c>
      <c r="V15" s="374" t="s">
        <v>275</v>
      </c>
      <c r="W15" s="375">
        <v>3.88</v>
      </c>
      <c r="Y15" s="188" t="s">
        <v>275</v>
      </c>
      <c r="Z15" s="188">
        <f>W15</f>
        <v>3.88</v>
      </c>
    </row>
    <row r="16" spans="1:26">
      <c r="A16" s="373" t="s">
        <v>1274</v>
      </c>
      <c r="B16" s="188">
        <f t="shared" si="0"/>
        <v>6.4</v>
      </c>
      <c r="C16" s="188" t="s">
        <v>37</v>
      </c>
      <c r="D16" s="188" t="s">
        <v>2</v>
      </c>
      <c r="E16" s="188" t="s">
        <v>29</v>
      </c>
      <c r="F16" s="37" t="s">
        <v>14</v>
      </c>
      <c r="G16" s="188" t="s">
        <v>33</v>
      </c>
      <c r="H16" s="188">
        <v>1</v>
      </c>
      <c r="I16" s="188">
        <f t="shared" si="1"/>
        <v>6.4</v>
      </c>
      <c r="J16" s="188" t="s">
        <v>31</v>
      </c>
      <c r="K16" s="188" t="s">
        <v>31</v>
      </c>
      <c r="L16" s="188" t="s">
        <v>31</v>
      </c>
      <c r="M16" s="188" t="s">
        <v>31</v>
      </c>
      <c r="U16" s="374" t="s">
        <v>1029</v>
      </c>
      <c r="V16" s="374" t="s">
        <v>275</v>
      </c>
      <c r="W16" s="375">
        <v>6.4</v>
      </c>
      <c r="Y16" s="188" t="s">
        <v>275</v>
      </c>
      <c r="Z16" s="188">
        <f>W16</f>
        <v>6.4</v>
      </c>
    </row>
    <row r="17" spans="1:29">
      <c r="A17" s="104" t="s">
        <v>1275</v>
      </c>
      <c r="B17" s="188">
        <f t="shared" si="0"/>
        <v>3.8281250000000003E-2</v>
      </c>
      <c r="C17" s="188" t="s">
        <v>853</v>
      </c>
      <c r="D17" s="188" t="s">
        <v>2</v>
      </c>
      <c r="E17" s="188" t="s">
        <v>29</v>
      </c>
      <c r="F17" s="37" t="s">
        <v>14</v>
      </c>
      <c r="G17" s="188" t="s">
        <v>33</v>
      </c>
      <c r="H17" s="188">
        <v>1</v>
      </c>
      <c r="I17" s="188">
        <f t="shared" si="1"/>
        <v>3.8281250000000003E-2</v>
      </c>
      <c r="J17" s="188" t="s">
        <v>31</v>
      </c>
      <c r="K17" s="188" t="s">
        <v>31</v>
      </c>
      <c r="L17" s="188" t="s">
        <v>31</v>
      </c>
      <c r="M17" s="188" t="s">
        <v>31</v>
      </c>
      <c r="O17" s="188" t="s">
        <v>1031</v>
      </c>
      <c r="U17" s="437" t="s">
        <v>1032</v>
      </c>
      <c r="V17" s="437" t="s">
        <v>857</v>
      </c>
      <c r="W17" s="375">
        <v>245</v>
      </c>
      <c r="Y17" s="188" t="s">
        <v>855</v>
      </c>
      <c r="Z17" s="188">
        <f>W17*0.001*AB17</f>
        <v>3.8281250000000003E-2</v>
      </c>
      <c r="AB17" s="188">
        <f>'2E. Reusable'!O36</f>
        <v>0.15625</v>
      </c>
      <c r="AC17" s="188" t="s">
        <v>888</v>
      </c>
    </row>
    <row r="18" spans="1:29">
      <c r="A18" s="373" t="s">
        <v>1276</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37" t="s">
        <v>1034</v>
      </c>
      <c r="V18" s="374" t="s">
        <v>857</v>
      </c>
      <c r="W18" s="375">
        <v>405</v>
      </c>
      <c r="Y18" s="188" t="s">
        <v>275</v>
      </c>
      <c r="Z18" s="188">
        <f>0.001*W18</f>
        <v>0.40500000000000003</v>
      </c>
    </row>
    <row r="19" spans="1:29">
      <c r="A19" s="103" t="s">
        <v>890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23" t="s">
        <v>891</v>
      </c>
      <c r="U19" s="374" t="s">
        <v>891</v>
      </c>
      <c r="V19" s="374" t="s">
        <v>857</v>
      </c>
      <c r="W19" s="375">
        <v>2</v>
      </c>
      <c r="Y19" s="188" t="s">
        <v>275</v>
      </c>
      <c r="Z19" s="188">
        <f>0.001*W19</f>
        <v>2E-3</v>
      </c>
    </row>
    <row r="20" spans="1:29">
      <c r="A20" s="102"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23" t="s">
        <v>892</v>
      </c>
      <c r="U20" s="437" t="s">
        <v>892</v>
      </c>
      <c r="V20" s="374" t="s">
        <v>857</v>
      </c>
      <c r="W20" s="375">
        <v>13</v>
      </c>
      <c r="Y20" s="188" t="s">
        <v>275</v>
      </c>
      <c r="Z20" s="188">
        <f t="shared" ref="Z20:Z22" si="2">0.001*W20</f>
        <v>1.3000000000000001E-2</v>
      </c>
    </row>
    <row r="21" spans="1:29">
      <c r="A21" s="103"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2"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100" t="s">
        <v>1277</v>
      </c>
      <c r="B23" s="188">
        <f t="shared" si="0"/>
        <v>8.33</v>
      </c>
      <c r="C23" s="188" t="s">
        <v>37</v>
      </c>
      <c r="D23" s="188" t="s">
        <v>2</v>
      </c>
      <c r="E23" s="188" t="s">
        <v>29</v>
      </c>
      <c r="F23" s="37" t="s">
        <v>14</v>
      </c>
      <c r="G23" s="188" t="s">
        <v>33</v>
      </c>
      <c r="H23" s="188">
        <v>1</v>
      </c>
      <c r="I23" s="188">
        <f t="shared" si="1"/>
        <v>8.33</v>
      </c>
      <c r="J23" s="188" t="s">
        <v>31</v>
      </c>
      <c r="K23" s="188" t="s">
        <v>31</v>
      </c>
      <c r="L23" s="188" t="s">
        <v>31</v>
      </c>
      <c r="M23" s="188" t="s">
        <v>31</v>
      </c>
      <c r="N23" s="323" t="s">
        <v>1037</v>
      </c>
      <c r="U23" s="374" t="s">
        <v>1037</v>
      </c>
      <c r="V23" s="374" t="s">
        <v>275</v>
      </c>
      <c r="W23" s="375">
        <v>8.33</v>
      </c>
      <c r="Y23" s="188" t="s">
        <v>275</v>
      </c>
      <c r="Z23" s="188">
        <f>W23</f>
        <v>8.33</v>
      </c>
    </row>
    <row r="24" spans="1:29">
      <c r="A24" s="373" t="s">
        <v>1278</v>
      </c>
      <c r="B24" s="335">
        <f>'2E. Machined casing'!B7</f>
        <v>16</v>
      </c>
      <c r="C24" s="188" t="s">
        <v>37</v>
      </c>
      <c r="D24" s="188" t="s">
        <v>2</v>
      </c>
      <c r="E24" s="188" t="s">
        <v>29</v>
      </c>
      <c r="F24" s="37" t="s">
        <v>14</v>
      </c>
      <c r="G24" s="188" t="s">
        <v>33</v>
      </c>
      <c r="H24" s="188">
        <v>1</v>
      </c>
      <c r="I24" s="188">
        <f t="shared" si="1"/>
        <v>16</v>
      </c>
      <c r="J24" s="188" t="s">
        <v>31</v>
      </c>
      <c r="K24" s="188" t="s">
        <v>31</v>
      </c>
      <c r="L24" s="188" t="s">
        <v>31</v>
      </c>
      <c r="M24" s="188" t="s">
        <v>31</v>
      </c>
      <c r="N24" s="323" t="s">
        <v>896</v>
      </c>
      <c r="U24" s="374" t="s">
        <v>1039</v>
      </c>
      <c r="V24" s="378" t="s">
        <v>275</v>
      </c>
      <c r="W24" s="375">
        <v>16.14</v>
      </c>
      <c r="Y24" s="188" t="s">
        <v>275</v>
      </c>
      <c r="Z24" s="188">
        <f t="shared" ref="Z24" si="3">W24</f>
        <v>16.14</v>
      </c>
    </row>
    <row r="25" spans="1:29">
      <c r="A25" s="98" t="s">
        <v>898</v>
      </c>
      <c r="B25" s="188">
        <f t="shared" si="0"/>
        <v>0.11600000000000001</v>
      </c>
      <c r="C25" s="188" t="s">
        <v>37</v>
      </c>
      <c r="D25" s="188" t="s">
        <v>40</v>
      </c>
      <c r="E25" s="188" t="s">
        <v>29</v>
      </c>
      <c r="F25" s="37" t="s">
        <v>82</v>
      </c>
      <c r="G25" s="188" t="s">
        <v>33</v>
      </c>
      <c r="H25" s="188">
        <v>1</v>
      </c>
      <c r="I25" s="188">
        <f t="shared" si="1"/>
        <v>0.11600000000000001</v>
      </c>
      <c r="J25" s="188" t="s">
        <v>31</v>
      </c>
      <c r="K25" s="188" t="s">
        <v>31</v>
      </c>
      <c r="L25" s="188" t="s">
        <v>31</v>
      </c>
      <c r="M25" s="188" t="s">
        <v>31</v>
      </c>
      <c r="N25" s="323" t="s">
        <v>899</v>
      </c>
      <c r="U25" s="379" t="s">
        <v>899</v>
      </c>
      <c r="V25" s="379" t="s">
        <v>857</v>
      </c>
      <c r="W25" s="380">
        <v>116</v>
      </c>
      <c r="Y25" s="188" t="s">
        <v>275</v>
      </c>
      <c r="Z25" s="188">
        <f t="shared" ref="Z25:Z27" si="4">0.001*W25</f>
        <v>0.11600000000000001</v>
      </c>
    </row>
    <row r="26" spans="1:29">
      <c r="A26" s="98" t="s">
        <v>900</v>
      </c>
      <c r="B26" s="188">
        <f t="shared" si="0"/>
        <v>2.5000000000000001E-2</v>
      </c>
      <c r="C26" s="188" t="s">
        <v>37</v>
      </c>
      <c r="D26" s="188" t="s">
        <v>40</v>
      </c>
      <c r="E26" s="188" t="s">
        <v>29</v>
      </c>
      <c r="F26" s="37" t="s">
        <v>59</v>
      </c>
      <c r="G26" s="188" t="s">
        <v>33</v>
      </c>
      <c r="H26" s="188">
        <v>1</v>
      </c>
      <c r="I26" s="188">
        <f t="shared" si="1"/>
        <v>2.5000000000000001E-2</v>
      </c>
      <c r="J26" s="188" t="s">
        <v>31</v>
      </c>
      <c r="K26" s="188" t="s">
        <v>31</v>
      </c>
      <c r="L26" s="188" t="s">
        <v>31</v>
      </c>
      <c r="M26" s="188" t="s">
        <v>31</v>
      </c>
      <c r="N26" s="188" t="s">
        <v>901</v>
      </c>
      <c r="U26" s="379" t="s">
        <v>901</v>
      </c>
      <c r="V26" s="379" t="s">
        <v>857</v>
      </c>
      <c r="W26" s="380">
        <v>25</v>
      </c>
      <c r="Y26" s="188" t="s">
        <v>275</v>
      </c>
      <c r="Z26" s="188">
        <f t="shared" si="4"/>
        <v>2.5000000000000001E-2</v>
      </c>
    </row>
    <row r="27" spans="1:29">
      <c r="A27" s="98" t="s">
        <v>179</v>
      </c>
      <c r="B27" s="188">
        <f t="shared" si="0"/>
        <v>2.5000000000000001E-2</v>
      </c>
      <c r="C27" s="188" t="s">
        <v>37</v>
      </c>
      <c r="D27" s="188" t="s">
        <v>40</v>
      </c>
      <c r="E27" s="188" t="s">
        <v>29</v>
      </c>
      <c r="F27" s="37" t="s">
        <v>35</v>
      </c>
      <c r="G27" s="188" t="s">
        <v>33</v>
      </c>
      <c r="H27" s="188">
        <v>1</v>
      </c>
      <c r="I27" s="188">
        <f t="shared" si="1"/>
        <v>2.5000000000000001E-2</v>
      </c>
      <c r="J27" s="188" t="s">
        <v>31</v>
      </c>
      <c r="K27" s="188" t="s">
        <v>31</v>
      </c>
      <c r="L27" s="188" t="s">
        <v>31</v>
      </c>
      <c r="M27" s="188" t="s">
        <v>31</v>
      </c>
      <c r="N27" s="188" t="s">
        <v>902</v>
      </c>
      <c r="U27" s="379" t="s">
        <v>902</v>
      </c>
      <c r="V27" s="379" t="s">
        <v>857</v>
      </c>
      <c r="W27" s="380">
        <v>25</v>
      </c>
      <c r="Y27" s="188" t="s">
        <v>275</v>
      </c>
      <c r="Z27" s="188">
        <f t="shared" si="4"/>
        <v>2.5000000000000001E-2</v>
      </c>
    </row>
    <row r="28" spans="1:29">
      <c r="A28" s="475" t="s">
        <v>265</v>
      </c>
      <c r="B28" s="188">
        <f>2.6+0.6</f>
        <v>3.2</v>
      </c>
      <c r="C28" s="188" t="s">
        <v>39</v>
      </c>
      <c r="D28" s="188" t="s">
        <v>40</v>
      </c>
      <c r="E28" s="188" t="s">
        <v>29</v>
      </c>
      <c r="F28" s="188" t="s">
        <v>14</v>
      </c>
      <c r="G28" s="188" t="s">
        <v>33</v>
      </c>
      <c r="H28" s="188">
        <v>1</v>
      </c>
      <c r="I28" s="188">
        <f t="shared" si="1"/>
        <v>3.2</v>
      </c>
      <c r="J28" s="188" t="s">
        <v>31</v>
      </c>
      <c r="K28" s="188" t="s">
        <v>31</v>
      </c>
      <c r="L28" s="188" t="s">
        <v>31</v>
      </c>
      <c r="M28" s="188" t="s">
        <v>31</v>
      </c>
      <c r="N28" s="188" t="s">
        <v>1040</v>
      </c>
      <c r="U28" s="374"/>
      <c r="V28" s="378"/>
      <c r="W28" s="375"/>
    </row>
    <row r="29" spans="1:29">
      <c r="A29" s="475" t="s">
        <v>265</v>
      </c>
      <c r="B29" s="188">
        <v>9.9</v>
      </c>
      <c r="C29" s="188" t="s">
        <v>39</v>
      </c>
      <c r="D29" s="188" t="s">
        <v>40</v>
      </c>
      <c r="E29" s="188" t="s">
        <v>29</v>
      </c>
      <c r="F29" s="188" t="s">
        <v>14</v>
      </c>
      <c r="G29" s="188" t="s">
        <v>33</v>
      </c>
      <c r="H29" s="188">
        <v>1</v>
      </c>
      <c r="I29" s="188">
        <f t="shared" si="1"/>
        <v>9.9</v>
      </c>
      <c r="J29" s="188" t="s">
        <v>31</v>
      </c>
      <c r="K29" s="188" t="s">
        <v>31</v>
      </c>
      <c r="L29" s="188" t="s">
        <v>31</v>
      </c>
      <c r="M29" s="188" t="s">
        <v>31</v>
      </c>
      <c r="N29" s="188" t="s">
        <v>904</v>
      </c>
    </row>
    <row r="30" spans="1:29">
      <c r="A30" s="475"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row>
    <row r="32" spans="1:29">
      <c r="A32" s="323"/>
      <c r="C32" s="322"/>
      <c r="N32" s="188" t="s">
        <v>1279</v>
      </c>
    </row>
    <row r="33" spans="1:14">
      <c r="A33" s="323"/>
      <c r="C33" s="322"/>
      <c r="N33" s="386">
        <f>SUM(B13:B27)-B17+0.245</f>
        <v>35.621000000000002</v>
      </c>
    </row>
    <row r="34" spans="1:14">
      <c r="A34" s="323"/>
      <c r="B34" s="324"/>
    </row>
    <row r="36" spans="1:14">
      <c r="A36" s="323"/>
    </row>
    <row r="38" spans="1:14">
      <c r="A38" s="192"/>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B42" s="398"/>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6267D-8867-4AB7-902D-48F1404ACDDF}">
  <sheetPr>
    <tabColor theme="6" tint="0.79998168889431442"/>
  </sheetPr>
  <dimension ref="A1:U104"/>
  <sheetViews>
    <sheetView topLeftCell="A79" workbookViewId="0">
      <selection activeCell="A12" sqref="A12"/>
    </sheetView>
  </sheetViews>
  <sheetFormatPr defaultColWidth="9.140625" defaultRowHeight="12.95"/>
  <cols>
    <col min="1" max="1" width="52.42578125" style="359" customWidth="1"/>
    <col min="2" max="2" width="17.5703125" style="188" customWidth="1"/>
    <col min="3" max="3" width="13.7109375" style="188" customWidth="1"/>
    <col min="4" max="4" width="39.85546875" style="188" customWidth="1"/>
    <col min="5" max="6" width="9.140625" style="188"/>
    <col min="7" max="7" width="14.85546875" style="188" customWidth="1"/>
    <col min="8" max="16" width="9.140625" style="188"/>
    <col min="17" max="17" width="11.28515625" style="188" bestFit="1" customWidth="1"/>
    <col min="18" max="16384" width="9.140625" style="188"/>
  </cols>
  <sheetData>
    <row r="1" spans="1:21">
      <c r="A1" s="188" t="s">
        <v>0</v>
      </c>
      <c r="B1" s="188">
        <v>13</v>
      </c>
    </row>
    <row r="2" spans="1:21">
      <c r="A2" s="382" t="s">
        <v>5</v>
      </c>
      <c r="B2" s="126" t="s">
        <v>1275</v>
      </c>
      <c r="C2" s="349"/>
      <c r="D2" s="330"/>
      <c r="E2" s="330"/>
      <c r="F2" s="330"/>
      <c r="G2" s="330"/>
      <c r="H2" s="330"/>
      <c r="I2" s="330"/>
      <c r="J2" s="330"/>
      <c r="K2" s="330"/>
      <c r="L2" s="330"/>
      <c r="M2" s="330"/>
      <c r="N2" s="330"/>
      <c r="O2" s="330"/>
      <c r="P2" s="330"/>
      <c r="Q2" s="330"/>
      <c r="R2" s="330"/>
    </row>
    <row r="3" spans="1:21">
      <c r="A3" s="384" t="s">
        <v>7</v>
      </c>
      <c r="B3" s="188" t="s">
        <v>831</v>
      </c>
      <c r="C3" s="322"/>
    </row>
    <row r="4" spans="1:21">
      <c r="A4" s="384" t="s">
        <v>9</v>
      </c>
      <c r="B4" s="188" t="s">
        <v>1280</v>
      </c>
      <c r="C4" s="322"/>
      <c r="U4" s="367"/>
    </row>
    <row r="5" spans="1:21" ht="12.75" customHeight="1">
      <c r="A5" s="384" t="s">
        <v>11</v>
      </c>
      <c r="B5" s="324" t="s">
        <v>841</v>
      </c>
    </row>
    <row r="6" spans="1:21">
      <c r="A6" s="384" t="s">
        <v>13</v>
      </c>
      <c r="B6" s="188" t="s">
        <v>14</v>
      </c>
    </row>
    <row r="7" spans="1:21">
      <c r="A7" s="384" t="s">
        <v>15</v>
      </c>
      <c r="B7" s="188">
        <f>B12</f>
        <v>0.03</v>
      </c>
    </row>
    <row r="8" spans="1:21">
      <c r="A8" s="384" t="s">
        <v>16</v>
      </c>
      <c r="B8" s="188" t="s">
        <v>17</v>
      </c>
    </row>
    <row r="9" spans="1:21">
      <c r="A9" s="384" t="s">
        <v>18</v>
      </c>
      <c r="B9" s="188" t="s">
        <v>853</v>
      </c>
    </row>
    <row r="10" spans="1:21">
      <c r="A10" s="385" t="s">
        <v>19</v>
      </c>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359" t="s">
        <v>1275</v>
      </c>
      <c r="B12" s="188">
        <v>0.03</v>
      </c>
      <c r="C12" s="188" t="s">
        <v>853</v>
      </c>
      <c r="D12" s="386" t="s">
        <v>2</v>
      </c>
      <c r="E12" s="188" t="s">
        <v>29</v>
      </c>
      <c r="F12" s="37" t="s">
        <v>14</v>
      </c>
      <c r="G12" s="188" t="s">
        <v>30</v>
      </c>
      <c r="H12" s="188">
        <v>1</v>
      </c>
      <c r="I12" s="188">
        <f>B12</f>
        <v>0.03</v>
      </c>
      <c r="J12" s="188" t="s">
        <v>31</v>
      </c>
      <c r="K12" s="188" t="s">
        <v>31</v>
      </c>
      <c r="L12" s="188" t="s">
        <v>31</v>
      </c>
      <c r="M12" s="188" t="s">
        <v>31</v>
      </c>
      <c r="O12" s="387"/>
      <c r="P12" s="388"/>
    </row>
    <row r="13" spans="1:21">
      <c r="A13" s="359" t="s">
        <v>1281</v>
      </c>
      <c r="B13" s="188">
        <f>Q13</f>
        <v>0.192</v>
      </c>
      <c r="C13" s="188" t="s">
        <v>37</v>
      </c>
      <c r="D13" s="386" t="s">
        <v>2</v>
      </c>
      <c r="E13" s="188" t="s">
        <v>29</v>
      </c>
      <c r="F13" s="37" t="s">
        <v>14</v>
      </c>
      <c r="G13" s="188" t="s">
        <v>33</v>
      </c>
      <c r="H13" s="188">
        <v>1</v>
      </c>
      <c r="I13" s="188">
        <f t="shared" ref="I13:I14" si="0">B13</f>
        <v>0.192</v>
      </c>
      <c r="J13" s="188" t="s">
        <v>31</v>
      </c>
      <c r="K13" s="188" t="s">
        <v>31</v>
      </c>
      <c r="L13" s="188" t="s">
        <v>31</v>
      </c>
      <c r="M13" s="188" t="s">
        <v>31</v>
      </c>
      <c r="O13" s="188">
        <f>O36</f>
        <v>0.15625</v>
      </c>
      <c r="P13" s="188" t="s">
        <v>888</v>
      </c>
      <c r="Q13" s="188">
        <f>B12/O13</f>
        <v>0.192</v>
      </c>
    </row>
    <row r="14" spans="1:21">
      <c r="A14" s="359" t="s">
        <v>1282</v>
      </c>
      <c r="B14" s="188">
        <v>0.02</v>
      </c>
      <c r="C14" s="188" t="s">
        <v>853</v>
      </c>
      <c r="D14" s="386" t="s">
        <v>2</v>
      </c>
      <c r="E14" s="188" t="s">
        <v>29</v>
      </c>
      <c r="F14" s="37" t="s">
        <v>14</v>
      </c>
      <c r="G14" s="188" t="s">
        <v>33</v>
      </c>
      <c r="H14" s="188">
        <v>1</v>
      </c>
      <c r="I14" s="188">
        <f t="shared" si="0"/>
        <v>0.02</v>
      </c>
      <c r="J14" s="188" t="s">
        <v>31</v>
      </c>
      <c r="K14" s="188" t="s">
        <v>31</v>
      </c>
      <c r="L14" s="188" t="s">
        <v>31</v>
      </c>
      <c r="M14" s="188" t="s">
        <v>31</v>
      </c>
    </row>
    <row r="15" spans="1:21" ht="14.45">
      <c r="A15" s="116" t="s">
        <v>844</v>
      </c>
      <c r="B15" s="188">
        <f>P15</f>
        <v>0.2</v>
      </c>
      <c r="C15" s="188" t="s">
        <v>37</v>
      </c>
      <c r="D15" s="188" t="s">
        <v>40</v>
      </c>
      <c r="E15" s="188" t="s">
        <v>29</v>
      </c>
      <c r="F15" s="37" t="s">
        <v>74</v>
      </c>
      <c r="G15" s="188" t="s">
        <v>33</v>
      </c>
      <c r="H15" s="188">
        <v>2</v>
      </c>
      <c r="I15" s="188">
        <f>LN(B15)</f>
        <v>-1.6094379124341003</v>
      </c>
      <c r="J15" s="442">
        <v>0.11236102527122109</v>
      </c>
      <c r="K15" s="188" t="s">
        <v>31</v>
      </c>
      <c r="L15" s="188" t="s">
        <v>31</v>
      </c>
      <c r="M15" s="188" t="s">
        <v>31</v>
      </c>
      <c r="O15" s="379" t="s">
        <v>275</v>
      </c>
      <c r="P15" s="107">
        <v>0.2</v>
      </c>
    </row>
    <row r="16" spans="1:21" ht="14.45">
      <c r="A16" s="116" t="s">
        <v>912</v>
      </c>
      <c r="B16" s="393">
        <f>Q16</f>
        <v>1.2E-8</v>
      </c>
      <c r="C16" s="188" t="s">
        <v>37</v>
      </c>
      <c r="D16" s="188" t="s">
        <v>40</v>
      </c>
      <c r="E16" s="188" t="s">
        <v>29</v>
      </c>
      <c r="F16" s="37" t="s">
        <v>59</v>
      </c>
      <c r="G16" s="188" t="s">
        <v>33</v>
      </c>
      <c r="H16" s="188">
        <v>2</v>
      </c>
      <c r="I16" s="188">
        <f t="shared" ref="I16:I17" si="1">LN(B16)</f>
        <v>-18.238359187158412</v>
      </c>
      <c r="J16" s="442">
        <v>0.11236102527122109</v>
      </c>
      <c r="K16" s="188" t="s">
        <v>31</v>
      </c>
      <c r="L16" s="188" t="s">
        <v>31</v>
      </c>
      <c r="M16" s="188" t="s">
        <v>31</v>
      </c>
      <c r="O16" s="394" t="s">
        <v>862</v>
      </c>
      <c r="P16" s="127">
        <v>1.2E-2</v>
      </c>
      <c r="Q16" s="393">
        <f>P16*10^(-6)</f>
        <v>1.2E-8</v>
      </c>
      <c r="R16" s="188" t="s">
        <v>37</v>
      </c>
    </row>
    <row r="17" spans="1:18" ht="14.45">
      <c r="A17" s="116" t="s">
        <v>76</v>
      </c>
      <c r="B17" s="188">
        <f>Q17</f>
        <v>2.0000000000000001E-4</v>
      </c>
      <c r="C17" s="188" t="s">
        <v>42</v>
      </c>
      <c r="D17" s="188" t="s">
        <v>40</v>
      </c>
      <c r="E17" s="188" t="s">
        <v>29</v>
      </c>
      <c r="F17" s="37" t="s">
        <v>74</v>
      </c>
      <c r="G17" s="188" t="s">
        <v>33</v>
      </c>
      <c r="H17" s="188">
        <v>2</v>
      </c>
      <c r="I17" s="188">
        <f t="shared" si="1"/>
        <v>-8.5171931914162382</v>
      </c>
      <c r="J17" s="442">
        <v>0.11236102527122109</v>
      </c>
      <c r="K17" s="188" t="s">
        <v>31</v>
      </c>
      <c r="L17" s="188" t="s">
        <v>31</v>
      </c>
      <c r="M17" s="188" t="s">
        <v>31</v>
      </c>
      <c r="O17" s="396" t="s">
        <v>913</v>
      </c>
      <c r="P17" s="123">
        <v>0.2</v>
      </c>
      <c r="Q17" s="188">
        <f>P17/1000</f>
        <v>2.0000000000000001E-4</v>
      </c>
      <c r="R17" s="188" t="s">
        <v>914</v>
      </c>
    </row>
    <row r="18" spans="1:18">
      <c r="A18" s="382" t="s">
        <v>5</v>
      </c>
      <c r="B18" s="126" t="s">
        <v>1281</v>
      </c>
      <c r="C18" s="349"/>
      <c r="D18" s="330"/>
      <c r="E18" s="330"/>
      <c r="F18" s="330"/>
      <c r="G18" s="330"/>
      <c r="H18" s="330"/>
      <c r="I18" s="330"/>
      <c r="J18" s="330"/>
      <c r="K18" s="330"/>
      <c r="L18" s="330"/>
      <c r="M18" s="330"/>
      <c r="N18" s="330"/>
      <c r="O18" s="330"/>
      <c r="P18" s="330"/>
      <c r="Q18" s="330"/>
      <c r="R18" s="330"/>
    </row>
    <row r="19" spans="1:18">
      <c r="A19" s="384" t="s">
        <v>7</v>
      </c>
      <c r="B19" s="188" t="s">
        <v>831</v>
      </c>
      <c r="C19" s="322"/>
    </row>
    <row r="20" spans="1:18">
      <c r="A20" s="384" t="s">
        <v>9</v>
      </c>
      <c r="B20" s="188" t="s">
        <v>1283</v>
      </c>
      <c r="C20" s="322"/>
    </row>
    <row r="21" spans="1:18" ht="10.5" customHeight="1">
      <c r="A21" s="384" t="s">
        <v>11</v>
      </c>
      <c r="B21" s="324" t="s">
        <v>841</v>
      </c>
      <c r="P21" s="399"/>
    </row>
    <row r="22" spans="1:18">
      <c r="A22" s="384" t="s">
        <v>13</v>
      </c>
      <c r="B22" s="188" t="s">
        <v>14</v>
      </c>
      <c r="P22" s="399"/>
    </row>
    <row r="23" spans="1:18">
      <c r="A23" s="384" t="s">
        <v>15</v>
      </c>
      <c r="B23" s="188">
        <f>B28</f>
        <v>8.0000000000000002E-3</v>
      </c>
      <c r="P23" s="399"/>
    </row>
    <row r="24" spans="1:18">
      <c r="A24" s="384" t="s">
        <v>16</v>
      </c>
      <c r="B24" s="188" t="s">
        <v>17</v>
      </c>
    </row>
    <row r="25" spans="1:18">
      <c r="A25" s="384" t="s">
        <v>18</v>
      </c>
      <c r="B25" s="188" t="s">
        <v>37</v>
      </c>
    </row>
    <row r="26" spans="1:18">
      <c r="A26" s="385" t="s">
        <v>19</v>
      </c>
    </row>
    <row r="27" spans="1:18">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row>
    <row r="28" spans="1:18">
      <c r="A28" s="359" t="s">
        <v>1281</v>
      </c>
      <c r="B28" s="188">
        <v>8.0000000000000002E-3</v>
      </c>
      <c r="C28" s="188" t="s">
        <v>37</v>
      </c>
      <c r="D28" s="386" t="s">
        <v>2</v>
      </c>
      <c r="E28" s="188" t="s">
        <v>29</v>
      </c>
      <c r="F28" s="37" t="s">
        <v>14</v>
      </c>
      <c r="G28" s="188" t="s">
        <v>30</v>
      </c>
      <c r="H28" s="188">
        <v>1</v>
      </c>
      <c r="I28" s="188">
        <f>B28</f>
        <v>8.0000000000000002E-3</v>
      </c>
      <c r="J28" s="188" t="s">
        <v>31</v>
      </c>
      <c r="K28" s="188" t="s">
        <v>31</v>
      </c>
      <c r="L28" s="188" t="s">
        <v>31</v>
      </c>
      <c r="M28" s="188" t="s">
        <v>31</v>
      </c>
    </row>
    <row r="29" spans="1:18" ht="14.45">
      <c r="A29" s="116" t="s">
        <v>912</v>
      </c>
      <c r="B29" s="393">
        <f>R29</f>
        <v>8.6E-3</v>
      </c>
      <c r="C29" s="188" t="s">
        <v>37</v>
      </c>
      <c r="D29" s="188" t="s">
        <v>40</v>
      </c>
      <c r="E29" s="188" t="s">
        <v>29</v>
      </c>
      <c r="F29" s="37" t="s">
        <v>59</v>
      </c>
      <c r="G29" s="188" t="s">
        <v>33</v>
      </c>
      <c r="H29" s="188">
        <v>2</v>
      </c>
      <c r="I29" s="188">
        <f t="shared" ref="I29:I31" si="2">LN(B29)</f>
        <v>-4.7559930757226754</v>
      </c>
      <c r="J29" s="442">
        <v>0.11236102527122109</v>
      </c>
      <c r="K29" s="188" t="s">
        <v>31</v>
      </c>
      <c r="L29" s="188" t="s">
        <v>31</v>
      </c>
      <c r="M29" s="188" t="s">
        <v>31</v>
      </c>
      <c r="O29" s="379" t="s">
        <v>857</v>
      </c>
      <c r="P29" s="107">
        <v>8.6</v>
      </c>
      <c r="Q29" s="188" t="s">
        <v>275</v>
      </c>
      <c r="R29" s="188">
        <f>P29*0.001</f>
        <v>8.6E-3</v>
      </c>
    </row>
    <row r="30" spans="1:18" ht="14.45">
      <c r="A30" s="384" t="s">
        <v>265</v>
      </c>
      <c r="B30" s="327">
        <f>P30</f>
        <v>0.04</v>
      </c>
      <c r="C30" s="188" t="s">
        <v>39</v>
      </c>
      <c r="D30" s="188" t="s">
        <v>40</v>
      </c>
      <c r="E30" s="188" t="s">
        <v>29</v>
      </c>
      <c r="F30" s="37" t="s">
        <v>35</v>
      </c>
      <c r="G30" s="188" t="s">
        <v>33</v>
      </c>
      <c r="H30" s="188">
        <v>2</v>
      </c>
      <c r="I30" s="188">
        <f t="shared" si="2"/>
        <v>-3.2188758248682006</v>
      </c>
      <c r="J30" s="442">
        <v>0.11236102527122109</v>
      </c>
      <c r="K30" s="188" t="s">
        <v>31</v>
      </c>
      <c r="L30" s="188" t="s">
        <v>31</v>
      </c>
      <c r="M30" s="188" t="s">
        <v>31</v>
      </c>
      <c r="O30" s="379" t="s">
        <v>271</v>
      </c>
      <c r="P30" s="107">
        <v>0.04</v>
      </c>
    </row>
    <row r="31" spans="1:18" ht="14.45">
      <c r="A31" s="116" t="s">
        <v>916</v>
      </c>
      <c r="B31" s="188">
        <f>R31</f>
        <v>4.0000000000000002E-4</v>
      </c>
      <c r="C31" s="188" t="s">
        <v>37</v>
      </c>
      <c r="D31" s="188" t="s">
        <v>43</v>
      </c>
      <c r="E31" s="188" t="s">
        <v>917</v>
      </c>
      <c r="F31" s="37" t="s">
        <v>29</v>
      </c>
      <c r="G31" s="188" t="s">
        <v>45</v>
      </c>
      <c r="H31" s="188">
        <v>2</v>
      </c>
      <c r="I31" s="188">
        <f t="shared" si="2"/>
        <v>-7.8240460108562919</v>
      </c>
      <c r="J31" s="442">
        <v>0.11236102527122109</v>
      </c>
      <c r="K31" s="188" t="s">
        <v>31</v>
      </c>
      <c r="L31" s="188" t="s">
        <v>31</v>
      </c>
      <c r="M31" s="188" t="s">
        <v>31</v>
      </c>
      <c r="O31" s="396" t="s">
        <v>857</v>
      </c>
      <c r="P31" s="123">
        <v>0.4</v>
      </c>
      <c r="Q31" s="188" t="s">
        <v>275</v>
      </c>
      <c r="R31" s="188">
        <f>P31*0.001</f>
        <v>4.0000000000000002E-4</v>
      </c>
    </row>
    <row r="32" spans="1:18">
      <c r="A32" s="382" t="s">
        <v>5</v>
      </c>
      <c r="B32" s="348" t="s">
        <v>1282</v>
      </c>
      <c r="C32" s="349"/>
      <c r="D32" s="330"/>
      <c r="E32" s="330"/>
      <c r="F32" s="330"/>
      <c r="G32" s="330"/>
      <c r="H32" s="330"/>
      <c r="I32" s="330"/>
      <c r="J32" s="330"/>
      <c r="K32" s="330"/>
      <c r="L32" s="330"/>
      <c r="M32" s="330"/>
      <c r="N32" s="330"/>
      <c r="O32" s="330"/>
      <c r="P32" s="330"/>
      <c r="Q32" s="330"/>
      <c r="R32" s="330"/>
    </row>
    <row r="33" spans="1:21">
      <c r="A33" s="384" t="s">
        <v>7</v>
      </c>
      <c r="B33" s="188" t="s">
        <v>831</v>
      </c>
      <c r="C33" s="322"/>
    </row>
    <row r="34" spans="1:21">
      <c r="A34" s="384" t="s">
        <v>9</v>
      </c>
      <c r="B34" s="188" t="s">
        <v>1284</v>
      </c>
      <c r="C34" s="322"/>
    </row>
    <row r="35" spans="1:21" ht="15.75" customHeight="1">
      <c r="A35" s="384" t="s">
        <v>11</v>
      </c>
      <c r="B35" s="324" t="s">
        <v>841</v>
      </c>
      <c r="O35" s="188" t="s">
        <v>1285</v>
      </c>
      <c r="T35" s="367" t="s">
        <v>1286</v>
      </c>
    </row>
    <row r="36" spans="1:21">
      <c r="A36" s="384" t="s">
        <v>13</v>
      </c>
      <c r="B36" s="188" t="s">
        <v>14</v>
      </c>
      <c r="O36" s="188">
        <f>0.05/0.32</f>
        <v>0.15625</v>
      </c>
      <c r="P36" s="188" t="s">
        <v>888</v>
      </c>
      <c r="T36" s="188">
        <f>0.16/0.25</f>
        <v>0.64</v>
      </c>
      <c r="U36" s="188" t="s">
        <v>943</v>
      </c>
    </row>
    <row r="37" spans="1:21">
      <c r="A37" s="384" t="s">
        <v>15</v>
      </c>
      <c r="B37" s="188">
        <f>B42</f>
        <v>0.05</v>
      </c>
    </row>
    <row r="38" spans="1:21">
      <c r="A38" s="384" t="s">
        <v>16</v>
      </c>
      <c r="B38" s="188" t="s">
        <v>17</v>
      </c>
    </row>
    <row r="39" spans="1:21">
      <c r="A39" s="384" t="s">
        <v>18</v>
      </c>
      <c r="B39" s="188" t="s">
        <v>853</v>
      </c>
    </row>
    <row r="40" spans="1:21">
      <c r="A40" s="385" t="s">
        <v>19</v>
      </c>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row>
    <row r="42" spans="1:21">
      <c r="A42" s="359" t="s">
        <v>1282</v>
      </c>
      <c r="B42" s="188">
        <v>0.05</v>
      </c>
      <c r="C42" s="188" t="s">
        <v>853</v>
      </c>
      <c r="D42" s="386" t="s">
        <v>2</v>
      </c>
      <c r="E42" s="188" t="s">
        <v>29</v>
      </c>
      <c r="F42" s="37" t="s">
        <v>14</v>
      </c>
      <c r="G42" s="188" t="s">
        <v>30</v>
      </c>
      <c r="H42" s="188">
        <v>1</v>
      </c>
      <c r="I42" s="188">
        <f>B42</f>
        <v>0.05</v>
      </c>
      <c r="J42" s="188" t="s">
        <v>31</v>
      </c>
      <c r="K42" s="188" t="s">
        <v>31</v>
      </c>
      <c r="L42" s="188" t="s">
        <v>31</v>
      </c>
      <c r="M42" s="188" t="s">
        <v>31</v>
      </c>
    </row>
    <row r="43" spans="1:21">
      <c r="A43" s="359" t="s">
        <v>1287</v>
      </c>
      <c r="B43" s="393">
        <f>B68</f>
        <v>0.34</v>
      </c>
      <c r="C43" s="188" t="s">
        <v>37</v>
      </c>
      <c r="D43" s="386" t="s">
        <v>2</v>
      </c>
      <c r="E43" s="188" t="s">
        <v>29</v>
      </c>
      <c r="F43" s="37" t="s">
        <v>14</v>
      </c>
      <c r="G43" s="188" t="s">
        <v>33</v>
      </c>
      <c r="H43" s="188">
        <v>1</v>
      </c>
      <c r="I43" s="188">
        <f>B43</f>
        <v>0.34</v>
      </c>
      <c r="J43" s="188" t="s">
        <v>31</v>
      </c>
      <c r="K43" s="188" t="s">
        <v>31</v>
      </c>
      <c r="L43" s="188" t="s">
        <v>31</v>
      </c>
      <c r="M43" s="188" t="s">
        <v>31</v>
      </c>
      <c r="O43" s="379"/>
      <c r="P43" s="392"/>
    </row>
    <row r="44" spans="1:21" ht="14.45">
      <c r="A44" s="384" t="s">
        <v>265</v>
      </c>
      <c r="B44" s="327">
        <f>P44</f>
        <v>0.65</v>
      </c>
      <c r="C44" s="188" t="s">
        <v>39</v>
      </c>
      <c r="D44" s="188" t="s">
        <v>40</v>
      </c>
      <c r="E44" s="188" t="s">
        <v>29</v>
      </c>
      <c r="F44" s="37" t="s">
        <v>35</v>
      </c>
      <c r="G44" s="188" t="s">
        <v>33</v>
      </c>
      <c r="H44" s="188">
        <v>2</v>
      </c>
      <c r="I44" s="188">
        <f t="shared" ref="I44" si="3">LN(B44)</f>
        <v>-0.43078291609245423</v>
      </c>
      <c r="J44" s="442">
        <v>7.2284161474004766E-2</v>
      </c>
      <c r="K44" s="188" t="s">
        <v>31</v>
      </c>
      <c r="L44" s="188" t="s">
        <v>31</v>
      </c>
      <c r="M44" s="188" t="s">
        <v>31</v>
      </c>
      <c r="O44" s="379" t="s">
        <v>271</v>
      </c>
      <c r="P44" s="107">
        <v>0.65</v>
      </c>
    </row>
    <row r="45" spans="1:21" ht="14.45">
      <c r="A45" s="116" t="s">
        <v>491</v>
      </c>
      <c r="B45" s="188">
        <f>R45</f>
        <v>1.4999999999999999E-2</v>
      </c>
      <c r="C45" s="188" t="s">
        <v>37</v>
      </c>
      <c r="D45" s="188" t="s">
        <v>40</v>
      </c>
      <c r="E45" s="188" t="s">
        <v>29</v>
      </c>
      <c r="F45" s="37" t="s">
        <v>59</v>
      </c>
      <c r="G45" s="188" t="s">
        <v>33</v>
      </c>
      <c r="H45" s="188">
        <v>2</v>
      </c>
      <c r="I45" s="188">
        <f>LN(B45)</f>
        <v>-4.1997050778799272</v>
      </c>
      <c r="J45" s="442">
        <v>7.2284161474004766E-2</v>
      </c>
      <c r="K45" s="188" t="s">
        <v>31</v>
      </c>
      <c r="L45" s="188" t="s">
        <v>31</v>
      </c>
      <c r="M45" s="188" t="s">
        <v>31</v>
      </c>
      <c r="O45" s="379" t="s">
        <v>857</v>
      </c>
      <c r="P45" s="107">
        <v>15</v>
      </c>
      <c r="Q45" s="188" t="s">
        <v>275</v>
      </c>
      <c r="R45" s="188">
        <f>P45*0.001</f>
        <v>1.4999999999999999E-2</v>
      </c>
    </row>
    <row r="46" spans="1:21" ht="14.45">
      <c r="A46" s="116" t="s">
        <v>921</v>
      </c>
      <c r="B46" s="188">
        <f>R46</f>
        <v>2.8000000000000001E-2</v>
      </c>
      <c r="C46" s="188" t="s">
        <v>37</v>
      </c>
      <c r="D46" s="188" t="s">
        <v>40</v>
      </c>
      <c r="E46" s="188" t="s">
        <v>29</v>
      </c>
      <c r="F46" s="37" t="s">
        <v>35</v>
      </c>
      <c r="G46" s="188" t="s">
        <v>33</v>
      </c>
      <c r="H46" s="188">
        <v>2</v>
      </c>
      <c r="I46" s="188">
        <f>LN(B46)</f>
        <v>-3.575550768806933</v>
      </c>
      <c r="J46" s="442">
        <v>7.2284161474004766E-2</v>
      </c>
      <c r="K46" s="188" t="s">
        <v>31</v>
      </c>
      <c r="L46" s="188" t="s">
        <v>31</v>
      </c>
      <c r="M46" s="188" t="s">
        <v>31</v>
      </c>
      <c r="O46" s="379" t="s">
        <v>857</v>
      </c>
      <c r="P46" s="107">
        <v>28</v>
      </c>
      <c r="Q46" s="188" t="s">
        <v>275</v>
      </c>
      <c r="R46" s="188">
        <f>P46*0.001</f>
        <v>2.8000000000000001E-2</v>
      </c>
    </row>
    <row r="47" spans="1:21" ht="14.45">
      <c r="A47" s="116" t="s">
        <v>844</v>
      </c>
      <c r="B47" s="188">
        <f>P47</f>
        <v>24.7</v>
      </c>
      <c r="C47" s="188" t="s">
        <v>37</v>
      </c>
      <c r="D47" s="188" t="s">
        <v>40</v>
      </c>
      <c r="E47" s="188" t="s">
        <v>29</v>
      </c>
      <c r="F47" s="37" t="s">
        <v>74</v>
      </c>
      <c r="G47" s="188" t="s">
        <v>33</v>
      </c>
      <c r="H47" s="188">
        <v>2</v>
      </c>
      <c r="I47" s="188">
        <f>LN(B47)</f>
        <v>3.2068032436339315</v>
      </c>
      <c r="J47" s="442">
        <v>7.2284161474004766E-2</v>
      </c>
      <c r="K47" s="188" t="s">
        <v>31</v>
      </c>
      <c r="L47" s="188" t="s">
        <v>31</v>
      </c>
      <c r="M47" s="188" t="s">
        <v>31</v>
      </c>
      <c r="O47" s="379" t="s">
        <v>275</v>
      </c>
      <c r="P47" s="107">
        <v>24.7</v>
      </c>
    </row>
    <row r="48" spans="1:21" ht="14.45">
      <c r="A48" s="116" t="s">
        <v>76</v>
      </c>
      <c r="B48" s="188">
        <f>R48</f>
        <v>2.47E-2</v>
      </c>
      <c r="C48" s="188" t="s">
        <v>42</v>
      </c>
      <c r="D48" s="188" t="s">
        <v>40</v>
      </c>
      <c r="E48" s="188" t="s">
        <v>29</v>
      </c>
      <c r="F48" s="37" t="s">
        <v>74</v>
      </c>
      <c r="G48" s="188" t="s">
        <v>33</v>
      </c>
      <c r="H48" s="188">
        <v>2</v>
      </c>
      <c r="I48" s="188">
        <f t="shared" ref="I48" si="4">LN(B48)</f>
        <v>-3.7009520353482057</v>
      </c>
      <c r="J48" s="442">
        <v>7.2284161474004766E-2</v>
      </c>
      <c r="K48" s="188" t="s">
        <v>31</v>
      </c>
      <c r="L48" s="188" t="s">
        <v>31</v>
      </c>
      <c r="M48" s="188" t="s">
        <v>31</v>
      </c>
      <c r="O48" s="396" t="s">
        <v>913</v>
      </c>
      <c r="P48" s="123">
        <v>24.7</v>
      </c>
      <c r="Q48" s="188" t="s">
        <v>274</v>
      </c>
      <c r="R48" s="188">
        <f>P48/1000</f>
        <v>2.47E-2</v>
      </c>
    </row>
    <row r="49" spans="1:18">
      <c r="A49" s="382" t="s">
        <v>5</v>
      </c>
      <c r="B49" s="348" t="s">
        <v>1288</v>
      </c>
      <c r="C49" s="349"/>
      <c r="D49" s="330"/>
      <c r="E49" s="330"/>
      <c r="F49" s="330"/>
      <c r="G49" s="330"/>
      <c r="H49" s="330"/>
      <c r="I49" s="330"/>
      <c r="J49" s="330"/>
      <c r="K49" s="330"/>
      <c r="L49" s="330"/>
      <c r="M49" s="330"/>
      <c r="N49" s="330"/>
      <c r="O49" s="330"/>
      <c r="P49" s="330"/>
      <c r="Q49" s="330"/>
      <c r="R49" s="330"/>
    </row>
    <row r="50" spans="1:18">
      <c r="A50" s="384" t="s">
        <v>7</v>
      </c>
      <c r="B50" s="188" t="s">
        <v>831</v>
      </c>
      <c r="C50" s="322"/>
    </row>
    <row r="51" spans="1:18">
      <c r="A51" s="384" t="s">
        <v>9</v>
      </c>
      <c r="B51" s="188" t="s">
        <v>1289</v>
      </c>
      <c r="C51" s="322"/>
    </row>
    <row r="52" spans="1:18" ht="10.5" customHeight="1">
      <c r="A52" s="384" t="s">
        <v>11</v>
      </c>
      <c r="B52" s="324" t="s">
        <v>841</v>
      </c>
    </row>
    <row r="53" spans="1:18">
      <c r="A53" s="384" t="s">
        <v>13</v>
      </c>
      <c r="B53" s="188" t="s">
        <v>14</v>
      </c>
    </row>
    <row r="54" spans="1:18">
      <c r="A54" s="384" t="s">
        <v>15</v>
      </c>
      <c r="B54" s="398">
        <f>B59</f>
        <v>3.2000000000000001E-2</v>
      </c>
    </row>
    <row r="55" spans="1:18">
      <c r="A55" s="384" t="s">
        <v>16</v>
      </c>
      <c r="B55" s="188" t="s">
        <v>17</v>
      </c>
    </row>
    <row r="56" spans="1:18">
      <c r="A56" s="384" t="s">
        <v>18</v>
      </c>
      <c r="B56" s="188" t="s">
        <v>37</v>
      </c>
    </row>
    <row r="57" spans="1:18">
      <c r="A57" s="385" t="s">
        <v>19</v>
      </c>
    </row>
    <row r="58" spans="1:18">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row>
    <row r="59" spans="1:18">
      <c r="A59" s="359" t="s">
        <v>1288</v>
      </c>
      <c r="B59" s="398">
        <f>0.032</f>
        <v>3.2000000000000001E-2</v>
      </c>
      <c r="C59" s="188" t="s">
        <v>37</v>
      </c>
      <c r="D59" s="386" t="s">
        <v>2</v>
      </c>
      <c r="E59" s="188" t="s">
        <v>29</v>
      </c>
      <c r="F59" s="37" t="s">
        <v>14</v>
      </c>
      <c r="G59" s="188" t="s">
        <v>30</v>
      </c>
      <c r="H59" s="188">
        <v>1</v>
      </c>
      <c r="I59" s="398">
        <f>B59</f>
        <v>3.2000000000000001E-2</v>
      </c>
      <c r="J59" s="188" t="s">
        <v>31</v>
      </c>
      <c r="K59" s="188" t="s">
        <v>31</v>
      </c>
      <c r="L59" s="188" t="s">
        <v>31</v>
      </c>
      <c r="M59" s="188" t="s">
        <v>31</v>
      </c>
      <c r="O59" s="192"/>
      <c r="P59" s="399"/>
    </row>
    <row r="60" spans="1:18" ht="14.45">
      <c r="A60" s="116" t="s">
        <v>924</v>
      </c>
      <c r="B60" s="327">
        <f>R60</f>
        <v>3.4000000000000002E-2</v>
      </c>
      <c r="C60" s="188" t="s">
        <v>37</v>
      </c>
      <c r="D60" s="188" t="s">
        <v>40</v>
      </c>
      <c r="E60" s="188" t="s">
        <v>29</v>
      </c>
      <c r="F60" s="37" t="s">
        <v>59</v>
      </c>
      <c r="G60" s="188" t="s">
        <v>33</v>
      </c>
      <c r="H60" s="188">
        <v>2</v>
      </c>
      <c r="I60" s="188">
        <f>LN(B60)</f>
        <v>-3.3813947543659757</v>
      </c>
      <c r="J60" s="188">
        <v>7.2284161474004766E-2</v>
      </c>
      <c r="K60" s="188" t="s">
        <v>31</v>
      </c>
      <c r="L60" s="188" t="s">
        <v>31</v>
      </c>
      <c r="M60" s="188" t="s">
        <v>31</v>
      </c>
      <c r="O60" s="379" t="s">
        <v>857</v>
      </c>
      <c r="P60" s="107">
        <v>34</v>
      </c>
      <c r="Q60" s="188" t="s">
        <v>275</v>
      </c>
      <c r="R60" s="188">
        <f>P60*0.001</f>
        <v>3.4000000000000002E-2</v>
      </c>
    </row>
    <row r="61" spans="1:18" ht="14.45">
      <c r="A61" s="384" t="s">
        <v>265</v>
      </c>
      <c r="B61" s="327">
        <f>P61</f>
        <v>0.15</v>
      </c>
      <c r="C61" s="188" t="s">
        <v>39</v>
      </c>
      <c r="D61" s="188" t="s">
        <v>40</v>
      </c>
      <c r="E61" s="188" t="s">
        <v>29</v>
      </c>
      <c r="F61" s="37" t="s">
        <v>35</v>
      </c>
      <c r="G61" s="188" t="s">
        <v>33</v>
      </c>
      <c r="H61" s="188">
        <v>2</v>
      </c>
      <c r="I61" s="188">
        <f t="shared" ref="I61:I62" si="5">LN(B61)</f>
        <v>-1.8971199848858813</v>
      </c>
      <c r="J61" s="188">
        <v>7.2284161474004766E-2</v>
      </c>
      <c r="K61" s="188" t="s">
        <v>31</v>
      </c>
      <c r="L61" s="188" t="s">
        <v>31</v>
      </c>
      <c r="M61" s="188" t="s">
        <v>31</v>
      </c>
      <c r="O61" s="379" t="s">
        <v>271</v>
      </c>
      <c r="P61" s="107">
        <v>0.15</v>
      </c>
    </row>
    <row r="62" spans="1:18">
      <c r="A62" s="359" t="s">
        <v>835</v>
      </c>
      <c r="B62" s="188">
        <v>3.2000000000000001E-2</v>
      </c>
      <c r="C62" s="188" t="s">
        <v>37</v>
      </c>
      <c r="D62" s="386" t="s">
        <v>2</v>
      </c>
      <c r="E62" s="188" t="s">
        <v>29</v>
      </c>
      <c r="F62" s="37" t="s">
        <v>74</v>
      </c>
      <c r="G62" s="188" t="s">
        <v>33</v>
      </c>
      <c r="H62" s="188">
        <v>2</v>
      </c>
      <c r="I62" s="188">
        <f t="shared" si="5"/>
        <v>-3.4420193761824103</v>
      </c>
      <c r="J62" s="188">
        <v>7.2284161474004766E-2</v>
      </c>
      <c r="K62" s="188" t="s">
        <v>31</v>
      </c>
      <c r="L62" s="188" t="s">
        <v>31</v>
      </c>
      <c r="M62" s="188" t="s">
        <v>31</v>
      </c>
    </row>
    <row r="63" spans="1:18" s="17" customFormat="1" ht="15.6">
      <c r="A63" s="382" t="s">
        <v>5</v>
      </c>
      <c r="B63" s="348" t="s">
        <v>1287</v>
      </c>
      <c r="C63" s="349"/>
      <c r="D63" s="330"/>
      <c r="E63" s="330"/>
      <c r="F63" s="330"/>
      <c r="G63" s="330"/>
      <c r="H63" s="330"/>
      <c r="I63" s="330"/>
      <c r="J63" s="330"/>
      <c r="K63" s="330"/>
      <c r="L63" s="330"/>
      <c r="M63" s="330"/>
      <c r="N63" s="330"/>
      <c r="O63" s="400"/>
      <c r="P63" s="400"/>
      <c r="Q63" s="400"/>
      <c r="R63" s="400"/>
    </row>
    <row r="64" spans="1:18"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1290</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f>B73</f>
        <v>0.34</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1287</v>
      </c>
      <c r="B73" s="327">
        <v>0.34</v>
      </c>
      <c r="C73" s="188" t="s">
        <v>37</v>
      </c>
      <c r="D73" s="386" t="s">
        <v>2</v>
      </c>
      <c r="E73" s="188" t="s">
        <v>29</v>
      </c>
      <c r="F73" s="37" t="s">
        <v>14</v>
      </c>
      <c r="G73" s="188" t="s">
        <v>30</v>
      </c>
      <c r="H73" s="188">
        <v>1</v>
      </c>
      <c r="I73" s="335">
        <f>B73</f>
        <v>0.34</v>
      </c>
      <c r="J73" s="188" t="s">
        <v>31</v>
      </c>
      <c r="K73" s="188" t="s">
        <v>31</v>
      </c>
      <c r="L73" s="188" t="s">
        <v>31</v>
      </c>
      <c r="M73" s="188" t="s">
        <v>31</v>
      </c>
      <c r="N73" s="188"/>
      <c r="O73" s="180"/>
      <c r="P73" s="401"/>
    </row>
    <row r="74" spans="1:16" s="17" customFormat="1" ht="15.6">
      <c r="A74" s="116" t="s">
        <v>237</v>
      </c>
      <c r="B74" s="327">
        <v>0.34</v>
      </c>
      <c r="C74" s="188" t="s">
        <v>37</v>
      </c>
      <c r="D74" s="188" t="s">
        <v>40</v>
      </c>
      <c r="E74" s="188" t="s">
        <v>29</v>
      </c>
      <c r="F74" s="37" t="s">
        <v>59</v>
      </c>
      <c r="G74" s="188" t="s">
        <v>33</v>
      </c>
      <c r="H74" s="188">
        <v>1</v>
      </c>
      <c r="I74" s="335">
        <f t="shared" ref="I74:I75" si="6">B74</f>
        <v>0.34</v>
      </c>
      <c r="J74" s="188" t="s">
        <v>31</v>
      </c>
      <c r="K74" s="188" t="s">
        <v>31</v>
      </c>
      <c r="L74" s="188" t="s">
        <v>31</v>
      </c>
      <c r="M74" s="188" t="s">
        <v>31</v>
      </c>
      <c r="N74" s="188"/>
      <c r="O74" s="180"/>
      <c r="P74" s="401"/>
    </row>
    <row r="75" spans="1:16" s="17" customFormat="1" ht="15.6">
      <c r="A75" s="116" t="s">
        <v>926</v>
      </c>
      <c r="B75" s="327">
        <v>0.34</v>
      </c>
      <c r="C75" s="188" t="s">
        <v>37</v>
      </c>
      <c r="D75" s="188" t="s">
        <v>40</v>
      </c>
      <c r="E75" s="188" t="s">
        <v>29</v>
      </c>
      <c r="F75" s="37" t="s">
        <v>59</v>
      </c>
      <c r="G75" s="188" t="s">
        <v>33</v>
      </c>
      <c r="H75" s="188">
        <v>1</v>
      </c>
      <c r="I75" s="335">
        <f t="shared" si="6"/>
        <v>0.34</v>
      </c>
      <c r="J75" s="188" t="s">
        <v>31</v>
      </c>
      <c r="K75" s="188" t="s">
        <v>31</v>
      </c>
      <c r="L75" s="188" t="s">
        <v>31</v>
      </c>
      <c r="M75" s="188" t="s">
        <v>31</v>
      </c>
      <c r="N75" s="188"/>
      <c r="O75" s="180"/>
      <c r="P75" s="401"/>
    </row>
    <row r="76" spans="1:16" s="400" customFormat="1" ht="15.6">
      <c r="A76" s="347" t="s">
        <v>5</v>
      </c>
      <c r="B76" s="348" t="s">
        <v>1291</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1292</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03">
        <f>B86</f>
        <v>12.46</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1291</v>
      </c>
      <c r="B86" s="335">
        <v>12.46</v>
      </c>
      <c r="C86" s="188" t="s">
        <v>37</v>
      </c>
      <c r="D86" s="386" t="s">
        <v>2</v>
      </c>
      <c r="E86" s="188" t="s">
        <v>29</v>
      </c>
      <c r="F86" s="188" t="s">
        <v>14</v>
      </c>
      <c r="G86" s="188" t="s">
        <v>929</v>
      </c>
      <c r="H86" s="188">
        <v>1</v>
      </c>
      <c r="I86" s="335">
        <f>B86</f>
        <v>12.46</v>
      </c>
      <c r="J86" s="188" t="s">
        <v>31</v>
      </c>
      <c r="K86" s="188" t="s">
        <v>31</v>
      </c>
      <c r="L86" s="188" t="s">
        <v>31</v>
      </c>
      <c r="M86" s="188" t="s">
        <v>31</v>
      </c>
      <c r="N86" s="188"/>
      <c r="O86" s="180"/>
      <c r="P86" s="401"/>
    </row>
    <row r="87" spans="1:19" s="17" customFormat="1" ht="15.6">
      <c r="A87" s="84" t="s">
        <v>755</v>
      </c>
      <c r="B87" s="335">
        <v>12.46</v>
      </c>
      <c r="C87" s="188" t="s">
        <v>37</v>
      </c>
      <c r="D87" s="188" t="s">
        <v>40</v>
      </c>
      <c r="E87" s="188" t="s">
        <v>29</v>
      </c>
      <c r="F87" s="37" t="s">
        <v>59</v>
      </c>
      <c r="G87" s="188" t="s">
        <v>33</v>
      </c>
      <c r="H87" s="188">
        <v>1</v>
      </c>
      <c r="I87" s="335">
        <f t="shared" ref="I87:I89" si="7">B87</f>
        <v>12.46</v>
      </c>
      <c r="J87" s="188" t="s">
        <v>31</v>
      </c>
      <c r="K87" s="188" t="s">
        <v>31</v>
      </c>
      <c r="L87" s="188" t="s">
        <v>31</v>
      </c>
      <c r="M87" s="188" t="s">
        <v>31</v>
      </c>
      <c r="N87" s="188"/>
      <c r="O87" s="180"/>
      <c r="P87" s="401"/>
    </row>
    <row r="88" spans="1:19" s="17" customFormat="1" ht="15.6">
      <c r="A88" s="84" t="s">
        <v>930</v>
      </c>
      <c r="B88" s="335">
        <v>12.46</v>
      </c>
      <c r="C88" s="188" t="s">
        <v>37</v>
      </c>
      <c r="D88" s="188" t="s">
        <v>40</v>
      </c>
      <c r="E88" s="188" t="s">
        <v>29</v>
      </c>
      <c r="F88" s="37" t="s">
        <v>59</v>
      </c>
      <c r="G88" s="188" t="s">
        <v>33</v>
      </c>
      <c r="H88" s="188">
        <v>1</v>
      </c>
      <c r="I88" s="335">
        <f t="shared" si="7"/>
        <v>12.46</v>
      </c>
      <c r="J88" s="188" t="s">
        <v>31</v>
      </c>
      <c r="K88" s="188" t="s">
        <v>31</v>
      </c>
      <c r="L88" s="188" t="s">
        <v>31</v>
      </c>
      <c r="M88" s="188" t="s">
        <v>31</v>
      </c>
      <c r="N88" s="188"/>
      <c r="O88" s="180"/>
      <c r="P88" s="401"/>
    </row>
    <row r="89" spans="1:19" s="17" customFormat="1" ht="15.6">
      <c r="A89" s="84" t="s">
        <v>931</v>
      </c>
      <c r="B89" s="335">
        <v>12.46</v>
      </c>
      <c r="C89" s="188" t="s">
        <v>37</v>
      </c>
      <c r="D89" s="188" t="s">
        <v>40</v>
      </c>
      <c r="E89" s="188" t="s">
        <v>29</v>
      </c>
      <c r="F89" s="37" t="s">
        <v>35</v>
      </c>
      <c r="G89" s="188" t="s">
        <v>33</v>
      </c>
      <c r="H89" s="188">
        <v>1</v>
      </c>
      <c r="I89" s="335">
        <f t="shared" si="7"/>
        <v>12.46</v>
      </c>
      <c r="J89" s="188" t="s">
        <v>31</v>
      </c>
      <c r="K89" s="188" t="s">
        <v>31</v>
      </c>
      <c r="L89" s="188" t="s">
        <v>31</v>
      </c>
      <c r="M89" s="188" t="s">
        <v>31</v>
      </c>
      <c r="N89" s="188"/>
      <c r="O89" s="180"/>
      <c r="P89" s="401"/>
    </row>
    <row r="90" spans="1:19" s="17" customFormat="1" ht="15.6">
      <c r="A90" s="347" t="s">
        <v>5</v>
      </c>
      <c r="B90" s="348" t="s">
        <v>1277</v>
      </c>
      <c r="C90" s="349"/>
      <c r="D90" s="33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1293</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335">
        <f>B100</f>
        <v>12.46</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192" t="s">
        <v>1277</v>
      </c>
      <c r="B100" s="468">
        <f>B101</f>
        <v>12.46</v>
      </c>
      <c r="C100" s="188" t="s">
        <v>37</v>
      </c>
      <c r="D100" s="188" t="s">
        <v>2</v>
      </c>
      <c r="E100" s="188" t="s">
        <v>29</v>
      </c>
      <c r="F100" s="37" t="s">
        <v>14</v>
      </c>
      <c r="G100" s="188" t="s">
        <v>30</v>
      </c>
      <c r="H100" s="188">
        <v>1</v>
      </c>
      <c r="I100" s="188">
        <f>B100</f>
        <v>12.46</v>
      </c>
      <c r="J100" s="188" t="s">
        <v>31</v>
      </c>
      <c r="K100" s="188" t="s">
        <v>31</v>
      </c>
      <c r="L100" s="188" t="s">
        <v>31</v>
      </c>
      <c r="M100" s="188" t="s">
        <v>31</v>
      </c>
      <c r="N100" s="188"/>
    </row>
    <row r="101" spans="1:14" s="17" customFormat="1" ht="15.6">
      <c r="A101" s="192" t="s">
        <v>1291</v>
      </c>
      <c r="B101" s="468">
        <f>B86</f>
        <v>12.46</v>
      </c>
      <c r="C101" s="188" t="s">
        <v>37</v>
      </c>
      <c r="D101" s="188" t="s">
        <v>2</v>
      </c>
      <c r="E101" s="188" t="s">
        <v>29</v>
      </c>
      <c r="F101" s="37" t="s">
        <v>14</v>
      </c>
      <c r="G101" s="188" t="s">
        <v>33</v>
      </c>
      <c r="H101" s="188">
        <v>1</v>
      </c>
      <c r="I101" s="188">
        <f>B101</f>
        <v>12.46</v>
      </c>
      <c r="J101" s="188" t="s">
        <v>31</v>
      </c>
      <c r="K101" s="188" t="s">
        <v>31</v>
      </c>
      <c r="L101" s="188" t="s">
        <v>31</v>
      </c>
      <c r="M101" s="188" t="s">
        <v>31</v>
      </c>
      <c r="N101" s="188"/>
    </row>
    <row r="102" spans="1:14" s="17" customFormat="1" ht="15.6">
      <c r="A102" s="105" t="s">
        <v>933</v>
      </c>
      <c r="B102" s="188">
        <v>3.5999999999999997E-2</v>
      </c>
      <c r="C102" s="188" t="s">
        <v>37</v>
      </c>
      <c r="D102" s="188" t="s">
        <v>40</v>
      </c>
      <c r="E102" s="188" t="s">
        <v>29</v>
      </c>
      <c r="F102" s="37" t="s">
        <v>82</v>
      </c>
      <c r="G102" s="188" t="s">
        <v>33</v>
      </c>
      <c r="H102" s="188">
        <v>1</v>
      </c>
      <c r="I102" s="188">
        <f t="shared" ref="I102:I104" si="8">B102</f>
        <v>3.5999999999999997E-2</v>
      </c>
      <c r="J102" s="188" t="s">
        <v>31</v>
      </c>
      <c r="K102" s="188" t="s">
        <v>31</v>
      </c>
      <c r="L102" s="188" t="s">
        <v>31</v>
      </c>
      <c r="M102" s="188" t="s">
        <v>31</v>
      </c>
      <c r="N102" s="188"/>
    </row>
    <row r="103" spans="1:14" s="17" customFormat="1" ht="15.6">
      <c r="A103" s="105" t="s">
        <v>934</v>
      </c>
      <c r="B103" s="188">
        <v>0.83</v>
      </c>
      <c r="C103" s="188" t="s">
        <v>853</v>
      </c>
      <c r="D103" s="188" t="s">
        <v>40</v>
      </c>
      <c r="E103" s="188" t="s">
        <v>29</v>
      </c>
      <c r="F103" s="37" t="s">
        <v>59</v>
      </c>
      <c r="G103" s="188" t="s">
        <v>33</v>
      </c>
      <c r="H103" s="188">
        <v>1</v>
      </c>
      <c r="I103" s="188">
        <f t="shared" si="8"/>
        <v>0.83</v>
      </c>
      <c r="J103" s="188" t="s">
        <v>31</v>
      </c>
      <c r="K103" s="188" t="s">
        <v>31</v>
      </c>
      <c r="L103" s="188" t="s">
        <v>31</v>
      </c>
      <c r="M103" s="188" t="s">
        <v>31</v>
      </c>
      <c r="N103" s="188"/>
    </row>
    <row r="104" spans="1:14" s="17" customFormat="1" ht="15.6">
      <c r="A104" s="105" t="s">
        <v>935</v>
      </c>
      <c r="B104" s="188">
        <v>3.5999999999999997E-2</v>
      </c>
      <c r="C104" s="188" t="s">
        <v>37</v>
      </c>
      <c r="D104" s="188" t="s">
        <v>40</v>
      </c>
      <c r="E104" s="188" t="s">
        <v>29</v>
      </c>
      <c r="F104" s="37" t="s">
        <v>59</v>
      </c>
      <c r="G104" s="188" t="s">
        <v>33</v>
      </c>
      <c r="H104" s="188">
        <v>1</v>
      </c>
      <c r="I104" s="188">
        <f t="shared" si="8"/>
        <v>3.5999999999999997E-2</v>
      </c>
      <c r="J104" s="188" t="s">
        <v>31</v>
      </c>
      <c r="K104" s="188" t="s">
        <v>31</v>
      </c>
      <c r="L104" s="188" t="s">
        <v>31</v>
      </c>
      <c r="M104" s="188" t="s">
        <v>31</v>
      </c>
      <c r="N104" s="188"/>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D1DC-1C4E-48B2-9064-C87D3EDCF3B4}">
  <sheetPr>
    <tabColor theme="6" tint="0.79998168889431442"/>
  </sheetPr>
  <dimension ref="A1:V49"/>
  <sheetViews>
    <sheetView topLeftCell="A9" zoomScaleNormal="100" workbookViewId="0">
      <selection activeCell="A12" sqref="A12"/>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s="188" t="s">
        <v>0</v>
      </c>
      <c r="B1" s="188">
        <v>13</v>
      </c>
      <c r="C1" s="188"/>
      <c r="D1" s="188"/>
      <c r="E1" s="188"/>
      <c r="F1" s="188"/>
      <c r="G1" s="188"/>
      <c r="H1" s="188"/>
      <c r="I1" s="188"/>
      <c r="J1" s="188"/>
      <c r="K1" s="188"/>
      <c r="L1" s="188"/>
      <c r="M1" s="188"/>
      <c r="N1" s="188"/>
      <c r="O1" s="188"/>
      <c r="P1" s="188"/>
      <c r="Q1" s="188"/>
      <c r="R1" s="188"/>
      <c r="S1" s="188"/>
      <c r="T1" s="188"/>
      <c r="U1" s="188"/>
      <c r="V1" s="188"/>
    </row>
    <row r="2" spans="1:22" s="73" customFormat="1">
      <c r="A2" s="347" t="s">
        <v>5</v>
      </c>
      <c r="B2" s="348" t="s">
        <v>1276</v>
      </c>
      <c r="C2" s="330"/>
      <c r="D2" s="330"/>
      <c r="E2" s="330"/>
      <c r="F2" s="330"/>
      <c r="G2" s="330"/>
      <c r="H2" s="330"/>
      <c r="I2" s="330"/>
      <c r="J2" s="330"/>
      <c r="K2" s="330"/>
      <c r="L2" s="330"/>
      <c r="M2" s="330"/>
      <c r="N2" s="330"/>
      <c r="O2" s="330"/>
      <c r="P2" s="330"/>
      <c r="Q2" s="330"/>
      <c r="R2" s="330"/>
      <c r="S2" s="330"/>
      <c r="T2" s="330"/>
      <c r="U2" s="330"/>
      <c r="V2" s="330"/>
    </row>
    <row r="3" spans="1:22">
      <c r="A3" s="323" t="s">
        <v>7</v>
      </c>
      <c r="B3" s="188" t="s">
        <v>831</v>
      </c>
      <c r="C3" s="322"/>
      <c r="D3" s="188"/>
      <c r="E3" s="188"/>
      <c r="F3" s="188"/>
      <c r="G3" s="188"/>
      <c r="H3" s="188"/>
      <c r="I3" s="188"/>
      <c r="J3" s="188"/>
      <c r="K3" s="188"/>
      <c r="L3" s="188"/>
      <c r="M3" s="188"/>
      <c r="N3" s="188"/>
      <c r="O3" s="188"/>
      <c r="P3" s="188"/>
      <c r="Q3" s="188"/>
      <c r="R3" s="188"/>
      <c r="S3" s="188"/>
      <c r="T3" s="188"/>
      <c r="U3" s="188"/>
      <c r="V3" s="188"/>
    </row>
    <row r="4" spans="1:22">
      <c r="A4" s="402" t="s">
        <v>9</v>
      </c>
      <c r="B4" s="188" t="s">
        <v>1294</v>
      </c>
      <c r="C4" s="322"/>
      <c r="D4" s="188"/>
      <c r="E4" s="188"/>
      <c r="F4" s="188"/>
      <c r="G4" s="188"/>
      <c r="H4" s="188"/>
      <c r="I4" s="188"/>
      <c r="J4" s="188"/>
      <c r="K4" s="188"/>
      <c r="L4" s="188"/>
      <c r="M4" s="188"/>
      <c r="N4" s="188"/>
      <c r="O4" s="188"/>
      <c r="P4" s="188"/>
      <c r="Q4" s="188"/>
      <c r="R4" s="188"/>
      <c r="S4" s="188"/>
      <c r="T4" s="188"/>
      <c r="U4" s="188"/>
      <c r="V4" s="188"/>
    </row>
    <row r="5" spans="1:22" ht="15.75" customHeight="1">
      <c r="A5" s="323" t="s">
        <v>11</v>
      </c>
      <c r="B5" s="324" t="s">
        <v>841</v>
      </c>
      <c r="C5" s="188"/>
      <c r="D5" s="188"/>
      <c r="E5" s="188"/>
      <c r="F5" s="188"/>
      <c r="G5" s="188"/>
      <c r="H5" s="188"/>
      <c r="I5" s="188"/>
      <c r="J5" s="188"/>
      <c r="K5" s="188"/>
      <c r="L5" s="188"/>
      <c r="M5" s="188"/>
      <c r="N5" s="188"/>
      <c r="O5" s="188"/>
      <c r="P5" s="188"/>
      <c r="Q5" s="188"/>
      <c r="R5" s="188"/>
      <c r="S5" s="188"/>
      <c r="T5" s="188"/>
      <c r="U5" s="188"/>
      <c r="V5" s="188"/>
    </row>
    <row r="6" spans="1:22">
      <c r="A6" s="323" t="s">
        <v>13</v>
      </c>
      <c r="B6" s="188" t="s">
        <v>14</v>
      </c>
      <c r="C6" s="188"/>
      <c r="D6" s="188"/>
      <c r="E6" s="188"/>
      <c r="F6" s="188"/>
      <c r="G6" s="188"/>
      <c r="H6" s="188"/>
      <c r="I6" s="188"/>
      <c r="J6" s="188"/>
      <c r="K6" s="188"/>
      <c r="L6" s="188"/>
      <c r="M6" s="188"/>
      <c r="N6" s="188"/>
      <c r="O6" s="188"/>
      <c r="P6" s="188"/>
      <c r="Q6" s="188"/>
      <c r="R6" s="188"/>
      <c r="S6" s="188"/>
      <c r="T6" s="188"/>
      <c r="U6" s="188"/>
      <c r="V6" s="188"/>
    </row>
    <row r="7" spans="1:22">
      <c r="A7" s="323" t="s">
        <v>15</v>
      </c>
      <c r="B7" s="393">
        <f>B12</f>
        <v>0.03</v>
      </c>
      <c r="C7" s="188"/>
      <c r="D7" s="188"/>
      <c r="E7" s="188"/>
      <c r="F7" s="188"/>
      <c r="G7" s="188"/>
      <c r="H7" s="188"/>
      <c r="I7" s="188"/>
      <c r="J7" s="188"/>
      <c r="K7" s="188"/>
      <c r="L7" s="188"/>
      <c r="M7" s="188"/>
      <c r="N7" s="188"/>
      <c r="O7" s="188"/>
      <c r="P7" s="188"/>
      <c r="Q7" s="188"/>
      <c r="R7" s="188"/>
      <c r="S7" s="188"/>
      <c r="T7" s="188"/>
      <c r="U7" s="188"/>
      <c r="V7" s="188"/>
    </row>
    <row r="8" spans="1:22">
      <c r="A8" s="323" t="s">
        <v>16</v>
      </c>
      <c r="B8" s="188" t="s">
        <v>17</v>
      </c>
      <c r="C8" s="188"/>
      <c r="D8" s="188"/>
      <c r="E8" s="188"/>
      <c r="F8" s="188"/>
      <c r="G8" s="188"/>
      <c r="H8" s="188"/>
      <c r="I8" s="188"/>
      <c r="J8" s="188"/>
      <c r="K8" s="188"/>
      <c r="L8" s="188"/>
      <c r="M8" s="188"/>
      <c r="N8" s="188"/>
      <c r="O8" s="188"/>
      <c r="P8" s="188"/>
      <c r="Q8" s="188"/>
      <c r="R8" s="188"/>
      <c r="S8" s="188"/>
      <c r="T8" s="188"/>
      <c r="U8" s="188"/>
      <c r="V8" s="188"/>
    </row>
    <row r="9" spans="1:22">
      <c r="A9" s="323" t="s">
        <v>18</v>
      </c>
      <c r="B9" s="188" t="s">
        <v>37</v>
      </c>
      <c r="C9" s="188"/>
      <c r="D9" s="188"/>
      <c r="E9" s="188"/>
      <c r="F9" s="188"/>
      <c r="G9" s="188"/>
      <c r="H9" s="188"/>
      <c r="I9" s="188"/>
      <c r="J9" s="188"/>
      <c r="K9" s="188"/>
      <c r="L9" s="188"/>
      <c r="M9" s="188"/>
      <c r="N9" s="188"/>
      <c r="O9" s="188"/>
      <c r="P9" s="188"/>
      <c r="Q9" s="188"/>
      <c r="R9" s="188"/>
      <c r="S9" s="321" t="s">
        <v>937</v>
      </c>
      <c r="T9" s="188"/>
      <c r="U9" s="188"/>
      <c r="V9" s="188"/>
    </row>
    <row r="10" spans="1:22">
      <c r="A10" s="320" t="s">
        <v>19</v>
      </c>
      <c r="B10" s="188"/>
      <c r="C10" s="188"/>
      <c r="D10" s="188"/>
      <c r="E10" s="188"/>
      <c r="F10" s="188"/>
      <c r="G10" s="188"/>
      <c r="H10" s="188"/>
      <c r="I10" s="188"/>
      <c r="J10" s="188"/>
      <c r="K10" s="188"/>
      <c r="L10" s="188"/>
      <c r="M10" s="188"/>
      <c r="N10" s="188"/>
      <c r="O10" s="188"/>
      <c r="P10" s="188"/>
      <c r="Q10" s="188"/>
      <c r="R10" s="188"/>
      <c r="S10" s="188" t="s">
        <v>938</v>
      </c>
      <c r="T10" s="188">
        <v>8900</v>
      </c>
      <c r="U10" s="188" t="s">
        <v>939</v>
      </c>
      <c r="V10" s="188"/>
    </row>
    <row r="11" spans="1:22">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t="s">
        <v>940</v>
      </c>
      <c r="T11" s="188">
        <f>5*10^-6</f>
        <v>4.9999999999999996E-6</v>
      </c>
      <c r="U11" s="188" t="s">
        <v>941</v>
      </c>
      <c r="V11" s="188"/>
    </row>
    <row r="12" spans="1:22">
      <c r="A12" s="188" t="s">
        <v>1276</v>
      </c>
      <c r="B12" s="439">
        <f>B13</f>
        <v>0.03</v>
      </c>
      <c r="C12" s="188" t="s">
        <v>37</v>
      </c>
      <c r="D12" s="386" t="s">
        <v>2</v>
      </c>
      <c r="E12" s="188" t="s">
        <v>29</v>
      </c>
      <c r="F12" s="188" t="s">
        <v>14</v>
      </c>
      <c r="G12" s="188" t="s">
        <v>30</v>
      </c>
      <c r="H12" s="188">
        <v>1</v>
      </c>
      <c r="I12" s="188">
        <v>1</v>
      </c>
      <c r="J12" s="188" t="s">
        <v>31</v>
      </c>
      <c r="K12" s="188" t="s">
        <v>31</v>
      </c>
      <c r="L12" s="188" t="s">
        <v>31</v>
      </c>
      <c r="M12" s="188" t="s">
        <v>31</v>
      </c>
      <c r="N12" s="188"/>
      <c r="O12" s="367" t="s">
        <v>1295</v>
      </c>
      <c r="P12" s="428"/>
      <c r="Q12" s="188" t="s">
        <v>268</v>
      </c>
      <c r="R12" s="188"/>
      <c r="S12" s="405" t="s">
        <v>942</v>
      </c>
      <c r="T12" s="406">
        <f>T11*T10</f>
        <v>4.4499999999999998E-2</v>
      </c>
      <c r="U12" s="407" t="s">
        <v>943</v>
      </c>
      <c r="V12" s="188"/>
    </row>
    <row r="13" spans="1:22">
      <c r="A13" s="188" t="s">
        <v>1296</v>
      </c>
      <c r="B13" s="439">
        <f>B28</f>
        <v>0.03</v>
      </c>
      <c r="C13" s="188" t="s">
        <v>853</v>
      </c>
      <c r="D13" s="386" t="s">
        <v>2</v>
      </c>
      <c r="E13" s="188" t="s">
        <v>29</v>
      </c>
      <c r="F13" s="188" t="s">
        <v>14</v>
      </c>
      <c r="G13" s="188" t="s">
        <v>33</v>
      </c>
      <c r="H13" s="188">
        <v>1</v>
      </c>
      <c r="I13" s="393">
        <f>B13</f>
        <v>0.03</v>
      </c>
      <c r="J13" s="188">
        <v>7.2284161474004766E-2</v>
      </c>
      <c r="K13" s="188" t="s">
        <v>31</v>
      </c>
      <c r="L13" s="188" t="s">
        <v>31</v>
      </c>
      <c r="M13" s="188" t="s">
        <v>31</v>
      </c>
      <c r="N13" s="188"/>
      <c r="O13" s="379" t="s">
        <v>944</v>
      </c>
      <c r="P13" s="440">
        <f>B13*100</f>
        <v>3</v>
      </c>
      <c r="Q13" s="188"/>
      <c r="R13" s="188"/>
      <c r="S13" s="188"/>
      <c r="T13" s="188"/>
      <c r="U13" s="188"/>
      <c r="V13" s="188"/>
    </row>
    <row r="14" spans="1:22">
      <c r="A14" s="192" t="s">
        <v>1288</v>
      </c>
      <c r="B14" s="398">
        <f>U15</f>
        <v>6.6750000000000004E-2</v>
      </c>
      <c r="C14" s="188" t="s">
        <v>37</v>
      </c>
      <c r="D14" s="386" t="s">
        <v>2</v>
      </c>
      <c r="E14" s="188" t="s">
        <v>29</v>
      </c>
      <c r="F14" s="37" t="s">
        <v>14</v>
      </c>
      <c r="G14" s="188" t="s">
        <v>33</v>
      </c>
      <c r="H14" s="188">
        <v>1</v>
      </c>
      <c r="I14" s="393">
        <f>B14</f>
        <v>6.6750000000000004E-2</v>
      </c>
      <c r="J14" s="188">
        <v>7.2284161474004766E-2</v>
      </c>
      <c r="K14" s="188" t="s">
        <v>31</v>
      </c>
      <c r="L14" s="188" t="s">
        <v>31</v>
      </c>
      <c r="M14" s="188" t="s">
        <v>31</v>
      </c>
      <c r="N14" s="188"/>
      <c r="O14" s="410"/>
      <c r="P14" s="411"/>
      <c r="Q14" s="188"/>
      <c r="R14" s="188"/>
      <c r="S14" s="188" t="s">
        <v>945</v>
      </c>
      <c r="T14" s="188"/>
      <c r="U14" s="188"/>
      <c r="V14" s="388"/>
    </row>
    <row r="15" spans="1:22">
      <c r="A15" s="323" t="s">
        <v>844</v>
      </c>
      <c r="B15" s="188">
        <f>Q15</f>
        <v>12</v>
      </c>
      <c r="C15" s="188" t="s">
        <v>37</v>
      </c>
      <c r="D15" s="188" t="s">
        <v>40</v>
      </c>
      <c r="E15" s="188" t="s">
        <v>29</v>
      </c>
      <c r="F15" s="37" t="s">
        <v>74</v>
      </c>
      <c r="G15" s="188" t="s">
        <v>33</v>
      </c>
      <c r="H15" s="188">
        <v>2</v>
      </c>
      <c r="I15" s="188">
        <f t="shared" ref="I15" si="0">LN(B15)</f>
        <v>2.4849066497880004</v>
      </c>
      <c r="J15" s="188">
        <v>7.2284161474004766E-2</v>
      </c>
      <c r="K15" s="188" t="s">
        <v>31</v>
      </c>
      <c r="L15" s="188" t="s">
        <v>31</v>
      </c>
      <c r="M15" s="188" t="s">
        <v>31</v>
      </c>
      <c r="N15" s="188"/>
      <c r="O15" s="379" t="s">
        <v>275</v>
      </c>
      <c r="P15" s="107">
        <v>12</v>
      </c>
      <c r="Q15" s="188">
        <f>P15</f>
        <v>12</v>
      </c>
      <c r="R15" s="188"/>
      <c r="S15" s="408">
        <v>1.5</v>
      </c>
      <c r="T15" s="409" t="s">
        <v>855</v>
      </c>
      <c r="U15" s="408">
        <f>S15*T12</f>
        <v>6.6750000000000004E-2</v>
      </c>
      <c r="V15" s="409" t="s">
        <v>275</v>
      </c>
    </row>
    <row r="16" spans="1:22">
      <c r="A16" s="84" t="s">
        <v>924</v>
      </c>
      <c r="B16" s="188">
        <f>Q16</f>
        <v>5.9999999999999997E-7</v>
      </c>
      <c r="C16" s="188" t="s">
        <v>37</v>
      </c>
      <c r="D16" s="188" t="s">
        <v>40</v>
      </c>
      <c r="E16" s="188" t="s">
        <v>29</v>
      </c>
      <c r="F16" s="37" t="s">
        <v>59</v>
      </c>
      <c r="G16" s="188" t="s">
        <v>33</v>
      </c>
      <c r="H16" s="188">
        <v>2</v>
      </c>
      <c r="I16" s="188">
        <f>LN(B16)</f>
        <v>-14.326336181730264</v>
      </c>
      <c r="J16" s="188">
        <v>7.2284161474004766E-2</v>
      </c>
      <c r="K16" s="188" t="s">
        <v>31</v>
      </c>
      <c r="L16" s="188" t="s">
        <v>31</v>
      </c>
      <c r="M16" s="188" t="s">
        <v>31</v>
      </c>
      <c r="N16" s="188"/>
      <c r="O16" s="394" t="s">
        <v>862</v>
      </c>
      <c r="P16" s="145">
        <v>0.6</v>
      </c>
      <c r="Q16" s="188">
        <f>0.000001*P16</f>
        <v>5.9999999999999997E-7</v>
      </c>
      <c r="R16" s="188"/>
      <c r="S16" s="188"/>
      <c r="T16" s="188"/>
      <c r="U16" s="188"/>
      <c r="V16" s="188"/>
    </row>
    <row r="17" spans="1:22">
      <c r="A17" s="84" t="s">
        <v>76</v>
      </c>
      <c r="B17" s="188">
        <f t="shared" ref="B17" si="1">Q17</f>
        <v>1.2E-2</v>
      </c>
      <c r="C17" s="188" t="s">
        <v>42</v>
      </c>
      <c r="D17" s="188" t="s">
        <v>40</v>
      </c>
      <c r="E17" s="188" t="s">
        <v>29</v>
      </c>
      <c r="F17" s="37" t="s">
        <v>74</v>
      </c>
      <c r="G17" s="188" t="s">
        <v>33</v>
      </c>
      <c r="H17" s="188">
        <v>2</v>
      </c>
      <c r="I17" s="188">
        <f t="shared" ref="I17" si="2">LN(B17)</f>
        <v>-4.4228486291941369</v>
      </c>
      <c r="J17" s="188">
        <v>7.2284161474004766E-2</v>
      </c>
      <c r="K17" s="188" t="s">
        <v>31</v>
      </c>
      <c r="L17" s="188" t="s">
        <v>31</v>
      </c>
      <c r="M17" s="188" t="s">
        <v>31</v>
      </c>
      <c r="N17" s="188"/>
      <c r="O17" s="396" t="s">
        <v>913</v>
      </c>
      <c r="P17" s="123">
        <v>12</v>
      </c>
      <c r="Q17" s="188">
        <f>0.001*P17</f>
        <v>1.2E-2</v>
      </c>
      <c r="R17" s="188"/>
      <c r="S17" s="188"/>
      <c r="T17" s="188"/>
      <c r="U17" s="188"/>
      <c r="V17" s="188"/>
    </row>
    <row r="18" spans="1:22" s="73" customFormat="1">
      <c r="A18" s="347" t="s">
        <v>5</v>
      </c>
      <c r="B18" s="348" t="s">
        <v>1296</v>
      </c>
      <c r="C18" s="330"/>
      <c r="D18" s="330"/>
      <c r="E18" s="330"/>
      <c r="F18" s="330"/>
      <c r="G18" s="330"/>
      <c r="H18" s="330"/>
      <c r="I18" s="330"/>
      <c r="J18" s="330"/>
      <c r="K18" s="330"/>
      <c r="L18" s="330"/>
      <c r="M18" s="330"/>
      <c r="N18" s="330"/>
      <c r="O18" s="330"/>
      <c r="P18" s="330"/>
      <c r="Q18" s="330"/>
      <c r="R18" s="330"/>
      <c r="S18" s="330"/>
      <c r="T18" s="330"/>
      <c r="U18" s="330"/>
      <c r="V18" s="330"/>
    </row>
    <row r="19" spans="1:22">
      <c r="A19" s="323" t="s">
        <v>7</v>
      </c>
      <c r="B19" s="188" t="s">
        <v>831</v>
      </c>
      <c r="C19" s="322"/>
      <c r="D19" s="188"/>
      <c r="E19" s="188"/>
      <c r="F19" s="188"/>
      <c r="G19" s="188"/>
      <c r="H19" s="188"/>
      <c r="I19" s="188"/>
      <c r="J19" s="188"/>
      <c r="K19" s="188"/>
      <c r="L19" s="188"/>
      <c r="M19" s="188"/>
      <c r="N19" s="188"/>
      <c r="O19" s="188"/>
      <c r="P19" s="188"/>
      <c r="Q19" s="188"/>
      <c r="R19" s="188"/>
      <c r="S19" s="188"/>
      <c r="T19" s="188"/>
      <c r="U19" s="188"/>
      <c r="V19" s="188"/>
    </row>
    <row r="20" spans="1:22">
      <c r="A20" s="402" t="s">
        <v>9</v>
      </c>
      <c r="B20" s="359" t="s">
        <v>1297</v>
      </c>
      <c r="C20" s="322"/>
      <c r="D20" s="188"/>
      <c r="E20" s="188"/>
      <c r="F20" s="188"/>
      <c r="G20" s="188"/>
      <c r="H20" s="188"/>
      <c r="I20" s="188"/>
      <c r="J20" s="188"/>
      <c r="K20" s="188"/>
      <c r="L20" s="188"/>
      <c r="M20" s="188"/>
      <c r="N20" s="188"/>
      <c r="O20" s="188"/>
      <c r="P20" s="188"/>
      <c r="Q20" s="188"/>
      <c r="R20" s="188"/>
      <c r="S20" s="188"/>
      <c r="T20" s="188"/>
      <c r="U20" s="188"/>
      <c r="V20" s="188"/>
    </row>
    <row r="21" spans="1:22"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c r="V21" s="188"/>
    </row>
    <row r="22" spans="1:22">
      <c r="A22" s="323" t="s">
        <v>13</v>
      </c>
      <c r="B22" s="188" t="s">
        <v>14</v>
      </c>
      <c r="C22" s="188"/>
      <c r="D22" s="188"/>
      <c r="E22" s="188"/>
      <c r="F22" s="188"/>
      <c r="G22" s="188"/>
      <c r="H22" s="188"/>
      <c r="I22" s="188"/>
      <c r="J22" s="188"/>
      <c r="K22" s="188"/>
      <c r="L22" s="188"/>
      <c r="M22" s="188"/>
      <c r="N22" s="188"/>
      <c r="O22" s="188"/>
      <c r="P22" s="188"/>
      <c r="Q22" s="188"/>
      <c r="R22" s="188"/>
      <c r="S22" s="188"/>
      <c r="T22" s="188"/>
      <c r="U22" s="188"/>
      <c r="V22" s="188"/>
    </row>
    <row r="23" spans="1:22">
      <c r="A23" s="323" t="s">
        <v>15</v>
      </c>
      <c r="B23" s="393">
        <f>B28</f>
        <v>0.03</v>
      </c>
      <c r="C23" s="188"/>
      <c r="D23" s="188"/>
      <c r="E23" s="188"/>
      <c r="F23" s="188"/>
      <c r="G23" s="188"/>
      <c r="H23" s="188"/>
      <c r="I23" s="188"/>
      <c r="J23" s="188"/>
      <c r="K23" s="188"/>
      <c r="L23" s="188"/>
      <c r="M23" s="188"/>
      <c r="N23" s="188"/>
      <c r="O23" s="188"/>
      <c r="P23" s="188"/>
      <c r="Q23" s="188"/>
      <c r="R23" s="188"/>
      <c r="S23" s="188"/>
      <c r="T23" s="188"/>
      <c r="U23" s="188"/>
      <c r="V23" s="188"/>
    </row>
    <row r="24" spans="1:22">
      <c r="A24" s="323" t="s">
        <v>16</v>
      </c>
      <c r="B24" s="188" t="s">
        <v>17</v>
      </c>
      <c r="C24" s="188"/>
      <c r="D24" s="188"/>
      <c r="E24" s="188"/>
      <c r="F24" s="188"/>
      <c r="G24" s="188"/>
      <c r="H24" s="188"/>
      <c r="I24" s="188"/>
      <c r="J24" s="188"/>
      <c r="K24" s="188"/>
      <c r="L24" s="188"/>
      <c r="M24" s="188"/>
      <c r="N24" s="188"/>
      <c r="O24" s="188"/>
      <c r="P24" s="188"/>
      <c r="Q24" s="188"/>
      <c r="R24" s="188"/>
      <c r="S24" s="188"/>
      <c r="T24" s="188"/>
      <c r="U24" s="188"/>
      <c r="V24" s="188"/>
    </row>
    <row r="25" spans="1:22">
      <c r="A25" s="323" t="s">
        <v>18</v>
      </c>
      <c r="B25" s="188" t="s">
        <v>853</v>
      </c>
      <c r="C25" s="188"/>
      <c r="D25" s="188"/>
      <c r="E25" s="188"/>
      <c r="F25" s="188"/>
      <c r="G25" s="188"/>
      <c r="H25" s="188"/>
      <c r="I25" s="188"/>
      <c r="J25" s="188"/>
      <c r="K25" s="188"/>
      <c r="L25" s="188"/>
      <c r="M25" s="188"/>
      <c r="N25" s="188"/>
      <c r="O25" s="188"/>
      <c r="P25" s="188"/>
      <c r="Q25" s="188"/>
      <c r="R25" s="188"/>
      <c r="S25" s="188"/>
      <c r="T25" s="188"/>
      <c r="U25" s="188"/>
      <c r="V25" s="188"/>
    </row>
    <row r="26" spans="1:22">
      <c r="A26" s="320" t="s">
        <v>19</v>
      </c>
      <c r="B26" s="188"/>
      <c r="C26" s="188"/>
      <c r="D26" s="188"/>
      <c r="E26" s="188"/>
      <c r="F26" s="188"/>
      <c r="G26" s="188"/>
      <c r="H26" s="188"/>
      <c r="I26" s="188"/>
      <c r="J26" s="188"/>
      <c r="K26" s="188"/>
      <c r="L26" s="188"/>
      <c r="M26" s="188"/>
      <c r="N26" s="188"/>
      <c r="O26" s="188"/>
      <c r="P26" s="188"/>
      <c r="Q26" s="188"/>
      <c r="R26" s="188"/>
      <c r="S26" s="188"/>
      <c r="T26" s="188"/>
      <c r="U26" s="188"/>
      <c r="V26" s="188"/>
    </row>
    <row r="27" spans="1:22">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c r="V27" s="188"/>
    </row>
    <row r="28" spans="1:22">
      <c r="A28" s="188" t="s">
        <v>1296</v>
      </c>
      <c r="B28" s="393">
        <v>0.03</v>
      </c>
      <c r="C28" s="188" t="s">
        <v>853</v>
      </c>
      <c r="D28" s="386" t="s">
        <v>2</v>
      </c>
      <c r="E28" s="188" t="s">
        <v>29</v>
      </c>
      <c r="F28" s="188" t="s">
        <v>14</v>
      </c>
      <c r="G28" s="188" t="s">
        <v>30</v>
      </c>
      <c r="H28" s="188">
        <v>1</v>
      </c>
      <c r="I28" s="393">
        <f>B28</f>
        <v>0.03</v>
      </c>
      <c r="J28" s="188">
        <v>7.2284161474004766E-2</v>
      </c>
      <c r="K28" s="188" t="s">
        <v>31</v>
      </c>
      <c r="L28" s="188" t="s">
        <v>31</v>
      </c>
      <c r="M28" s="188" t="s">
        <v>31</v>
      </c>
      <c r="N28" s="188"/>
      <c r="O28" s="379" t="s">
        <v>944</v>
      </c>
      <c r="P28" s="392">
        <f>B28*100</f>
        <v>3</v>
      </c>
      <c r="Q28" s="188"/>
      <c r="R28" s="188"/>
      <c r="S28" s="188"/>
      <c r="T28" s="188"/>
      <c r="U28" s="188"/>
      <c r="V28" s="188"/>
    </row>
    <row r="29" spans="1:22">
      <c r="A29" s="188" t="s">
        <v>1298</v>
      </c>
      <c r="B29" s="393">
        <v>0.03</v>
      </c>
      <c r="C29" s="188" t="s">
        <v>853</v>
      </c>
      <c r="D29" s="386" t="s">
        <v>2</v>
      </c>
      <c r="E29" s="188" t="s">
        <v>29</v>
      </c>
      <c r="F29" s="188" t="s">
        <v>14</v>
      </c>
      <c r="G29" s="188" t="s">
        <v>33</v>
      </c>
      <c r="H29" s="188">
        <v>1</v>
      </c>
      <c r="I29" s="393">
        <f>B29</f>
        <v>0.03</v>
      </c>
      <c r="J29" s="188">
        <v>7.2284161474004766E-2</v>
      </c>
      <c r="K29" s="188" t="s">
        <v>31</v>
      </c>
      <c r="L29" s="188" t="s">
        <v>31</v>
      </c>
      <c r="M29" s="188" t="s">
        <v>31</v>
      </c>
      <c r="N29" s="188"/>
      <c r="O29" s="188"/>
      <c r="P29" s="188"/>
      <c r="Q29" s="188"/>
      <c r="R29" s="188"/>
      <c r="S29" s="188"/>
      <c r="T29" s="188"/>
      <c r="U29" s="188"/>
      <c r="V29" s="188"/>
    </row>
    <row r="30" spans="1:22">
      <c r="A30" s="323" t="s">
        <v>265</v>
      </c>
      <c r="B30" s="327">
        <f>P30</f>
        <v>0.65</v>
      </c>
      <c r="C30" s="188" t="s">
        <v>39</v>
      </c>
      <c r="D30" s="188" t="s">
        <v>40</v>
      </c>
      <c r="E30" s="188" t="s">
        <v>29</v>
      </c>
      <c r="F30" s="37" t="s">
        <v>35</v>
      </c>
      <c r="G30" s="188" t="s">
        <v>33</v>
      </c>
      <c r="H30" s="188">
        <v>2</v>
      </c>
      <c r="I30" s="188">
        <f t="shared" ref="I30:I31" si="3">LN(B30)</f>
        <v>-0.43078291609245423</v>
      </c>
      <c r="J30" s="188">
        <v>7.2284161474004766E-2</v>
      </c>
      <c r="K30" s="188" t="s">
        <v>31</v>
      </c>
      <c r="L30" s="188" t="s">
        <v>31</v>
      </c>
      <c r="M30" s="188" t="s">
        <v>31</v>
      </c>
      <c r="N30" s="188"/>
      <c r="O30" s="379" t="s">
        <v>271</v>
      </c>
      <c r="P30" s="107">
        <v>0.65</v>
      </c>
      <c r="Q30" s="188"/>
      <c r="R30" s="188"/>
      <c r="S30" s="188"/>
      <c r="T30" s="188"/>
      <c r="U30" s="188"/>
      <c r="V30" s="188"/>
    </row>
    <row r="31" spans="1:22">
      <c r="A31" s="84" t="s">
        <v>491</v>
      </c>
      <c r="B31" s="188">
        <f>R31</f>
        <v>1.4999999999999999E-2</v>
      </c>
      <c r="C31" s="393" t="s">
        <v>37</v>
      </c>
      <c r="D31" s="188" t="s">
        <v>40</v>
      </c>
      <c r="E31" s="188" t="s">
        <v>29</v>
      </c>
      <c r="F31" s="188" t="s">
        <v>59</v>
      </c>
      <c r="G31" s="188" t="s">
        <v>33</v>
      </c>
      <c r="H31" s="188">
        <v>2</v>
      </c>
      <c r="I31" s="188">
        <f t="shared" si="3"/>
        <v>-4.1997050778799272</v>
      </c>
      <c r="J31" s="188">
        <v>7.2284161474004766E-2</v>
      </c>
      <c r="K31" s="188" t="s">
        <v>31</v>
      </c>
      <c r="L31" s="188" t="s">
        <v>31</v>
      </c>
      <c r="M31" s="188" t="s">
        <v>31</v>
      </c>
      <c r="N31" s="188"/>
      <c r="O31" s="379" t="s">
        <v>857</v>
      </c>
      <c r="P31" s="107">
        <v>15</v>
      </c>
      <c r="Q31" s="188" t="s">
        <v>275</v>
      </c>
      <c r="R31" s="188">
        <f>P31*0.001</f>
        <v>1.4999999999999999E-2</v>
      </c>
      <c r="S31" s="188"/>
      <c r="T31" s="188"/>
      <c r="U31" s="188"/>
      <c r="V31" s="188"/>
    </row>
    <row r="32" spans="1:22">
      <c r="A32" s="116" t="s">
        <v>921</v>
      </c>
      <c r="B32" s="188">
        <f t="shared" ref="B32:B33" si="4">R32</f>
        <v>2.8000000000000001E-2</v>
      </c>
      <c r="C32" s="188" t="s">
        <v>37</v>
      </c>
      <c r="D32" s="188" t="s">
        <v>40</v>
      </c>
      <c r="E32" s="188" t="s">
        <v>29</v>
      </c>
      <c r="F32" s="37" t="s">
        <v>35</v>
      </c>
      <c r="G32" s="188" t="s">
        <v>33</v>
      </c>
      <c r="H32" s="188">
        <v>2</v>
      </c>
      <c r="I32" s="188">
        <f>LN(B32)</f>
        <v>-3.575550768806933</v>
      </c>
      <c r="J32" s="188">
        <v>7.2284161474004766E-2</v>
      </c>
      <c r="K32" s="188" t="s">
        <v>31</v>
      </c>
      <c r="L32" s="188" t="s">
        <v>31</v>
      </c>
      <c r="M32" s="188" t="s">
        <v>31</v>
      </c>
      <c r="N32" s="188"/>
      <c r="O32" s="379" t="s">
        <v>857</v>
      </c>
      <c r="P32" s="107">
        <v>28</v>
      </c>
      <c r="Q32" s="188" t="s">
        <v>275</v>
      </c>
      <c r="R32" s="188">
        <f>P32*0.001</f>
        <v>2.8000000000000001E-2</v>
      </c>
      <c r="S32" s="188"/>
      <c r="T32" s="188"/>
      <c r="U32" s="188"/>
      <c r="V32" s="188"/>
    </row>
    <row r="33" spans="1:22">
      <c r="A33" s="323" t="s">
        <v>844</v>
      </c>
      <c r="B33" s="188">
        <f t="shared" si="4"/>
        <v>24.7</v>
      </c>
      <c r="C33" s="188" t="s">
        <v>37</v>
      </c>
      <c r="D33" s="188" t="s">
        <v>40</v>
      </c>
      <c r="E33" s="188" t="s">
        <v>29</v>
      </c>
      <c r="F33" s="37" t="s">
        <v>74</v>
      </c>
      <c r="G33" s="188" t="s">
        <v>33</v>
      </c>
      <c r="H33" s="188">
        <v>2</v>
      </c>
      <c r="I33" s="188">
        <f t="shared" ref="I33:I34" si="5">LN(B33)</f>
        <v>3.2068032436339315</v>
      </c>
      <c r="J33" s="188">
        <v>7.2284161474004766E-2</v>
      </c>
      <c r="K33" s="188" t="s">
        <v>31</v>
      </c>
      <c r="L33" s="188" t="s">
        <v>31</v>
      </c>
      <c r="M33" s="188" t="s">
        <v>31</v>
      </c>
      <c r="N33" s="188"/>
      <c r="O33" s="379" t="s">
        <v>275</v>
      </c>
      <c r="P33" s="107">
        <v>24.7</v>
      </c>
      <c r="Q33" s="188" t="s">
        <v>275</v>
      </c>
      <c r="R33" s="188">
        <f>P33</f>
        <v>24.7</v>
      </c>
      <c r="S33" s="188"/>
      <c r="T33" s="188"/>
      <c r="U33" s="188"/>
      <c r="V33" s="188"/>
    </row>
    <row r="34" spans="1:22">
      <c r="A34" s="84" t="s">
        <v>76</v>
      </c>
      <c r="B34" s="188">
        <f>R34</f>
        <v>2.47E-2</v>
      </c>
      <c r="C34" s="188" t="s">
        <v>42</v>
      </c>
      <c r="D34" s="188" t="s">
        <v>40</v>
      </c>
      <c r="E34" s="188" t="s">
        <v>29</v>
      </c>
      <c r="F34" s="37" t="s">
        <v>74</v>
      </c>
      <c r="G34" s="188" t="s">
        <v>33</v>
      </c>
      <c r="H34" s="188">
        <v>2</v>
      </c>
      <c r="I34" s="188">
        <f t="shared" si="5"/>
        <v>-3.7009520353482057</v>
      </c>
      <c r="J34" s="188">
        <v>7.2284161474004766E-2</v>
      </c>
      <c r="K34" s="188" t="s">
        <v>31</v>
      </c>
      <c r="L34" s="188" t="s">
        <v>31</v>
      </c>
      <c r="M34" s="188" t="s">
        <v>31</v>
      </c>
      <c r="N34" s="188"/>
      <c r="O34" s="396" t="s">
        <v>913</v>
      </c>
      <c r="P34" s="123">
        <v>24.7</v>
      </c>
      <c r="Q34" s="188" t="s">
        <v>274</v>
      </c>
      <c r="R34" s="188">
        <f>0.001*P34</f>
        <v>2.47E-2</v>
      </c>
      <c r="S34" s="188"/>
      <c r="T34" s="188"/>
      <c r="U34" s="188"/>
      <c r="V34" s="188"/>
    </row>
    <row r="35" spans="1:22" s="73" customFormat="1">
      <c r="A35" s="347" t="s">
        <v>5</v>
      </c>
      <c r="B35" s="348" t="s">
        <v>1298</v>
      </c>
      <c r="C35" s="330"/>
      <c r="D35" s="330"/>
      <c r="E35" s="330"/>
      <c r="F35" s="330"/>
      <c r="G35" s="330"/>
      <c r="H35" s="330"/>
      <c r="I35" s="330"/>
      <c r="J35" s="330"/>
      <c r="K35" s="330"/>
      <c r="L35" s="330"/>
      <c r="M35" s="330"/>
      <c r="N35" s="330"/>
      <c r="O35" s="330"/>
      <c r="P35" s="330"/>
      <c r="Q35" s="330"/>
      <c r="R35" s="330"/>
      <c r="S35" s="330"/>
      <c r="T35" s="330"/>
      <c r="U35" s="330"/>
      <c r="V35" s="330"/>
    </row>
    <row r="36" spans="1:22">
      <c r="A36" s="323" t="s">
        <v>7</v>
      </c>
      <c r="B36" s="188" t="s">
        <v>831</v>
      </c>
      <c r="C36" s="322"/>
      <c r="D36" s="188"/>
      <c r="E36" s="188"/>
      <c r="F36" s="188"/>
      <c r="G36" s="188"/>
      <c r="H36" s="188"/>
      <c r="I36" s="188"/>
      <c r="J36" s="188"/>
      <c r="K36" s="188"/>
      <c r="L36" s="188"/>
      <c r="M36" s="188"/>
      <c r="N36" s="188"/>
      <c r="O36" s="188"/>
      <c r="P36" s="188"/>
      <c r="Q36" s="188"/>
      <c r="R36" s="188"/>
      <c r="S36" s="188"/>
      <c r="T36" s="188"/>
      <c r="U36" s="188"/>
      <c r="V36" s="188"/>
    </row>
    <row r="37" spans="1:22">
      <c r="A37" s="402" t="s">
        <v>9</v>
      </c>
      <c r="B37" s="359" t="s">
        <v>1299</v>
      </c>
      <c r="C37" s="322"/>
      <c r="D37" s="188"/>
      <c r="E37" s="188"/>
      <c r="F37" s="188"/>
      <c r="G37" s="188"/>
      <c r="H37" s="188"/>
      <c r="I37" s="188"/>
      <c r="J37" s="188"/>
      <c r="K37" s="188"/>
      <c r="L37" s="188"/>
      <c r="M37" s="188"/>
      <c r="N37" s="188"/>
      <c r="O37" s="188"/>
      <c r="P37" s="188"/>
      <c r="Q37" s="188"/>
      <c r="R37" s="188"/>
      <c r="S37" s="188"/>
      <c r="T37" s="188"/>
      <c r="U37" s="188"/>
      <c r="V37" s="188"/>
    </row>
    <row r="38" spans="1:22"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c r="V38" s="188"/>
    </row>
    <row r="39" spans="1:22">
      <c r="A39" s="323" t="s">
        <v>13</v>
      </c>
      <c r="B39" s="188" t="s">
        <v>14</v>
      </c>
      <c r="C39" s="188"/>
      <c r="D39" s="188"/>
      <c r="E39" s="188"/>
      <c r="F39" s="188"/>
      <c r="G39" s="188"/>
      <c r="H39" s="188"/>
      <c r="I39" s="188"/>
      <c r="J39" s="188"/>
      <c r="K39" s="188"/>
      <c r="L39" s="188"/>
      <c r="M39" s="188"/>
      <c r="N39" s="188"/>
      <c r="O39" s="188"/>
      <c r="P39" s="188"/>
      <c r="Q39" s="188"/>
      <c r="R39" s="188"/>
      <c r="S39" s="188"/>
      <c r="T39" s="188"/>
      <c r="U39" s="188"/>
      <c r="V39" s="188"/>
    </row>
    <row r="40" spans="1:22">
      <c r="A40" s="323" t="s">
        <v>15</v>
      </c>
      <c r="B40" s="393">
        <f>B45</f>
        <v>0.03</v>
      </c>
      <c r="C40" s="188"/>
      <c r="D40" s="188"/>
      <c r="E40" s="188"/>
      <c r="F40" s="188"/>
      <c r="G40" s="188"/>
      <c r="H40" s="188"/>
      <c r="I40" s="188"/>
      <c r="J40" s="188"/>
      <c r="K40" s="188"/>
      <c r="L40" s="188"/>
      <c r="M40" s="188"/>
      <c r="N40" s="188"/>
      <c r="O40" s="188"/>
      <c r="P40" s="188"/>
      <c r="Q40" s="188"/>
      <c r="R40" s="188"/>
      <c r="S40" s="188"/>
      <c r="T40" s="188"/>
      <c r="U40" s="188"/>
      <c r="V40" s="188"/>
    </row>
    <row r="41" spans="1:22">
      <c r="A41" s="323" t="s">
        <v>16</v>
      </c>
      <c r="B41" s="188" t="s">
        <v>17</v>
      </c>
      <c r="C41" s="188"/>
      <c r="D41" s="188"/>
      <c r="E41" s="188"/>
      <c r="F41" s="188"/>
      <c r="G41" s="188"/>
      <c r="H41" s="188"/>
      <c r="I41" s="188"/>
      <c r="J41" s="188"/>
      <c r="K41" s="188"/>
      <c r="L41" s="188"/>
      <c r="M41" s="188"/>
      <c r="N41" s="188"/>
      <c r="O41" s="188"/>
      <c r="P41" s="188"/>
      <c r="Q41" s="188"/>
      <c r="R41" s="188"/>
      <c r="S41" s="188"/>
      <c r="T41" s="188"/>
      <c r="U41" s="188"/>
      <c r="V41" s="188"/>
    </row>
    <row r="42" spans="1:22">
      <c r="A42" s="323" t="s">
        <v>18</v>
      </c>
      <c r="B42" s="188" t="s">
        <v>853</v>
      </c>
      <c r="C42" s="188"/>
      <c r="D42" s="188"/>
      <c r="E42" s="188"/>
      <c r="F42" s="188"/>
      <c r="G42" s="188"/>
      <c r="H42" s="188"/>
      <c r="I42" s="188"/>
      <c r="J42" s="188"/>
      <c r="K42" s="188"/>
      <c r="L42" s="188"/>
      <c r="M42" s="188"/>
      <c r="N42" s="188"/>
      <c r="O42" s="188"/>
      <c r="P42" s="188"/>
      <c r="Q42" s="188"/>
      <c r="R42" s="188"/>
      <c r="S42" s="188"/>
      <c r="T42" s="188"/>
      <c r="U42" s="188"/>
      <c r="V42" s="188"/>
    </row>
    <row r="43" spans="1:22">
      <c r="A43" s="320" t="s">
        <v>19</v>
      </c>
      <c r="B43" s="188"/>
      <c r="C43" s="188"/>
      <c r="D43" s="188"/>
      <c r="E43" s="188"/>
      <c r="F43" s="188"/>
      <c r="G43" s="188"/>
      <c r="H43" s="188"/>
      <c r="I43" s="188"/>
      <c r="J43" s="188"/>
      <c r="K43" s="188"/>
      <c r="L43" s="188"/>
      <c r="M43" s="188"/>
      <c r="N43" s="188"/>
      <c r="O43" s="188"/>
      <c r="P43" s="188"/>
      <c r="Q43" s="188"/>
      <c r="R43" s="188"/>
      <c r="S43" s="188"/>
      <c r="T43" s="188"/>
      <c r="U43" s="188"/>
      <c r="V43" s="188"/>
    </row>
    <row r="44" spans="1:22">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c r="V44" s="188"/>
    </row>
    <row r="45" spans="1:22">
      <c r="A45" s="188" t="s">
        <v>1298</v>
      </c>
      <c r="B45" s="393">
        <f>B29</f>
        <v>0.03</v>
      </c>
      <c r="C45" s="188" t="s">
        <v>853</v>
      </c>
      <c r="D45" s="386" t="s">
        <v>2</v>
      </c>
      <c r="E45" s="188" t="s">
        <v>29</v>
      </c>
      <c r="F45" s="188" t="s">
        <v>14</v>
      </c>
      <c r="G45" s="188" t="s">
        <v>30</v>
      </c>
      <c r="H45" s="188">
        <v>1</v>
      </c>
      <c r="I45" s="393">
        <f>B45</f>
        <v>0.03</v>
      </c>
      <c r="J45" s="188" t="s">
        <v>31</v>
      </c>
      <c r="K45" s="188" t="s">
        <v>31</v>
      </c>
      <c r="L45" s="188" t="s">
        <v>31</v>
      </c>
      <c r="M45" s="188" t="s">
        <v>31</v>
      </c>
      <c r="N45" s="188"/>
      <c r="O45" s="188"/>
      <c r="P45" s="188"/>
      <c r="Q45" s="188" t="s">
        <v>1300</v>
      </c>
      <c r="R45" s="188"/>
      <c r="S45" s="188"/>
      <c r="T45" s="188"/>
      <c r="U45" s="188"/>
      <c r="V45" s="188"/>
    </row>
    <row r="46" spans="1:22">
      <c r="A46" s="84" t="s">
        <v>950</v>
      </c>
      <c r="B46" s="440">
        <v>0.4</v>
      </c>
      <c r="C46" s="188" t="s">
        <v>37</v>
      </c>
      <c r="D46" s="188" t="s">
        <v>40</v>
      </c>
      <c r="E46" s="188" t="s">
        <v>29</v>
      </c>
      <c r="F46" s="188" t="s">
        <v>82</v>
      </c>
      <c r="G46" s="188" t="s">
        <v>33</v>
      </c>
      <c r="H46" s="188">
        <v>1</v>
      </c>
      <c r="I46" s="393">
        <f t="shared" ref="I46:I47" si="6">B46</f>
        <v>0.4</v>
      </c>
      <c r="J46" s="188" t="s">
        <v>31</v>
      </c>
      <c r="K46" s="188" t="s">
        <v>31</v>
      </c>
      <c r="L46" s="188" t="s">
        <v>31</v>
      </c>
      <c r="M46" s="188" t="s">
        <v>31</v>
      </c>
      <c r="N46" s="188"/>
      <c r="O46" s="188"/>
      <c r="P46" s="188"/>
      <c r="Q46" s="188"/>
      <c r="R46" s="188"/>
      <c r="S46" s="188"/>
      <c r="T46" s="188"/>
      <c r="U46" s="188"/>
      <c r="V46" s="188"/>
    </row>
    <row r="47" spans="1:22">
      <c r="A47" s="84" t="s">
        <v>951</v>
      </c>
      <c r="B47" s="440">
        <v>0.4</v>
      </c>
      <c r="C47" s="188" t="s">
        <v>37</v>
      </c>
      <c r="D47" s="188" t="s">
        <v>40</v>
      </c>
      <c r="E47" s="188" t="s">
        <v>29</v>
      </c>
      <c r="F47" s="188" t="s">
        <v>59</v>
      </c>
      <c r="G47" s="188" t="s">
        <v>33</v>
      </c>
      <c r="H47" s="188">
        <v>1</v>
      </c>
      <c r="I47" s="393">
        <f t="shared" si="6"/>
        <v>0.4</v>
      </c>
      <c r="J47" s="188" t="s">
        <v>31</v>
      </c>
      <c r="K47" s="188" t="s">
        <v>31</v>
      </c>
      <c r="L47" s="188" t="s">
        <v>31</v>
      </c>
      <c r="M47" s="188" t="s">
        <v>31</v>
      </c>
      <c r="N47" s="188"/>
      <c r="O47" s="188"/>
      <c r="P47" s="188"/>
      <c r="Q47" s="188"/>
      <c r="R47" s="188"/>
      <c r="S47" s="188"/>
      <c r="T47" s="188"/>
      <c r="U47" s="188"/>
      <c r="V47" s="188"/>
    </row>
    <row r="49" ht="17.25" customHeight="1"/>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D482C-2304-4853-8276-E58A612E01D3}">
  <sheetPr>
    <tabColor theme="6" tint="0.79998168889431442"/>
  </sheetPr>
  <dimension ref="A1:Y57"/>
  <sheetViews>
    <sheetView topLeftCell="A33" zoomScale="95" zoomScaleNormal="95" workbookViewId="0">
      <selection activeCell="A12" sqref="A12"/>
    </sheetView>
  </sheetViews>
  <sheetFormatPr defaultRowHeight="14.45"/>
  <cols>
    <col min="1" max="1" width="74" customWidth="1"/>
    <col min="5" max="5" width="34.28515625" customWidth="1"/>
    <col min="6" max="6" width="16.7109375" customWidth="1"/>
    <col min="8" max="8" width="14.28515625" customWidth="1"/>
  </cols>
  <sheetData>
    <row r="1" spans="1:21">
      <c r="A1" s="188" t="s">
        <v>0</v>
      </c>
      <c r="B1" s="188">
        <v>14</v>
      </c>
      <c r="C1" s="188"/>
      <c r="D1" s="188"/>
      <c r="E1" s="188"/>
      <c r="F1" s="188"/>
      <c r="G1" s="188"/>
      <c r="H1" s="188"/>
      <c r="I1" s="188"/>
      <c r="J1" s="188"/>
      <c r="K1" s="188"/>
      <c r="L1" s="188"/>
      <c r="M1" s="188"/>
      <c r="N1" s="188"/>
      <c r="O1" s="188"/>
      <c r="P1" s="188"/>
      <c r="Q1" s="188"/>
      <c r="R1" s="192"/>
      <c r="S1" s="399"/>
    </row>
    <row r="2" spans="1:21" s="73" customFormat="1">
      <c r="A2" s="347" t="s">
        <v>5</v>
      </c>
      <c r="B2" s="348" t="s">
        <v>1278</v>
      </c>
      <c r="C2" s="348"/>
      <c r="D2" s="330"/>
      <c r="E2" s="330"/>
      <c r="F2" s="330"/>
      <c r="G2" s="330"/>
      <c r="H2" s="330"/>
      <c r="I2" s="330"/>
      <c r="J2" s="330"/>
      <c r="K2" s="330"/>
      <c r="L2" s="330"/>
      <c r="M2" s="330"/>
      <c r="N2" s="330"/>
      <c r="O2" s="330"/>
      <c r="P2" s="330"/>
      <c r="Q2" s="330"/>
      <c r="R2" s="414"/>
      <c r="S2" s="415"/>
    </row>
    <row r="3" spans="1:21">
      <c r="A3" s="323" t="s">
        <v>7</v>
      </c>
      <c r="B3" s="188" t="s">
        <v>831</v>
      </c>
      <c r="C3" s="188"/>
      <c r="D3" s="322"/>
      <c r="E3" s="188"/>
      <c r="F3" s="188"/>
      <c r="G3" s="188"/>
      <c r="H3" s="188"/>
      <c r="I3" s="188"/>
      <c r="J3" s="188"/>
      <c r="K3" s="188"/>
      <c r="L3" s="188"/>
      <c r="M3" s="188"/>
      <c r="N3" s="188"/>
      <c r="O3" s="188"/>
      <c r="P3" s="188"/>
      <c r="Q3" s="188"/>
      <c r="R3" s="192"/>
      <c r="S3" s="399"/>
    </row>
    <row r="4" spans="1:21">
      <c r="A4" s="402" t="s">
        <v>9</v>
      </c>
      <c r="B4" s="188" t="s">
        <v>1301</v>
      </c>
      <c r="C4" s="188"/>
      <c r="D4" s="322"/>
      <c r="E4" s="188"/>
      <c r="F4" s="188"/>
      <c r="G4" s="188"/>
      <c r="H4" s="188"/>
      <c r="I4" s="188"/>
      <c r="J4" s="188"/>
      <c r="K4" s="188"/>
      <c r="L4" s="188"/>
      <c r="M4" s="188"/>
      <c r="N4" s="188"/>
      <c r="O4" s="188"/>
      <c r="P4" s="188"/>
      <c r="Q4" s="188"/>
      <c r="R4" s="188"/>
      <c r="S4" s="188"/>
    </row>
    <row r="5" spans="1:21" ht="15.75" customHeight="1">
      <c r="A5" s="323" t="s">
        <v>11</v>
      </c>
      <c r="B5" s="324" t="s">
        <v>841</v>
      </c>
      <c r="C5" s="324"/>
      <c r="D5" s="188"/>
      <c r="E5" s="188"/>
      <c r="F5" s="188"/>
      <c r="G5" s="188"/>
      <c r="H5" s="188"/>
      <c r="I5" s="188"/>
      <c r="J5" s="188"/>
      <c r="K5" s="188"/>
      <c r="L5" s="188"/>
      <c r="M5" s="188"/>
      <c r="N5" s="188"/>
      <c r="O5" s="188"/>
      <c r="P5" s="188"/>
      <c r="Q5" s="188"/>
      <c r="R5" s="188"/>
      <c r="S5" s="188"/>
    </row>
    <row r="6" spans="1:21">
      <c r="A6" s="323" t="s">
        <v>13</v>
      </c>
      <c r="B6" s="188" t="s">
        <v>14</v>
      </c>
      <c r="C6" s="188"/>
      <c r="D6" s="188"/>
      <c r="E6" s="188"/>
      <c r="F6" s="188"/>
      <c r="G6" s="188"/>
      <c r="H6" s="188"/>
      <c r="I6" s="188"/>
      <c r="J6" s="188"/>
      <c r="K6" s="188"/>
      <c r="L6" s="188"/>
      <c r="M6" s="188"/>
      <c r="N6" s="188"/>
      <c r="O6" s="188"/>
      <c r="P6" s="188"/>
      <c r="Q6" s="188"/>
      <c r="R6" s="188"/>
      <c r="S6" s="188"/>
    </row>
    <row r="7" spans="1:21">
      <c r="A7" s="323" t="s">
        <v>15</v>
      </c>
      <c r="B7" s="335">
        <f>B12</f>
        <v>16</v>
      </c>
      <c r="C7" s="335"/>
      <c r="D7" s="188"/>
      <c r="E7" s="188"/>
      <c r="F7" s="188"/>
      <c r="G7" s="188"/>
      <c r="H7" s="188"/>
      <c r="I7" s="188"/>
      <c r="J7" s="188"/>
      <c r="K7" s="188"/>
      <c r="L7" s="188"/>
      <c r="M7" s="188"/>
      <c r="N7" s="188"/>
      <c r="O7" s="188"/>
      <c r="P7" s="188"/>
      <c r="Q7" s="188"/>
      <c r="R7" s="188"/>
      <c r="S7" s="188"/>
    </row>
    <row r="8" spans="1:21">
      <c r="A8" s="323" t="s">
        <v>16</v>
      </c>
      <c r="B8" s="188" t="s">
        <v>17</v>
      </c>
      <c r="C8" s="188"/>
      <c r="D8" s="188"/>
      <c r="E8" s="188"/>
      <c r="F8" s="188"/>
      <c r="G8" s="188"/>
      <c r="H8" s="188"/>
      <c r="I8" s="188"/>
      <c r="J8" s="188"/>
      <c r="K8" s="188"/>
      <c r="L8" s="188"/>
      <c r="M8" s="188"/>
      <c r="N8" s="188"/>
      <c r="O8" s="188"/>
      <c r="P8" s="188"/>
      <c r="Q8" s="188"/>
      <c r="R8" s="188"/>
      <c r="S8" s="188"/>
    </row>
    <row r="9" spans="1:21">
      <c r="A9" s="323" t="s">
        <v>18</v>
      </c>
      <c r="B9" s="188" t="str">
        <f>D16</f>
        <v>kilogram</v>
      </c>
      <c r="C9" s="188"/>
      <c r="D9" s="188"/>
      <c r="E9" s="188"/>
      <c r="F9" s="188"/>
      <c r="G9" s="188"/>
      <c r="H9" s="188"/>
      <c r="I9" s="188"/>
      <c r="J9" s="188"/>
      <c r="K9" s="188"/>
      <c r="L9" s="188"/>
      <c r="M9" s="188"/>
      <c r="N9" s="188"/>
      <c r="O9" s="188"/>
      <c r="P9" s="188"/>
      <c r="Q9" s="188"/>
      <c r="R9" s="188"/>
      <c r="S9" s="188"/>
    </row>
    <row r="10" spans="1:21">
      <c r="A10" s="320" t="s">
        <v>19</v>
      </c>
      <c r="B10" s="188"/>
      <c r="C10" s="188"/>
      <c r="D10" s="188"/>
      <c r="E10" s="188"/>
      <c r="F10" s="188"/>
      <c r="G10" s="188"/>
      <c r="H10" s="188"/>
      <c r="I10" s="188"/>
      <c r="J10" s="188"/>
      <c r="K10" s="188"/>
      <c r="L10" s="188"/>
      <c r="M10" s="188"/>
      <c r="N10" s="188"/>
      <c r="O10" s="188"/>
      <c r="P10" s="188"/>
      <c r="Q10" s="188"/>
      <c r="R10" s="188"/>
      <c r="S10" s="188"/>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P11" s="188"/>
      <c r="Q11" s="188"/>
      <c r="R11" s="188"/>
      <c r="S11" s="188"/>
      <c r="U11" s="111"/>
    </row>
    <row r="12" spans="1:21">
      <c r="A12" s="188" t="s">
        <v>1278</v>
      </c>
      <c r="B12" s="335">
        <f>B43</f>
        <v>16</v>
      </c>
      <c r="C12" s="188"/>
      <c r="D12" s="188" t="s">
        <v>37</v>
      </c>
      <c r="E12" s="386" t="s">
        <v>2</v>
      </c>
      <c r="F12" s="188" t="s">
        <v>29</v>
      </c>
      <c r="G12" s="188" t="s">
        <v>14</v>
      </c>
      <c r="H12" s="188" t="s">
        <v>30</v>
      </c>
      <c r="I12" s="188">
        <v>1</v>
      </c>
      <c r="J12" s="188">
        <f>B12</f>
        <v>16</v>
      </c>
      <c r="K12" s="188" t="s">
        <v>31</v>
      </c>
      <c r="L12" s="188" t="s">
        <v>31</v>
      </c>
      <c r="M12" s="188" t="s">
        <v>31</v>
      </c>
      <c r="N12" s="188" t="s">
        <v>31</v>
      </c>
      <c r="O12" s="188"/>
      <c r="P12" s="192"/>
      <c r="Q12" s="399"/>
      <c r="R12" s="188"/>
      <c r="S12" s="188"/>
    </row>
    <row r="13" spans="1:21">
      <c r="A13" s="188" t="s">
        <v>1302</v>
      </c>
      <c r="B13" s="188">
        <v>1</v>
      </c>
      <c r="C13" s="188"/>
      <c r="D13" s="188" t="s">
        <v>18</v>
      </c>
      <c r="E13" s="386"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O14" s="188"/>
      <c r="P14" s="379" t="s">
        <v>271</v>
      </c>
      <c r="Q14" s="392">
        <v>0.25</v>
      </c>
      <c r="R14" s="188"/>
      <c r="S14" s="188"/>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O15" s="188"/>
      <c r="P15" s="379" t="s">
        <v>271</v>
      </c>
      <c r="Q15" s="392">
        <v>0.5</v>
      </c>
      <c r="R15" s="188"/>
      <c r="S15" s="188"/>
    </row>
    <row r="16" spans="1:21">
      <c r="A16" s="84" t="s">
        <v>954</v>
      </c>
      <c r="B16" s="188">
        <f>S16</f>
        <v>6.5000000000000002E-2</v>
      </c>
      <c r="C16" s="188"/>
      <c r="D16" s="188" t="s">
        <v>37</v>
      </c>
      <c r="E16" s="188" t="s">
        <v>40</v>
      </c>
      <c r="F16" s="188" t="s">
        <v>29</v>
      </c>
      <c r="G16" s="188" t="s">
        <v>35</v>
      </c>
      <c r="H16" s="188" t="s">
        <v>33</v>
      </c>
      <c r="I16" s="188">
        <v>2</v>
      </c>
      <c r="J16" s="188">
        <f t="shared" si="0"/>
        <v>-2.7333680090865</v>
      </c>
      <c r="K16" s="442">
        <v>9.6046863561492793E-2</v>
      </c>
      <c r="L16" s="188" t="s">
        <v>31</v>
      </c>
      <c r="M16" s="188" t="s">
        <v>31</v>
      </c>
      <c r="N16" s="188" t="s">
        <v>31</v>
      </c>
      <c r="O16" s="188"/>
      <c r="P16" s="379" t="s">
        <v>857</v>
      </c>
      <c r="Q16" s="392">
        <v>65</v>
      </c>
      <c r="R16" s="379" t="s">
        <v>275</v>
      </c>
      <c r="S16" s="392">
        <f>0.001*Q16</f>
        <v>6.5000000000000002E-2</v>
      </c>
    </row>
    <row r="17" spans="1:21">
      <c r="A17" s="84" t="s">
        <v>955</v>
      </c>
      <c r="B17" s="188">
        <f>Q17</f>
        <v>1.2</v>
      </c>
      <c r="C17" s="188"/>
      <c r="D17" s="188" t="s">
        <v>37</v>
      </c>
      <c r="E17" s="188" t="s">
        <v>40</v>
      </c>
      <c r="F17" s="188" t="s">
        <v>29</v>
      </c>
      <c r="G17" s="37" t="s">
        <v>74</v>
      </c>
      <c r="H17" s="188" t="s">
        <v>33</v>
      </c>
      <c r="I17" s="188">
        <v>2</v>
      </c>
      <c r="J17" s="188">
        <f t="shared" si="0"/>
        <v>0.18232155679395459</v>
      </c>
      <c r="K17" s="442">
        <v>9.6046863561492793E-2</v>
      </c>
      <c r="L17" s="188" t="s">
        <v>31</v>
      </c>
      <c r="M17" s="188" t="s">
        <v>31</v>
      </c>
      <c r="N17" s="188" t="s">
        <v>31</v>
      </c>
      <c r="O17" s="188"/>
      <c r="P17" s="379" t="s">
        <v>275</v>
      </c>
      <c r="Q17" s="392">
        <v>1.2</v>
      </c>
      <c r="R17" s="188"/>
      <c r="S17" s="188"/>
    </row>
    <row r="18" spans="1:21">
      <c r="A18" s="84" t="s">
        <v>787</v>
      </c>
      <c r="B18" s="188">
        <f>S18</f>
        <v>6.5000000000000002E-2</v>
      </c>
      <c r="C18" s="188"/>
      <c r="D18" s="188" t="s">
        <v>37</v>
      </c>
      <c r="E18" s="188" t="s">
        <v>40</v>
      </c>
      <c r="F18" s="188" t="s">
        <v>29</v>
      </c>
      <c r="G18" s="37" t="s">
        <v>74</v>
      </c>
      <c r="H18" s="188" t="s">
        <v>33</v>
      </c>
      <c r="I18" s="188">
        <v>2</v>
      </c>
      <c r="J18" s="188">
        <f t="shared" si="0"/>
        <v>-2.7333680090865</v>
      </c>
      <c r="K18" s="442">
        <v>9.6046863561492793E-2</v>
      </c>
      <c r="L18" s="188" t="s">
        <v>31</v>
      </c>
      <c r="M18" s="188" t="s">
        <v>31</v>
      </c>
      <c r="N18" s="188" t="s">
        <v>31</v>
      </c>
      <c r="O18" s="188"/>
      <c r="P18" s="379" t="s">
        <v>857</v>
      </c>
      <c r="Q18" s="123">
        <v>65</v>
      </c>
      <c r="R18" s="379" t="s">
        <v>275</v>
      </c>
      <c r="S18" s="392">
        <f>0.001*Q18</f>
        <v>6.5000000000000002E-2</v>
      </c>
    </row>
    <row r="19" spans="1:21" s="73" customFormat="1">
      <c r="A19" s="347" t="s">
        <v>5</v>
      </c>
      <c r="B19" s="348" t="str">
        <f>A29</f>
        <v>production of machined casing, mass scaled activities, bidirectional battery DCDC converter, SOFC-bat, Long-Term</v>
      </c>
      <c r="C19" s="348"/>
      <c r="D19" s="330"/>
      <c r="E19" s="330"/>
      <c r="F19" s="330"/>
      <c r="G19" s="330"/>
      <c r="H19" s="330"/>
      <c r="I19" s="330"/>
      <c r="J19" s="330"/>
      <c r="K19" s="330"/>
      <c r="L19" s="330"/>
      <c r="M19" s="330"/>
      <c r="N19" s="330"/>
      <c r="O19" s="330"/>
      <c r="P19" s="330"/>
      <c r="Q19" s="330"/>
      <c r="R19" s="330"/>
      <c r="S19" s="330"/>
    </row>
    <row r="20" spans="1:21">
      <c r="A20" s="323" t="s">
        <v>7</v>
      </c>
      <c r="B20" s="188" t="s">
        <v>831</v>
      </c>
      <c r="C20" s="188"/>
      <c r="D20" s="322"/>
      <c r="E20" s="188"/>
      <c r="F20" s="188"/>
      <c r="G20" s="188"/>
      <c r="H20" s="188"/>
      <c r="I20" s="188"/>
      <c r="J20" s="188"/>
      <c r="K20" s="188"/>
      <c r="L20" s="188"/>
      <c r="M20" s="188"/>
      <c r="N20" s="188"/>
      <c r="O20" s="188"/>
      <c r="P20" s="188"/>
      <c r="Q20" s="188"/>
      <c r="R20" s="188"/>
      <c r="S20" s="188"/>
    </row>
    <row r="21" spans="1:21">
      <c r="A21" s="402" t="s">
        <v>9</v>
      </c>
      <c r="B21" s="188" t="s">
        <v>1303</v>
      </c>
      <c r="C21" s="188"/>
      <c r="D21" s="322"/>
      <c r="E21" s="188"/>
      <c r="F21" s="188"/>
      <c r="G21" s="188"/>
      <c r="H21" s="188"/>
      <c r="I21" s="188"/>
      <c r="J21" s="188"/>
      <c r="K21" s="188"/>
      <c r="L21" s="188"/>
      <c r="M21" s="188"/>
      <c r="N21" s="188"/>
      <c r="O21" s="188"/>
      <c r="P21" s="188"/>
      <c r="Q21" s="188"/>
      <c r="R21" s="188"/>
      <c r="S21" s="188"/>
    </row>
    <row r="22" spans="1:21" ht="15.75" customHeight="1">
      <c r="A22" s="323" t="s">
        <v>11</v>
      </c>
      <c r="B22" s="324" t="s">
        <v>841</v>
      </c>
      <c r="C22" s="324"/>
      <c r="D22" s="188"/>
      <c r="E22" s="188"/>
      <c r="F22" s="188"/>
      <c r="G22" s="188"/>
      <c r="H22" s="188"/>
      <c r="I22" s="188"/>
      <c r="J22" s="188"/>
      <c r="K22" s="188"/>
      <c r="L22" s="188"/>
      <c r="M22" s="188"/>
      <c r="N22" s="188"/>
      <c r="O22" s="188"/>
      <c r="P22" s="188"/>
      <c r="Q22" s="188"/>
      <c r="R22" s="188"/>
      <c r="S22" s="188"/>
    </row>
    <row r="23" spans="1:21">
      <c r="A23" s="323" t="s">
        <v>13</v>
      </c>
      <c r="B23" s="188" t="s">
        <v>14</v>
      </c>
      <c r="C23" s="188"/>
      <c r="D23" s="188"/>
      <c r="E23" s="188"/>
      <c r="F23" s="188"/>
      <c r="G23" s="188"/>
      <c r="H23" s="188"/>
      <c r="I23" s="188"/>
      <c r="J23" s="188"/>
      <c r="K23" s="188"/>
      <c r="L23" s="188"/>
      <c r="M23" s="188"/>
      <c r="N23" s="188"/>
      <c r="O23" s="188"/>
      <c r="P23" s="188"/>
      <c r="Q23" s="188"/>
      <c r="R23" s="188"/>
      <c r="S23" s="188"/>
    </row>
    <row r="24" spans="1:21">
      <c r="A24" s="323" t="s">
        <v>15</v>
      </c>
      <c r="B24" s="335">
        <v>1</v>
      </c>
      <c r="C24" s="335"/>
      <c r="D24" s="188"/>
      <c r="E24" s="188"/>
      <c r="F24" s="188"/>
      <c r="G24" s="188"/>
      <c r="H24" s="188"/>
      <c r="I24" s="188"/>
      <c r="J24" s="188"/>
      <c r="K24" s="188"/>
      <c r="L24" s="188"/>
      <c r="M24" s="188"/>
      <c r="N24" s="188"/>
      <c r="O24" s="188"/>
      <c r="P24" s="188"/>
      <c r="Q24" s="188"/>
      <c r="R24" s="188"/>
      <c r="S24" s="188"/>
    </row>
    <row r="25" spans="1:21">
      <c r="A25" s="323" t="s">
        <v>16</v>
      </c>
      <c r="B25" s="188" t="s">
        <v>17</v>
      </c>
      <c r="C25" s="188"/>
      <c r="D25" s="188"/>
      <c r="E25" s="188"/>
      <c r="F25" s="188"/>
      <c r="G25" s="188"/>
      <c r="H25" s="188"/>
      <c r="I25" s="188"/>
      <c r="J25" s="188"/>
      <c r="K25" s="188"/>
      <c r="L25" s="188"/>
      <c r="M25" s="188"/>
      <c r="N25" s="188"/>
      <c r="O25" s="188"/>
      <c r="P25" s="188"/>
      <c r="Q25" s="188"/>
      <c r="R25" s="188"/>
      <c r="S25" s="188"/>
    </row>
    <row r="26" spans="1:21">
      <c r="A26" s="323" t="s">
        <v>18</v>
      </c>
      <c r="B26" s="188" t="s">
        <v>18</v>
      </c>
      <c r="C26" s="188"/>
      <c r="D26" s="188"/>
      <c r="E26" s="188"/>
      <c r="F26" s="188"/>
      <c r="G26" s="188"/>
      <c r="H26" s="188"/>
      <c r="I26" s="188"/>
      <c r="J26" s="188"/>
      <c r="K26" s="188"/>
      <c r="L26" s="188"/>
      <c r="M26" s="188"/>
      <c r="N26" s="188"/>
      <c r="O26" s="188"/>
      <c r="P26" s="188"/>
      <c r="Q26" s="188"/>
      <c r="R26" s="188"/>
      <c r="S26" s="188"/>
    </row>
    <row r="27" spans="1:21">
      <c r="A27" s="320" t="s">
        <v>19</v>
      </c>
      <c r="B27" s="188"/>
      <c r="C27" s="188"/>
      <c r="D27" s="188"/>
      <c r="E27" s="188"/>
      <c r="F27" s="188"/>
      <c r="G27" s="188"/>
      <c r="H27" s="188"/>
      <c r="I27" s="188"/>
      <c r="J27" s="188"/>
      <c r="K27" s="188"/>
      <c r="L27" s="188"/>
      <c r="M27" s="188"/>
      <c r="N27" s="188"/>
      <c r="O27" s="188"/>
      <c r="P27" s="188"/>
      <c r="Q27" s="188"/>
      <c r="R27" s="188"/>
      <c r="S27" s="188"/>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P28" s="188"/>
      <c r="Q28" s="188"/>
      <c r="R28" s="188"/>
      <c r="S28" s="188"/>
      <c r="U28" s="111"/>
    </row>
    <row r="29" spans="1:21">
      <c r="A29" s="188" t="s">
        <v>1302</v>
      </c>
      <c r="B29" s="188">
        <v>1</v>
      </c>
      <c r="C29" s="188"/>
      <c r="D29" s="188" t="s">
        <v>18</v>
      </c>
      <c r="E29" s="386" t="s">
        <v>2</v>
      </c>
      <c r="F29" s="188" t="s">
        <v>29</v>
      </c>
      <c r="G29" s="188" t="s">
        <v>14</v>
      </c>
      <c r="H29" s="188" t="s">
        <v>30</v>
      </c>
      <c r="I29" s="188">
        <v>1</v>
      </c>
      <c r="J29" s="188">
        <v>1</v>
      </c>
      <c r="K29" s="188" t="s">
        <v>31</v>
      </c>
      <c r="L29" s="188" t="s">
        <v>31</v>
      </c>
      <c r="M29" s="188" t="s">
        <v>31</v>
      </c>
      <c r="N29" s="188" t="s">
        <v>31</v>
      </c>
      <c r="O29" s="188"/>
      <c r="P29" s="188"/>
      <c r="Q29" s="188"/>
      <c r="R29" s="188"/>
      <c r="S29" s="188"/>
    </row>
    <row r="30" spans="1:21">
      <c r="A30" s="188" t="s">
        <v>1304</v>
      </c>
      <c r="B30" s="188">
        <v>16</v>
      </c>
      <c r="C30" s="188"/>
      <c r="D30" s="188" t="s">
        <v>37</v>
      </c>
      <c r="E30" s="386" t="s">
        <v>2</v>
      </c>
      <c r="F30" s="188" t="s">
        <v>29</v>
      </c>
      <c r="G30" s="188" t="s">
        <v>14</v>
      </c>
      <c r="H30" s="188" t="s">
        <v>33</v>
      </c>
      <c r="I30" s="188">
        <v>2</v>
      </c>
      <c r="J30" s="188">
        <f>LN(B30)</f>
        <v>2.7725887222397811</v>
      </c>
      <c r="K30" s="188">
        <v>0.10307764064044142</v>
      </c>
      <c r="L30" s="188" t="s">
        <v>31</v>
      </c>
      <c r="M30" s="188" t="s">
        <v>31</v>
      </c>
      <c r="N30" s="188" t="s">
        <v>31</v>
      </c>
      <c r="O30" s="188"/>
      <c r="P30" s="188"/>
      <c r="Q30" s="440">
        <v>15.2</v>
      </c>
      <c r="R30" s="188"/>
      <c r="S30" s="188"/>
    </row>
    <row r="31" spans="1:21">
      <c r="A31" s="323" t="s">
        <v>265</v>
      </c>
      <c r="B31" s="327">
        <f>Q31</f>
        <v>0.91</v>
      </c>
      <c r="C31" s="327"/>
      <c r="D31" s="188" t="s">
        <v>39</v>
      </c>
      <c r="E31" s="188" t="s">
        <v>40</v>
      </c>
      <c r="F31" s="188" t="s">
        <v>29</v>
      </c>
      <c r="G31" s="37" t="s">
        <v>59</v>
      </c>
      <c r="H31" s="188" t="s">
        <v>33</v>
      </c>
      <c r="I31" s="188">
        <v>2</v>
      </c>
      <c r="J31" s="188">
        <f t="shared" ref="J31:J37" si="1">LN(B31)</f>
        <v>-9.431067947124129E-2</v>
      </c>
      <c r="K31" s="188">
        <v>9.6046863561492793E-2</v>
      </c>
      <c r="L31" s="188" t="s">
        <v>31</v>
      </c>
      <c r="M31" s="188" t="s">
        <v>31</v>
      </c>
      <c r="N31" s="188" t="s">
        <v>31</v>
      </c>
      <c r="O31" s="188"/>
      <c r="P31" s="379" t="s">
        <v>271</v>
      </c>
      <c r="Q31" s="107">
        <v>0.91</v>
      </c>
      <c r="R31" s="188"/>
      <c r="S31" s="188"/>
    </row>
    <row r="32" spans="1:21">
      <c r="A32" s="84" t="s">
        <v>954</v>
      </c>
      <c r="B32" s="188">
        <f>S32</f>
        <v>0.21299999999999999</v>
      </c>
      <c r="C32" s="188"/>
      <c r="D32" s="188" t="s">
        <v>37</v>
      </c>
      <c r="E32" s="188" t="s">
        <v>40</v>
      </c>
      <c r="F32" s="188" t="s">
        <v>29</v>
      </c>
      <c r="G32" s="188" t="s">
        <v>35</v>
      </c>
      <c r="H32" s="188" t="s">
        <v>33</v>
      </c>
      <c r="I32" s="188">
        <v>2</v>
      </c>
      <c r="J32" s="188">
        <f t="shared" si="1"/>
        <v>-1.546463113272712</v>
      </c>
      <c r="K32" s="188">
        <v>9.6046863561492793E-2</v>
      </c>
      <c r="L32" s="188" t="s">
        <v>31</v>
      </c>
      <c r="M32" s="188" t="s">
        <v>31</v>
      </c>
      <c r="N32" s="188" t="s">
        <v>31</v>
      </c>
      <c r="O32" s="188"/>
      <c r="P32" s="379" t="s">
        <v>857</v>
      </c>
      <c r="Q32" s="107">
        <v>213</v>
      </c>
      <c r="R32" s="379" t="s">
        <v>275</v>
      </c>
      <c r="S32" s="392">
        <f>0.001*Q32</f>
        <v>0.21299999999999999</v>
      </c>
    </row>
    <row r="33" spans="1:21">
      <c r="A33" s="84" t="s">
        <v>955</v>
      </c>
      <c r="B33" s="188">
        <f>Q33</f>
        <v>4</v>
      </c>
      <c r="C33" s="188"/>
      <c r="D33" s="188" t="s">
        <v>37</v>
      </c>
      <c r="E33" s="188" t="s">
        <v>40</v>
      </c>
      <c r="F33" s="188" t="s">
        <v>29</v>
      </c>
      <c r="G33" s="37" t="s">
        <v>74</v>
      </c>
      <c r="H33" s="188" t="s">
        <v>33</v>
      </c>
      <c r="I33" s="188">
        <v>2</v>
      </c>
      <c r="J33" s="188">
        <f t="shared" si="1"/>
        <v>1.3862943611198906</v>
      </c>
      <c r="K33" s="188">
        <v>9.6046863561492793E-2</v>
      </c>
      <c r="L33" s="188" t="s">
        <v>31</v>
      </c>
      <c r="M33" s="188" t="s">
        <v>31</v>
      </c>
      <c r="N33" s="188" t="s">
        <v>31</v>
      </c>
      <c r="O33" s="188"/>
      <c r="P33" s="379" t="s">
        <v>275</v>
      </c>
      <c r="Q33" s="107">
        <v>4</v>
      </c>
      <c r="R33" s="188"/>
      <c r="S33" s="188"/>
    </row>
    <row r="34" spans="1:21">
      <c r="A34" s="416" t="s">
        <v>202</v>
      </c>
      <c r="B34" s="188">
        <f>S35</f>
        <v>0.80600000000000005</v>
      </c>
      <c r="C34" s="192" t="s">
        <v>203</v>
      </c>
      <c r="D34" s="188" t="s">
        <v>37</v>
      </c>
      <c r="E34" s="188" t="s">
        <v>40</v>
      </c>
      <c r="F34" s="188" t="s">
        <v>29</v>
      </c>
      <c r="G34" s="37" t="s">
        <v>35</v>
      </c>
      <c r="H34" s="188" t="s">
        <v>33</v>
      </c>
      <c r="I34" s="188">
        <v>2</v>
      </c>
      <c r="J34" s="188">
        <f t="shared" si="1"/>
        <v>-0.21567153647550871</v>
      </c>
      <c r="K34" s="188">
        <v>9.6046863561492793E-2</v>
      </c>
      <c r="L34" s="188" t="s">
        <v>31</v>
      </c>
      <c r="M34" s="188" t="s">
        <v>31</v>
      </c>
      <c r="N34" s="188" t="s">
        <v>31</v>
      </c>
      <c r="O34" s="188"/>
      <c r="P34" s="379"/>
      <c r="Q34" s="392"/>
      <c r="R34" s="188"/>
      <c r="S34" s="188"/>
    </row>
    <row r="35" spans="1:21">
      <c r="A35" s="192" t="s">
        <v>201</v>
      </c>
      <c r="B35" s="188">
        <f>S35</f>
        <v>0.80600000000000005</v>
      </c>
      <c r="C35" s="188"/>
      <c r="D35" s="188" t="s">
        <v>37</v>
      </c>
      <c r="E35" s="188" t="s">
        <v>40</v>
      </c>
      <c r="F35" s="188" t="s">
        <v>29</v>
      </c>
      <c r="G35" s="188" t="s">
        <v>35</v>
      </c>
      <c r="H35" s="188" t="s">
        <v>33</v>
      </c>
      <c r="I35" s="188">
        <v>2</v>
      </c>
      <c r="J35" s="188">
        <f t="shared" si="1"/>
        <v>-0.21567153647550871</v>
      </c>
      <c r="K35" s="188">
        <v>9.6046863561492793E-2</v>
      </c>
      <c r="L35" s="188" t="s">
        <v>31</v>
      </c>
      <c r="M35" s="188" t="s">
        <v>31</v>
      </c>
      <c r="N35" s="188" t="s">
        <v>31</v>
      </c>
      <c r="O35" s="188"/>
      <c r="P35" s="396" t="s">
        <v>857</v>
      </c>
      <c r="Q35" s="123">
        <v>806</v>
      </c>
      <c r="R35" s="379" t="s">
        <v>275</v>
      </c>
      <c r="S35" s="392">
        <f>0.001*Q35</f>
        <v>0.80600000000000005</v>
      </c>
    </row>
    <row r="36" spans="1:21">
      <c r="A36" s="84" t="s">
        <v>958</v>
      </c>
      <c r="B36" s="188">
        <f>S35</f>
        <v>0.80600000000000005</v>
      </c>
      <c r="C36" s="188"/>
      <c r="D36" s="188" t="s">
        <v>37</v>
      </c>
      <c r="E36" s="188" t="s">
        <v>40</v>
      </c>
      <c r="F36" s="188" t="s">
        <v>29</v>
      </c>
      <c r="G36" s="188" t="s">
        <v>59</v>
      </c>
      <c r="H36" s="188" t="s">
        <v>136</v>
      </c>
      <c r="I36" s="188">
        <v>2</v>
      </c>
      <c r="J36" s="188">
        <f t="shared" si="1"/>
        <v>-0.21567153647550871</v>
      </c>
      <c r="K36" s="188">
        <v>9.6046863561492793E-2</v>
      </c>
      <c r="L36" s="188" t="s">
        <v>31</v>
      </c>
      <c r="M36" s="188" t="s">
        <v>31</v>
      </c>
      <c r="N36" s="188" t="s">
        <v>31</v>
      </c>
      <c r="O36" s="188"/>
      <c r="P36" s="396" t="s">
        <v>857</v>
      </c>
      <c r="Q36" s="123">
        <v>806</v>
      </c>
      <c r="R36" s="379" t="s">
        <v>275</v>
      </c>
      <c r="S36" s="392">
        <f>0.001*Q37</f>
        <v>0.21299999999999999</v>
      </c>
    </row>
    <row r="37" spans="1:21">
      <c r="A37" s="84" t="s">
        <v>787</v>
      </c>
      <c r="B37" s="188">
        <f>S37</f>
        <v>0.21299999999999999</v>
      </c>
      <c r="C37" s="188"/>
      <c r="D37" s="188" t="s">
        <v>37</v>
      </c>
      <c r="E37" s="188" t="s">
        <v>40</v>
      </c>
      <c r="F37" s="188" t="s">
        <v>29</v>
      </c>
      <c r="G37" s="37" t="s">
        <v>74</v>
      </c>
      <c r="H37" s="188" t="s">
        <v>33</v>
      </c>
      <c r="I37" s="188">
        <v>2</v>
      </c>
      <c r="J37" s="188">
        <f t="shared" si="1"/>
        <v>-1.546463113272712</v>
      </c>
      <c r="K37" s="188">
        <v>9.6046863561492793E-2</v>
      </c>
      <c r="L37" s="188" t="s">
        <v>31</v>
      </c>
      <c r="M37" s="188" t="s">
        <v>31</v>
      </c>
      <c r="N37" s="188" t="s">
        <v>31</v>
      </c>
      <c r="O37" s="188"/>
      <c r="P37" s="396" t="s">
        <v>857</v>
      </c>
      <c r="Q37" s="397">
        <v>213</v>
      </c>
      <c r="R37" s="379" t="s">
        <v>275</v>
      </c>
      <c r="S37" s="392">
        <f>Q37*0.001</f>
        <v>0.21299999999999999</v>
      </c>
    </row>
    <row r="38" spans="1:21" s="73" customFormat="1">
      <c r="A38" s="347" t="s">
        <v>5</v>
      </c>
      <c r="B38" s="348" t="s">
        <v>1304</v>
      </c>
      <c r="C38" s="348"/>
      <c r="D38" s="330"/>
      <c r="E38" s="330"/>
      <c r="F38" s="330"/>
      <c r="G38" s="330"/>
      <c r="H38" s="330"/>
      <c r="I38" s="330"/>
      <c r="J38" s="330"/>
      <c r="K38" s="330"/>
      <c r="L38" s="330"/>
      <c r="M38" s="330"/>
      <c r="N38" s="330"/>
      <c r="O38" s="330"/>
      <c r="P38" s="330"/>
      <c r="Q38" s="330"/>
      <c r="R38" s="330"/>
      <c r="S38" s="330"/>
    </row>
    <row r="39" spans="1:21">
      <c r="A39" s="323" t="s">
        <v>7</v>
      </c>
      <c r="B39" s="188" t="s">
        <v>831</v>
      </c>
      <c r="C39" s="188"/>
      <c r="D39" s="322"/>
      <c r="E39" s="188"/>
      <c r="F39" s="188"/>
      <c r="G39" s="188"/>
      <c r="H39" s="188"/>
      <c r="I39" s="188"/>
      <c r="J39" s="188"/>
      <c r="K39" s="188"/>
      <c r="L39" s="188"/>
      <c r="M39" s="188"/>
      <c r="N39" s="188"/>
      <c r="O39" s="188"/>
      <c r="P39" s="188"/>
      <c r="Q39" s="188"/>
      <c r="R39" s="188"/>
      <c r="S39" s="188"/>
    </row>
    <row r="40" spans="1:21">
      <c r="A40" s="402" t="s">
        <v>9</v>
      </c>
      <c r="B40" s="188" t="s">
        <v>1305</v>
      </c>
      <c r="C40" s="188"/>
      <c r="D40" s="322"/>
      <c r="E40" s="188"/>
      <c r="F40" s="188"/>
      <c r="G40" s="188"/>
      <c r="H40" s="188"/>
      <c r="I40" s="188"/>
      <c r="J40" s="188"/>
      <c r="K40" s="188"/>
      <c r="L40" s="188"/>
      <c r="M40" s="188"/>
      <c r="N40" s="188"/>
      <c r="O40" s="188"/>
      <c r="P40" s="188"/>
      <c r="Q40" s="188"/>
      <c r="R40" s="188"/>
      <c r="S40" s="188"/>
    </row>
    <row r="41" spans="1:21" ht="15.75" customHeight="1">
      <c r="A41" s="323" t="s">
        <v>11</v>
      </c>
      <c r="B41" s="324" t="s">
        <v>841</v>
      </c>
      <c r="C41" s="324"/>
      <c r="D41" s="188"/>
      <c r="E41" s="188"/>
      <c r="F41" s="188"/>
      <c r="G41" s="188"/>
      <c r="H41" s="188"/>
      <c r="I41" s="188"/>
      <c r="J41" s="188"/>
      <c r="K41" s="188"/>
      <c r="L41" s="188"/>
      <c r="M41" s="188"/>
      <c r="N41" s="188"/>
      <c r="O41" s="188"/>
      <c r="P41" s="188"/>
      <c r="Q41" s="188"/>
      <c r="R41" s="188"/>
      <c r="S41" s="188"/>
    </row>
    <row r="42" spans="1:21">
      <c r="A42" s="323" t="s">
        <v>13</v>
      </c>
      <c r="B42" s="188" t="s">
        <v>14</v>
      </c>
      <c r="C42" s="188"/>
      <c r="D42" s="188"/>
      <c r="E42" s="188"/>
      <c r="F42" s="188"/>
      <c r="G42" s="188"/>
      <c r="H42" s="188"/>
      <c r="I42" s="188"/>
      <c r="J42" s="188"/>
      <c r="K42" s="188"/>
      <c r="L42" s="188"/>
      <c r="M42" s="188"/>
      <c r="N42" s="188"/>
      <c r="O42" s="188"/>
      <c r="P42" s="188"/>
      <c r="Q42" s="188"/>
      <c r="R42" s="188"/>
      <c r="S42" s="188"/>
    </row>
    <row r="43" spans="1:21">
      <c r="A43" s="323" t="s">
        <v>15</v>
      </c>
      <c r="B43" s="335">
        <f>B48</f>
        <v>16</v>
      </c>
      <c r="C43" s="335"/>
      <c r="D43" s="188"/>
      <c r="E43" s="188"/>
      <c r="F43" s="188"/>
      <c r="G43" s="188"/>
      <c r="H43" s="188"/>
      <c r="I43" s="188"/>
      <c r="J43" s="188"/>
      <c r="K43" s="188"/>
      <c r="L43" s="188"/>
      <c r="M43" s="188"/>
      <c r="N43" s="188"/>
      <c r="O43" s="188"/>
      <c r="P43" s="188"/>
      <c r="Q43" s="188"/>
      <c r="R43" s="188"/>
      <c r="S43" s="188"/>
    </row>
    <row r="44" spans="1:21">
      <c r="A44" s="323" t="s">
        <v>16</v>
      </c>
      <c r="B44" s="188" t="s">
        <v>17</v>
      </c>
      <c r="C44" s="188"/>
      <c r="D44" s="188"/>
      <c r="E44" s="188"/>
      <c r="F44" s="188"/>
      <c r="G44" s="188"/>
      <c r="H44" s="188"/>
      <c r="I44" s="188"/>
      <c r="J44" s="188"/>
      <c r="K44" s="188"/>
      <c r="L44" s="188"/>
      <c r="M44" s="188"/>
      <c r="N44" s="188"/>
      <c r="O44" s="188"/>
      <c r="P44" s="188"/>
      <c r="Q44" s="188"/>
      <c r="R44" s="188"/>
      <c r="S44" s="188"/>
    </row>
    <row r="45" spans="1:21">
      <c r="A45" s="323" t="s">
        <v>18</v>
      </c>
      <c r="B45" s="188" t="s">
        <v>37</v>
      </c>
      <c r="C45" s="188"/>
      <c r="D45" s="188"/>
      <c r="E45" s="188"/>
      <c r="F45" s="188"/>
      <c r="G45" s="188"/>
      <c r="H45" s="188"/>
      <c r="I45" s="188"/>
      <c r="J45" s="188"/>
      <c r="K45" s="188"/>
      <c r="L45" s="188"/>
      <c r="M45" s="188"/>
      <c r="N45" s="188"/>
      <c r="O45" s="188"/>
      <c r="P45" s="188"/>
      <c r="Q45" s="188"/>
      <c r="R45" s="188"/>
      <c r="S45" s="188"/>
    </row>
    <row r="46" spans="1:21">
      <c r="A46" s="320" t="s">
        <v>19</v>
      </c>
      <c r="B46" s="188"/>
      <c r="C46" s="188"/>
      <c r="D46" s="188"/>
      <c r="E46" s="188"/>
      <c r="F46" s="188"/>
      <c r="G46" s="188"/>
      <c r="H46" s="188"/>
      <c r="I46" s="188"/>
      <c r="J46" s="188"/>
      <c r="K46" s="188"/>
      <c r="L46" s="188"/>
      <c r="M46" s="188"/>
      <c r="N46" s="188"/>
      <c r="O46" s="188"/>
      <c r="P46" s="188"/>
      <c r="Q46" s="188"/>
      <c r="R46" s="188"/>
      <c r="S46" s="188"/>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P47" s="188"/>
      <c r="Q47" s="188"/>
      <c r="R47" s="188"/>
      <c r="S47" s="188"/>
      <c r="U47" s="111"/>
    </row>
    <row r="48" spans="1:21">
      <c r="A48" s="188" t="s">
        <v>1304</v>
      </c>
      <c r="B48" s="188">
        <f>Q48</f>
        <v>16</v>
      </c>
      <c r="C48" s="188"/>
      <c r="D48" s="188" t="s">
        <v>37</v>
      </c>
      <c r="E48" s="386" t="s">
        <v>2</v>
      </c>
      <c r="F48" s="188" t="s">
        <v>29</v>
      </c>
      <c r="G48" s="188" t="s">
        <v>14</v>
      </c>
      <c r="H48" s="188" t="s">
        <v>30</v>
      </c>
      <c r="I48" s="188">
        <v>2</v>
      </c>
      <c r="J48" s="188">
        <f>LN(B48)</f>
        <v>2.7725887222397811</v>
      </c>
      <c r="K48" s="188">
        <v>0.10307764064044142</v>
      </c>
      <c r="L48" s="188" t="s">
        <v>31</v>
      </c>
      <c r="M48" s="188" t="s">
        <v>31</v>
      </c>
      <c r="N48" s="188" t="s">
        <v>31</v>
      </c>
      <c r="O48" s="188"/>
      <c r="P48" s="188"/>
      <c r="Q48" s="443">
        <v>16</v>
      </c>
      <c r="R48" s="188"/>
      <c r="S48" s="188"/>
    </row>
    <row r="49" spans="1:25">
      <c r="A49" s="84" t="s">
        <v>958</v>
      </c>
      <c r="B49" s="188">
        <f>Q49</f>
        <v>17</v>
      </c>
      <c r="C49" s="188"/>
      <c r="D49" s="188" t="s">
        <v>37</v>
      </c>
      <c r="E49" s="188" t="s">
        <v>40</v>
      </c>
      <c r="F49" s="188" t="s">
        <v>29</v>
      </c>
      <c r="G49" s="188" t="s">
        <v>59</v>
      </c>
      <c r="H49" s="188" t="s">
        <v>33</v>
      </c>
      <c r="I49" s="188">
        <v>2</v>
      </c>
      <c r="J49" s="188">
        <f t="shared" ref="J49:J57" si="2">LN(B49)</f>
        <v>2.8332133440562162</v>
      </c>
      <c r="K49" s="188">
        <v>4.9999999999998969E-3</v>
      </c>
      <c r="L49" s="188" t="s">
        <v>31</v>
      </c>
      <c r="M49" s="188" t="s">
        <v>31</v>
      </c>
      <c r="N49" s="188" t="s">
        <v>31</v>
      </c>
      <c r="O49" s="188"/>
      <c r="P49" s="379" t="s">
        <v>275</v>
      </c>
      <c r="Q49" s="107">
        <v>17</v>
      </c>
      <c r="R49" s="188"/>
      <c r="S49" s="188"/>
    </row>
    <row r="50" spans="1:25">
      <c r="A50" s="27" t="s">
        <v>69</v>
      </c>
      <c r="B50" s="188">
        <f>S50</f>
        <v>4.5169712793733687</v>
      </c>
      <c r="C50" s="188"/>
      <c r="D50" s="188" t="s">
        <v>42</v>
      </c>
      <c r="E50" s="188" t="s">
        <v>40</v>
      </c>
      <c r="F50" s="188" t="s">
        <v>29</v>
      </c>
      <c r="G50" s="188" t="s">
        <v>272</v>
      </c>
      <c r="H50" s="188" t="s">
        <v>33</v>
      </c>
      <c r="I50" s="188">
        <v>2</v>
      </c>
      <c r="J50" s="188">
        <f t="shared" si="2"/>
        <v>1.5078416983111789</v>
      </c>
      <c r="K50" s="188">
        <v>4.9999999999998969E-3</v>
      </c>
      <c r="L50" s="188" t="s">
        <v>31</v>
      </c>
      <c r="M50" s="188" t="s">
        <v>31</v>
      </c>
      <c r="N50" s="188" t="s">
        <v>31</v>
      </c>
      <c r="O50" s="188"/>
      <c r="P50" s="379" t="s">
        <v>270</v>
      </c>
      <c r="Q50" s="107">
        <v>173</v>
      </c>
      <c r="R50" s="188" t="s">
        <v>274</v>
      </c>
      <c r="S50" s="188">
        <f>Q50/38.3</f>
        <v>4.5169712793733687</v>
      </c>
      <c r="T50" s="147"/>
      <c r="U50" s="146"/>
      <c r="V50" s="146"/>
      <c r="W50" s="146"/>
      <c r="X50" s="146"/>
      <c r="Y50" s="146"/>
    </row>
    <row r="51" spans="1:25">
      <c r="A51" s="323" t="s">
        <v>265</v>
      </c>
      <c r="B51" s="327">
        <f>Q51</f>
        <v>41.6</v>
      </c>
      <c r="C51" s="327"/>
      <c r="D51" s="188" t="s">
        <v>39</v>
      </c>
      <c r="E51" s="188" t="s">
        <v>40</v>
      </c>
      <c r="F51" s="188" t="s">
        <v>29</v>
      </c>
      <c r="G51" s="37" t="s">
        <v>59</v>
      </c>
      <c r="H51" s="188" t="s">
        <v>33</v>
      </c>
      <c r="I51" s="188">
        <v>2</v>
      </c>
      <c r="J51" s="188">
        <f t="shared" si="2"/>
        <v>3.7281001672672178</v>
      </c>
      <c r="K51" s="188">
        <v>4.9999999999998969E-3</v>
      </c>
      <c r="L51" s="188" t="s">
        <v>31</v>
      </c>
      <c r="M51" s="188" t="s">
        <v>31</v>
      </c>
      <c r="N51" s="188" t="s">
        <v>31</v>
      </c>
      <c r="O51" s="188"/>
      <c r="P51" s="379" t="s">
        <v>271</v>
      </c>
      <c r="Q51" s="107">
        <v>41.6</v>
      </c>
      <c r="R51" s="188"/>
      <c r="S51" s="188"/>
    </row>
    <row r="52" spans="1:25">
      <c r="A52" s="84" t="s">
        <v>960</v>
      </c>
      <c r="B52" s="188">
        <f>S52</f>
        <v>0.32</v>
      </c>
      <c r="C52" s="188"/>
      <c r="D52" s="188" t="s">
        <v>37</v>
      </c>
      <c r="E52" s="188" t="s">
        <v>40</v>
      </c>
      <c r="F52" s="188" t="s">
        <v>29</v>
      </c>
      <c r="G52" s="188" t="s">
        <v>35</v>
      </c>
      <c r="H52" s="188" t="s">
        <v>33</v>
      </c>
      <c r="I52" s="188">
        <v>2</v>
      </c>
      <c r="J52" s="188">
        <f t="shared" si="2"/>
        <v>-1.1394342831883648</v>
      </c>
      <c r="K52" s="188">
        <v>0.10049875621120885</v>
      </c>
      <c r="L52" s="188" t="s">
        <v>31</v>
      </c>
      <c r="M52" s="188" t="s">
        <v>31</v>
      </c>
      <c r="N52" s="188" t="s">
        <v>31</v>
      </c>
      <c r="O52" s="188"/>
      <c r="P52" s="379" t="s">
        <v>857</v>
      </c>
      <c r="Q52" s="107">
        <v>320</v>
      </c>
      <c r="R52" s="379" t="s">
        <v>275</v>
      </c>
      <c r="S52" s="392">
        <f t="shared" ref="S52:S54" si="3">0.001*Q52</f>
        <v>0.32</v>
      </c>
    </row>
    <row r="53" spans="1:25">
      <c r="A53" s="84" t="s">
        <v>961</v>
      </c>
      <c r="B53" s="188">
        <f>S53</f>
        <v>6.4000000000000003E-3</v>
      </c>
      <c r="C53" s="188"/>
      <c r="D53" s="188" t="s">
        <v>37</v>
      </c>
      <c r="E53" s="188" t="s">
        <v>43</v>
      </c>
      <c r="F53" s="188" t="s">
        <v>44</v>
      </c>
      <c r="G53" s="188" t="s">
        <v>29</v>
      </c>
      <c r="H53" s="188" t="s">
        <v>45</v>
      </c>
      <c r="I53" s="188">
        <v>2</v>
      </c>
      <c r="J53" s="188">
        <f t="shared" si="2"/>
        <v>-5.0514572886165112</v>
      </c>
      <c r="K53" s="188">
        <v>4.9999999999998969E-3</v>
      </c>
      <c r="L53" s="188" t="s">
        <v>31</v>
      </c>
      <c r="M53" s="188" t="s">
        <v>31</v>
      </c>
      <c r="N53" s="188" t="s">
        <v>31</v>
      </c>
      <c r="O53" s="188"/>
      <c r="P53" s="394" t="s">
        <v>857</v>
      </c>
      <c r="Q53" s="145">
        <v>6.4</v>
      </c>
      <c r="R53" s="379" t="s">
        <v>275</v>
      </c>
      <c r="S53" s="392">
        <f t="shared" si="3"/>
        <v>6.4000000000000003E-3</v>
      </c>
    </row>
    <row r="54" spans="1:25">
      <c r="A54" s="323" t="s">
        <v>807</v>
      </c>
      <c r="B54" s="188">
        <f>S54</f>
        <v>1.6E-2</v>
      </c>
      <c r="C54" s="188"/>
      <c r="D54" s="188" t="s">
        <v>37</v>
      </c>
      <c r="E54" s="188" t="s">
        <v>43</v>
      </c>
      <c r="F54" s="188" t="s">
        <v>44</v>
      </c>
      <c r="G54" s="37" t="s">
        <v>29</v>
      </c>
      <c r="H54" s="188" t="s">
        <v>45</v>
      </c>
      <c r="I54" s="188">
        <v>2</v>
      </c>
      <c r="J54" s="188">
        <f t="shared" si="2"/>
        <v>-4.1351665567423561</v>
      </c>
      <c r="K54" s="188">
        <v>8.9582364335844641E-2</v>
      </c>
      <c r="L54" s="188" t="s">
        <v>31</v>
      </c>
      <c r="M54" s="188" t="s">
        <v>31</v>
      </c>
      <c r="N54" s="188" t="s">
        <v>31</v>
      </c>
      <c r="O54" s="188"/>
      <c r="P54" s="394" t="s">
        <v>857</v>
      </c>
      <c r="Q54" s="145">
        <v>16</v>
      </c>
      <c r="R54" s="379" t="s">
        <v>275</v>
      </c>
      <c r="S54" s="392">
        <f t="shared" si="3"/>
        <v>1.6E-2</v>
      </c>
    </row>
    <row r="55" spans="1:25">
      <c r="A55" s="416" t="s">
        <v>202</v>
      </c>
      <c r="B55" s="188">
        <f>Q56</f>
        <v>0.96</v>
      </c>
      <c r="C55" s="192" t="s">
        <v>203</v>
      </c>
      <c r="D55" s="188" t="s">
        <v>37</v>
      </c>
      <c r="E55" s="188" t="s">
        <v>40</v>
      </c>
      <c r="F55" s="188" t="s">
        <v>29</v>
      </c>
      <c r="G55" s="37" t="s">
        <v>35</v>
      </c>
      <c r="H55" s="188" t="s">
        <v>33</v>
      </c>
      <c r="I55" s="188">
        <v>2</v>
      </c>
      <c r="J55" s="188">
        <f t="shared" si="2"/>
        <v>-4.0821994520255166E-2</v>
      </c>
      <c r="K55" s="188">
        <v>9.6046863561492793E-2</v>
      </c>
      <c r="L55" s="188" t="s">
        <v>31</v>
      </c>
      <c r="M55" s="188" t="s">
        <v>31</v>
      </c>
      <c r="N55" s="188" t="s">
        <v>31</v>
      </c>
      <c r="O55" s="188"/>
      <c r="P55" s="394"/>
      <c r="Q55" s="123">
        <v>0.96</v>
      </c>
      <c r="R55" s="410"/>
      <c r="S55" s="411"/>
    </row>
    <row r="56" spans="1:25">
      <c r="A56" s="192" t="s">
        <v>201</v>
      </c>
      <c r="B56" s="188">
        <f>Q56</f>
        <v>0.96</v>
      </c>
      <c r="C56" s="188"/>
      <c r="D56" s="188" t="s">
        <v>37</v>
      </c>
      <c r="E56" s="188" t="s">
        <v>40</v>
      </c>
      <c r="F56" s="188" t="s">
        <v>29</v>
      </c>
      <c r="G56" s="188" t="s">
        <v>35</v>
      </c>
      <c r="H56" s="188" t="s">
        <v>33</v>
      </c>
      <c r="I56" s="188">
        <v>2</v>
      </c>
      <c r="J56" s="188">
        <f t="shared" si="2"/>
        <v>-4.0821994520255166E-2</v>
      </c>
      <c r="K56" s="188">
        <v>4.9999999999998969E-3</v>
      </c>
      <c r="L56" s="188" t="s">
        <v>31</v>
      </c>
      <c r="M56" s="188" t="s">
        <v>31</v>
      </c>
      <c r="N56" s="188" t="s">
        <v>31</v>
      </c>
      <c r="O56" s="188"/>
      <c r="P56" s="396" t="s">
        <v>275</v>
      </c>
      <c r="Q56" s="123">
        <v>0.96</v>
      </c>
      <c r="R56" s="188"/>
      <c r="S56" s="188"/>
    </row>
    <row r="57" spans="1:25">
      <c r="A57" s="84" t="s">
        <v>958</v>
      </c>
      <c r="B57" s="188">
        <f>Q56</f>
        <v>0.96</v>
      </c>
      <c r="C57" s="188"/>
      <c r="D57" s="188" t="s">
        <v>37</v>
      </c>
      <c r="E57" s="188" t="s">
        <v>40</v>
      </c>
      <c r="F57" s="188" t="s">
        <v>29</v>
      </c>
      <c r="G57" s="188" t="s">
        <v>59</v>
      </c>
      <c r="H57" s="188" t="s">
        <v>136</v>
      </c>
      <c r="I57" s="188">
        <v>2</v>
      </c>
      <c r="J57" s="188">
        <f t="shared" si="2"/>
        <v>-4.0821994520255166E-2</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6" sqref="B6"/>
    </sheetView>
  </sheetViews>
  <sheetFormatPr defaultRowHeight="14.4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55</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153</v>
      </c>
      <c r="C4" s="4"/>
      <c r="D4" s="13"/>
      <c r="E4" s="13"/>
      <c r="F4" s="13"/>
      <c r="G4" s="13"/>
      <c r="H4" s="13"/>
      <c r="I4" s="13"/>
      <c r="J4" s="13"/>
      <c r="K4" s="13"/>
      <c r="L4" s="13"/>
      <c r="M4" s="13"/>
    </row>
    <row r="5" spans="1:13" ht="29.1">
      <c r="A5" s="12" t="s">
        <v>11</v>
      </c>
      <c r="B5" s="14" t="s">
        <v>154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55</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155</v>
      </c>
      <c r="B13" s="13">
        <v>77.517499999999998</v>
      </c>
      <c r="C13" s="13" t="s">
        <v>37</v>
      </c>
      <c r="D13" s="13" t="s">
        <v>40</v>
      </c>
      <c r="E13" s="13" t="s">
        <v>29</v>
      </c>
      <c r="F13" s="13" t="s">
        <v>82</v>
      </c>
      <c r="G13" s="13" t="s">
        <v>33</v>
      </c>
      <c r="H13" s="13">
        <v>2</v>
      </c>
      <c r="I13" s="13">
        <f>LN(B13)</f>
        <v>4.3505037173204748</v>
      </c>
      <c r="J13" s="13">
        <v>0.24207436873820401</v>
      </c>
      <c r="K13" s="13" t="s">
        <v>31</v>
      </c>
      <c r="L13" s="13" t="s">
        <v>31</v>
      </c>
      <c r="M13" s="13" t="s">
        <v>31</v>
      </c>
    </row>
    <row r="14" spans="1:13">
      <c r="A14" s="12" t="s">
        <v>156</v>
      </c>
      <c r="B14" s="13">
        <v>458.03500000000003</v>
      </c>
      <c r="C14" s="13" t="s">
        <v>37</v>
      </c>
      <c r="D14" s="13" t="s">
        <v>40</v>
      </c>
      <c r="E14" s="13" t="s">
        <v>29</v>
      </c>
      <c r="F14" s="13" t="s">
        <v>59</v>
      </c>
      <c r="G14" s="13" t="s">
        <v>33</v>
      </c>
      <c r="H14" s="13">
        <v>2</v>
      </c>
      <c r="I14" s="13">
        <f>LN(B14)</f>
        <v>6.1269456004083596</v>
      </c>
      <c r="J14" s="13">
        <v>0.24207436873820401</v>
      </c>
      <c r="K14" s="13" t="s">
        <v>31</v>
      </c>
      <c r="L14" s="13" t="s">
        <v>31</v>
      </c>
      <c r="M14" s="13" t="s">
        <v>31</v>
      </c>
    </row>
    <row r="15" spans="1:13">
      <c r="A15" s="12" t="s">
        <v>98</v>
      </c>
      <c r="B15" s="13">
        <v>726.94749999999999</v>
      </c>
      <c r="C15" s="13" t="s">
        <v>37</v>
      </c>
      <c r="D15" s="13" t="s">
        <v>40</v>
      </c>
      <c r="E15" s="13" t="s">
        <v>29</v>
      </c>
      <c r="F15" s="13" t="s">
        <v>59</v>
      </c>
      <c r="G15" s="13" t="s">
        <v>33</v>
      </c>
      <c r="H15" s="13">
        <v>2</v>
      </c>
      <c r="I15" s="13">
        <f>LN(B15)</f>
        <v>6.5888542603454532</v>
      </c>
      <c r="J15" s="13">
        <v>0.24207436873820401</v>
      </c>
      <c r="K15" s="13" t="s">
        <v>31</v>
      </c>
      <c r="L15" s="13" t="s">
        <v>31</v>
      </c>
      <c r="M15" s="13" t="s">
        <v>31</v>
      </c>
    </row>
  </sheetData>
  <pageMargins left="0.7" right="0.7" top="0.75" bottom="0.75" header="0.3" footer="0.3"/>
  <pageSetup paperSize="9" orientation="portrait" verticalDpi="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4800-39D6-4B52-854B-5256CD633878}">
  <sheetPr>
    <tabColor theme="6" tint="0.79998168889431442"/>
  </sheetPr>
  <dimension ref="A1:U363"/>
  <sheetViews>
    <sheetView zoomScale="95" zoomScaleNormal="95" workbookViewId="0">
      <selection activeCell="F21" sqref="F21"/>
    </sheetView>
  </sheetViews>
  <sheetFormatPr defaultColWidth="9.140625" defaultRowHeight="12.95"/>
  <cols>
    <col min="1" max="1" width="95.140625" style="188" customWidth="1"/>
    <col min="2" max="2" width="15.28515625" style="188" customWidth="1"/>
    <col min="3" max="3" width="14.28515625" style="188" customWidth="1"/>
    <col min="4" max="4" width="35.7109375" style="188" customWidth="1"/>
    <col min="5" max="6" width="9.140625" style="188"/>
    <col min="7" max="7" width="15.5703125" style="188" customWidth="1"/>
    <col min="8" max="17" width="9.140625" style="188"/>
    <col min="18" max="18" width="10.28515625" style="188" bestFit="1" customWidth="1"/>
    <col min="19" max="16384" width="9.140625" style="188"/>
  </cols>
  <sheetData>
    <row r="1" spans="1:18">
      <c r="A1" s="188" t="s">
        <v>0</v>
      </c>
      <c r="B1" s="188">
        <v>13</v>
      </c>
    </row>
    <row r="2" spans="1:18">
      <c r="A2" s="347" t="s">
        <v>5</v>
      </c>
      <c r="B2" s="348" t="s">
        <v>1274</v>
      </c>
      <c r="C2" s="349"/>
      <c r="D2" s="330"/>
      <c r="E2" s="330"/>
      <c r="F2" s="330"/>
      <c r="G2" s="330"/>
      <c r="H2" s="330"/>
      <c r="I2" s="330"/>
      <c r="J2" s="330"/>
      <c r="K2" s="330"/>
      <c r="L2" s="330"/>
      <c r="M2" s="330"/>
    </row>
    <row r="3" spans="1:18">
      <c r="A3" s="323" t="s">
        <v>7</v>
      </c>
      <c r="B3" s="188" t="s">
        <v>831</v>
      </c>
      <c r="C3" s="322"/>
    </row>
    <row r="4" spans="1:18">
      <c r="A4" s="323" t="s">
        <v>9</v>
      </c>
      <c r="B4" s="188" t="s">
        <v>1306</v>
      </c>
      <c r="C4" s="322"/>
    </row>
    <row r="5" spans="1:18" ht="16.5" customHeight="1">
      <c r="A5" s="323" t="s">
        <v>11</v>
      </c>
      <c r="B5" s="324" t="s">
        <v>841</v>
      </c>
    </row>
    <row r="6" spans="1:18">
      <c r="A6" s="323" t="s">
        <v>13</v>
      </c>
      <c r="B6" s="188" t="s">
        <v>14</v>
      </c>
    </row>
    <row r="7" spans="1:18">
      <c r="A7" s="323" t="s">
        <v>15</v>
      </c>
      <c r="B7" s="188">
        <f>B12</f>
        <v>6.4</v>
      </c>
      <c r="O7" s="188" t="s">
        <v>1307</v>
      </c>
    </row>
    <row r="8" spans="1:18">
      <c r="A8" s="323" t="s">
        <v>16</v>
      </c>
      <c r="B8" s="188" t="s">
        <v>17</v>
      </c>
    </row>
    <row r="9" spans="1:18">
      <c r="A9" s="323" t="s">
        <v>18</v>
      </c>
      <c r="B9" s="188" t="s">
        <v>37</v>
      </c>
    </row>
    <row r="10" spans="1:18">
      <c r="A10" s="320" t="s">
        <v>19</v>
      </c>
    </row>
    <row r="11" spans="1:18">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18">
      <c r="A12" s="323" t="s">
        <v>1274</v>
      </c>
      <c r="B12" s="188">
        <f>'2E. BATTERY DCDC CONVERTER'!B16</f>
        <v>6.4</v>
      </c>
      <c r="C12" s="188" t="s">
        <v>37</v>
      </c>
      <c r="D12" s="386" t="s">
        <v>2</v>
      </c>
      <c r="E12" s="188" t="s">
        <v>29</v>
      </c>
      <c r="F12" s="37" t="s">
        <v>14</v>
      </c>
      <c r="G12" s="188" t="s">
        <v>30</v>
      </c>
      <c r="H12" s="188">
        <v>1</v>
      </c>
      <c r="I12" s="188">
        <v>2.8722813232690055E-2</v>
      </c>
      <c r="J12" s="188" t="s">
        <v>31</v>
      </c>
      <c r="K12" s="188" t="s">
        <v>31</v>
      </c>
      <c r="L12" s="188" t="s">
        <v>31</v>
      </c>
      <c r="M12" s="188" t="s">
        <v>31</v>
      </c>
    </row>
    <row r="13" spans="1:18">
      <c r="A13" s="188" t="s">
        <v>1308</v>
      </c>
      <c r="B13" s="188">
        <v>1</v>
      </c>
      <c r="C13" s="188" t="s">
        <v>18</v>
      </c>
      <c r="D13" s="386" t="s">
        <v>2</v>
      </c>
      <c r="E13" s="188" t="s">
        <v>29</v>
      </c>
      <c r="F13" s="37" t="s">
        <v>14</v>
      </c>
      <c r="G13" s="188" t="s">
        <v>33</v>
      </c>
      <c r="H13" s="188">
        <v>1</v>
      </c>
      <c r="I13" s="188">
        <v>1</v>
      </c>
      <c r="J13" s="188" t="s">
        <v>31</v>
      </c>
      <c r="K13" s="188" t="s">
        <v>31</v>
      </c>
      <c r="L13" s="188" t="s">
        <v>31</v>
      </c>
      <c r="M13" s="188" t="s">
        <v>31</v>
      </c>
    </row>
    <row r="14" spans="1:18">
      <c r="A14" s="188" t="s">
        <v>1309</v>
      </c>
      <c r="B14" s="188">
        <v>1</v>
      </c>
      <c r="C14" s="188" t="s">
        <v>18</v>
      </c>
      <c r="D14" s="386" t="s">
        <v>2</v>
      </c>
      <c r="E14" s="188" t="s">
        <v>29</v>
      </c>
      <c r="F14" s="37" t="s">
        <v>14</v>
      </c>
      <c r="G14" s="188" t="s">
        <v>33</v>
      </c>
      <c r="H14" s="188">
        <v>1</v>
      </c>
      <c r="I14" s="188">
        <v>1</v>
      </c>
      <c r="J14" s="188" t="s">
        <v>31</v>
      </c>
      <c r="K14" s="188" t="s">
        <v>31</v>
      </c>
      <c r="L14" s="188" t="s">
        <v>31</v>
      </c>
      <c r="M14" s="188" t="s">
        <v>31</v>
      </c>
    </row>
    <row r="15" spans="1:18" ht="14.45">
      <c r="A15" s="84" t="s">
        <v>179</v>
      </c>
      <c r="B15" s="370">
        <f>R15</f>
        <v>6.2E-4</v>
      </c>
      <c r="C15" s="188" t="s">
        <v>37</v>
      </c>
      <c r="D15" s="188" t="s">
        <v>40</v>
      </c>
      <c r="E15" s="188" t="s">
        <v>29</v>
      </c>
      <c r="F15" s="37" t="s">
        <v>35</v>
      </c>
      <c r="G15" s="188" t="s">
        <v>33</v>
      </c>
      <c r="H15" s="188">
        <v>2</v>
      </c>
      <c r="I15" s="188">
        <f>LN(B15)</f>
        <v>-7.3857910799251369</v>
      </c>
      <c r="J15" s="188">
        <v>2.8722813232690055E-2</v>
      </c>
      <c r="K15" s="188" t="s">
        <v>31</v>
      </c>
      <c r="L15" s="188" t="s">
        <v>31</v>
      </c>
      <c r="M15" s="188" t="s">
        <v>31</v>
      </c>
      <c r="O15" s="361" t="s">
        <v>857</v>
      </c>
      <c r="P15" s="153">
        <v>0.62</v>
      </c>
      <c r="Q15" s="188" t="s">
        <v>275</v>
      </c>
      <c r="R15" s="370">
        <f>P15*0.001</f>
        <v>6.2E-4</v>
      </c>
    </row>
    <row r="16" spans="1:18">
      <c r="A16" s="347" t="s">
        <v>5</v>
      </c>
      <c r="B16" s="348" t="s">
        <v>1309</v>
      </c>
      <c r="C16" s="349"/>
      <c r="D16" s="330"/>
      <c r="E16" s="330"/>
      <c r="F16" s="330"/>
      <c r="G16" s="330"/>
      <c r="H16" s="330"/>
      <c r="I16" s="330"/>
      <c r="J16" s="330"/>
      <c r="K16" s="330"/>
      <c r="L16" s="330"/>
      <c r="M16" s="330"/>
    </row>
    <row r="17" spans="1:18">
      <c r="A17" s="323" t="s">
        <v>7</v>
      </c>
      <c r="B17" s="188" t="s">
        <v>831</v>
      </c>
      <c r="C17" s="322"/>
    </row>
    <row r="18" spans="1:18">
      <c r="A18" s="323" t="s">
        <v>9</v>
      </c>
      <c r="B18" s="188" t="s">
        <v>1310</v>
      </c>
      <c r="C18" s="322"/>
    </row>
    <row r="19" spans="1:18" ht="16.5" customHeight="1">
      <c r="A19" s="323" t="s">
        <v>11</v>
      </c>
      <c r="B19" s="324" t="s">
        <v>841</v>
      </c>
    </row>
    <row r="20" spans="1:18">
      <c r="A20" s="323" t="s">
        <v>13</v>
      </c>
      <c r="B20" s="188" t="s">
        <v>14</v>
      </c>
    </row>
    <row r="21" spans="1:18">
      <c r="A21" s="323" t="s">
        <v>15</v>
      </c>
      <c r="B21" s="188">
        <v>1</v>
      </c>
    </row>
    <row r="22" spans="1:18">
      <c r="A22" s="323" t="s">
        <v>16</v>
      </c>
      <c r="B22" s="188" t="s">
        <v>17</v>
      </c>
    </row>
    <row r="23" spans="1:18">
      <c r="A23" s="323" t="s">
        <v>18</v>
      </c>
      <c r="B23" s="188" t="s">
        <v>18</v>
      </c>
    </row>
    <row r="24" spans="1:18">
      <c r="A24" s="320" t="s">
        <v>19</v>
      </c>
    </row>
    <row r="25" spans="1:18">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row>
    <row r="26" spans="1:18">
      <c r="A26" s="188" t="s">
        <v>1309</v>
      </c>
      <c r="B26" s="188">
        <v>1</v>
      </c>
      <c r="C26" s="188" t="s">
        <v>18</v>
      </c>
      <c r="D26" s="386" t="s">
        <v>2</v>
      </c>
      <c r="E26" s="188" t="s">
        <v>29</v>
      </c>
      <c r="F26" s="37" t="s">
        <v>14</v>
      </c>
      <c r="G26" s="188" t="s">
        <v>30</v>
      </c>
      <c r="H26" s="188">
        <v>1</v>
      </c>
      <c r="I26" s="188">
        <v>1</v>
      </c>
      <c r="J26" s="188" t="s">
        <v>31</v>
      </c>
      <c r="K26" s="188" t="s">
        <v>31</v>
      </c>
      <c r="L26" s="188" t="s">
        <v>31</v>
      </c>
      <c r="M26" s="188" t="s">
        <v>31</v>
      </c>
    </row>
    <row r="27" spans="1:18">
      <c r="A27" s="84" t="s">
        <v>966</v>
      </c>
      <c r="B27" s="188">
        <f>P27</f>
        <v>1.21</v>
      </c>
      <c r="C27" s="188" t="s">
        <v>37</v>
      </c>
      <c r="D27" s="188" t="s">
        <v>40</v>
      </c>
      <c r="E27" s="188" t="s">
        <v>29</v>
      </c>
      <c r="F27" s="188" t="s">
        <v>59</v>
      </c>
      <c r="G27" s="188" t="s">
        <v>33</v>
      </c>
      <c r="H27" s="188">
        <v>1</v>
      </c>
      <c r="I27" s="188">
        <f>B27</f>
        <v>1.21</v>
      </c>
      <c r="J27" s="188" t="s">
        <v>31</v>
      </c>
      <c r="K27" s="188" t="s">
        <v>31</v>
      </c>
      <c r="L27" s="188" t="s">
        <v>31</v>
      </c>
      <c r="M27" s="188" t="s">
        <v>31</v>
      </c>
      <c r="O27" s="188" t="s">
        <v>275</v>
      </c>
      <c r="P27" s="188">
        <v>1.21</v>
      </c>
    </row>
    <row r="28" spans="1:18" ht="14.45">
      <c r="A28" s="84" t="s">
        <v>967</v>
      </c>
      <c r="B28" s="188">
        <f>R28</f>
        <v>0.79800000000000004</v>
      </c>
      <c r="C28" s="188" t="s">
        <v>37</v>
      </c>
      <c r="D28" s="188" t="s">
        <v>40</v>
      </c>
      <c r="E28" s="188" t="s">
        <v>29</v>
      </c>
      <c r="F28" s="188" t="s">
        <v>59</v>
      </c>
      <c r="G28" s="188" t="s">
        <v>33</v>
      </c>
      <c r="H28" s="188">
        <v>2</v>
      </c>
      <c r="I28" s="188">
        <f>LN(B28)</f>
        <v>-0.22564668153232822</v>
      </c>
      <c r="J28" s="188">
        <v>3.7749172176353707E-2</v>
      </c>
      <c r="K28" s="188" t="s">
        <v>31</v>
      </c>
      <c r="L28" s="188" t="s">
        <v>31</v>
      </c>
      <c r="M28" s="188" t="s">
        <v>31</v>
      </c>
      <c r="O28" s="379" t="s">
        <v>857</v>
      </c>
      <c r="P28" s="107">
        <v>798</v>
      </c>
      <c r="Q28" s="188" t="s">
        <v>275</v>
      </c>
      <c r="R28" s="188">
        <f>P28*0.001</f>
        <v>0.79800000000000004</v>
      </c>
    </row>
    <row r="29" spans="1:18" ht="14.45">
      <c r="A29" s="84" t="s">
        <v>968</v>
      </c>
      <c r="B29" s="188">
        <f>R29</f>
        <v>4.7600000000000003E-2</v>
      </c>
      <c r="C29" s="188" t="s">
        <v>37</v>
      </c>
      <c r="D29" s="188" t="s">
        <v>40</v>
      </c>
      <c r="E29" s="188" t="s">
        <v>29</v>
      </c>
      <c r="F29" s="188" t="s">
        <v>59</v>
      </c>
      <c r="G29" s="188" t="s">
        <v>33</v>
      </c>
      <c r="H29" s="188">
        <v>2</v>
      </c>
      <c r="I29" s="188">
        <f>LN(B29)</f>
        <v>-3.0449225177447627</v>
      </c>
      <c r="J29" s="188">
        <v>3.7749172176353707E-2</v>
      </c>
      <c r="K29" s="188" t="s">
        <v>31</v>
      </c>
      <c r="L29" s="188" t="s">
        <v>31</v>
      </c>
      <c r="M29" s="188" t="s">
        <v>31</v>
      </c>
      <c r="O29" s="379" t="s">
        <v>857</v>
      </c>
      <c r="P29" s="107">
        <v>47.6</v>
      </c>
      <c r="Q29" s="188" t="s">
        <v>275</v>
      </c>
      <c r="R29" s="188">
        <f t="shared" ref="R29:R30" si="0">P29*0.001</f>
        <v>4.7600000000000003E-2</v>
      </c>
    </row>
    <row r="30" spans="1:18" ht="14.45">
      <c r="A30" s="84" t="s">
        <v>969</v>
      </c>
      <c r="B30" s="188">
        <f>R30</f>
        <v>0.36</v>
      </c>
      <c r="C30" s="188" t="s">
        <v>37</v>
      </c>
      <c r="D30" s="188" t="s">
        <v>40</v>
      </c>
      <c r="E30" s="188" t="s">
        <v>29</v>
      </c>
      <c r="F30" s="188" t="s">
        <v>59</v>
      </c>
      <c r="G30" s="188" t="s">
        <v>33</v>
      </c>
      <c r="H30" s="188">
        <v>2</v>
      </c>
      <c r="I30" s="188">
        <f>LN(B30)</f>
        <v>-1.0216512475319814</v>
      </c>
      <c r="J30" s="188">
        <v>3.7749172176353707E-2</v>
      </c>
      <c r="K30" s="188" t="s">
        <v>31</v>
      </c>
      <c r="L30" s="188" t="s">
        <v>31</v>
      </c>
      <c r="M30" s="188" t="s">
        <v>31</v>
      </c>
      <c r="O30" s="379" t="s">
        <v>857</v>
      </c>
      <c r="P30" s="107">
        <v>360</v>
      </c>
      <c r="Q30" s="188" t="s">
        <v>275</v>
      </c>
      <c r="R30" s="188">
        <f t="shared" si="0"/>
        <v>0.36</v>
      </c>
    </row>
    <row r="31" spans="1:18">
      <c r="A31" s="347" t="s">
        <v>5</v>
      </c>
      <c r="B31" s="348" t="s">
        <v>1308</v>
      </c>
      <c r="C31" s="349"/>
      <c r="D31" s="330"/>
      <c r="E31" s="330"/>
      <c r="F31" s="330"/>
      <c r="G31" s="330"/>
      <c r="H31" s="330"/>
      <c r="I31" s="330"/>
      <c r="J31" s="330"/>
      <c r="K31" s="330"/>
      <c r="L31" s="330"/>
      <c r="M31" s="330"/>
    </row>
    <row r="32" spans="1:18">
      <c r="A32" s="323" t="s">
        <v>7</v>
      </c>
      <c r="B32" s="188" t="s">
        <v>831</v>
      </c>
      <c r="C32" s="322"/>
    </row>
    <row r="33" spans="1:18">
      <c r="A33" s="323" t="s">
        <v>9</v>
      </c>
      <c r="B33" s="188" t="s">
        <v>1311</v>
      </c>
      <c r="C33" s="322"/>
    </row>
    <row r="34" spans="1:18" ht="18" customHeight="1">
      <c r="A34" s="323" t="s">
        <v>11</v>
      </c>
      <c r="B34" s="324" t="s">
        <v>841</v>
      </c>
    </row>
    <row r="35" spans="1:18">
      <c r="A35" s="323" t="s">
        <v>13</v>
      </c>
      <c r="B35" s="188" t="s">
        <v>14</v>
      </c>
    </row>
    <row r="36" spans="1:18">
      <c r="A36" s="323" t="s">
        <v>15</v>
      </c>
      <c r="B36" s="188">
        <v>1</v>
      </c>
    </row>
    <row r="37" spans="1:18">
      <c r="A37" s="323" t="s">
        <v>16</v>
      </c>
      <c r="B37" s="188" t="s">
        <v>17</v>
      </c>
    </row>
    <row r="38" spans="1:18">
      <c r="A38" s="323" t="s">
        <v>18</v>
      </c>
      <c r="B38" s="188" t="s">
        <v>18</v>
      </c>
    </row>
    <row r="39" spans="1:18">
      <c r="A39" s="320" t="s">
        <v>19</v>
      </c>
    </row>
    <row r="40" spans="1:18">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row>
    <row r="41" spans="1:18">
      <c r="A41" s="188" t="s">
        <v>1308</v>
      </c>
      <c r="B41" s="188">
        <v>1</v>
      </c>
      <c r="C41" s="188" t="s">
        <v>18</v>
      </c>
      <c r="D41" s="386" t="s">
        <v>2</v>
      </c>
      <c r="E41" s="188" t="s">
        <v>29</v>
      </c>
      <c r="F41" s="37" t="s">
        <v>14</v>
      </c>
      <c r="G41" s="188" t="s">
        <v>30</v>
      </c>
      <c r="H41" s="188">
        <v>1</v>
      </c>
      <c r="I41" s="188">
        <v>1</v>
      </c>
      <c r="J41" s="188" t="s">
        <v>31</v>
      </c>
      <c r="K41" s="188" t="s">
        <v>31</v>
      </c>
      <c r="L41" s="188" t="s">
        <v>31</v>
      </c>
      <c r="M41" s="188" t="s">
        <v>31</v>
      </c>
    </row>
    <row r="42" spans="1:18">
      <c r="A42" s="84" t="s">
        <v>1312</v>
      </c>
      <c r="B42" s="188">
        <f>B55</f>
        <v>0.42799999999999999</v>
      </c>
      <c r="C42" s="188" t="s">
        <v>37</v>
      </c>
      <c r="D42" s="386" t="s">
        <v>2</v>
      </c>
      <c r="E42" s="188" t="s">
        <v>29</v>
      </c>
      <c r="F42" s="37" t="s">
        <v>14</v>
      </c>
      <c r="G42" s="188" t="s">
        <v>33</v>
      </c>
      <c r="H42" s="188">
        <v>1</v>
      </c>
      <c r="I42" s="188">
        <f>B42</f>
        <v>0.42799999999999999</v>
      </c>
      <c r="J42" s="188" t="s">
        <v>31</v>
      </c>
      <c r="K42" s="188" t="s">
        <v>31</v>
      </c>
      <c r="L42" s="188" t="s">
        <v>31</v>
      </c>
      <c r="M42" s="188" t="s">
        <v>31</v>
      </c>
      <c r="O42" s="192"/>
      <c r="P42" s="399"/>
    </row>
    <row r="43" spans="1:18">
      <c r="A43" s="84" t="s">
        <v>1313</v>
      </c>
      <c r="B43" s="188">
        <v>1</v>
      </c>
      <c r="C43" s="188" t="s">
        <v>18</v>
      </c>
      <c r="D43" s="386" t="s">
        <v>2</v>
      </c>
      <c r="E43" s="188" t="s">
        <v>29</v>
      </c>
      <c r="F43" s="37" t="s">
        <v>14</v>
      </c>
      <c r="G43" s="188" t="s">
        <v>33</v>
      </c>
      <c r="H43" s="188">
        <v>1</v>
      </c>
      <c r="I43" s="188">
        <v>1</v>
      </c>
      <c r="J43" s="188" t="s">
        <v>31</v>
      </c>
      <c r="K43" s="188" t="s">
        <v>31</v>
      </c>
      <c r="L43" s="188" t="s">
        <v>31</v>
      </c>
      <c r="M43" s="188" t="s">
        <v>31</v>
      </c>
    </row>
    <row r="44" spans="1:18">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O44" s="361" t="s">
        <v>271</v>
      </c>
      <c r="P44" s="371">
        <v>0.03</v>
      </c>
      <c r="Q44" s="188" t="s">
        <v>271</v>
      </c>
      <c r="R44" s="335">
        <f>P44</f>
        <v>0.03</v>
      </c>
    </row>
    <row r="45" spans="1:18">
      <c r="A45" s="347" t="s">
        <v>5</v>
      </c>
      <c r="B45" s="348" t="s">
        <v>1312</v>
      </c>
      <c r="C45" s="349"/>
      <c r="D45" s="330"/>
      <c r="E45" s="330"/>
      <c r="F45" s="330"/>
      <c r="G45" s="330"/>
      <c r="H45" s="330"/>
      <c r="I45" s="330"/>
      <c r="J45" s="330"/>
      <c r="K45" s="330"/>
      <c r="L45" s="330"/>
      <c r="M45" s="330"/>
    </row>
    <row r="46" spans="1:18">
      <c r="A46" s="323" t="s">
        <v>7</v>
      </c>
      <c r="B46" s="188" t="s">
        <v>831</v>
      </c>
      <c r="C46" s="322"/>
    </row>
    <row r="47" spans="1:18">
      <c r="A47" s="323" t="s">
        <v>9</v>
      </c>
      <c r="B47" s="188" t="s">
        <v>1314</v>
      </c>
      <c r="C47" s="322"/>
    </row>
    <row r="48" spans="1:18" ht="11.25" customHeight="1">
      <c r="A48" s="323" t="s">
        <v>11</v>
      </c>
      <c r="B48" s="324" t="s">
        <v>841</v>
      </c>
    </row>
    <row r="49" spans="1:18">
      <c r="A49" s="323" t="s">
        <v>13</v>
      </c>
      <c r="B49" s="188" t="s">
        <v>14</v>
      </c>
    </row>
    <row r="50" spans="1:18">
      <c r="A50" s="323" t="s">
        <v>15</v>
      </c>
      <c r="B50" s="188">
        <f>B55</f>
        <v>0.42799999999999999</v>
      </c>
    </row>
    <row r="51" spans="1:18">
      <c r="A51" s="323" t="s">
        <v>16</v>
      </c>
      <c r="B51" s="188" t="s">
        <v>17</v>
      </c>
    </row>
    <row r="52" spans="1:18">
      <c r="A52" s="323" t="s">
        <v>18</v>
      </c>
      <c r="B52" s="188" t="s">
        <v>37</v>
      </c>
    </row>
    <row r="53" spans="1:18">
      <c r="A53" s="320" t="s">
        <v>19</v>
      </c>
    </row>
    <row r="54" spans="1:18">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row>
    <row r="55" spans="1:18" ht="14.45">
      <c r="A55" s="84" t="s">
        <v>1312</v>
      </c>
      <c r="B55" s="188">
        <f>P55</f>
        <v>0.42799999999999999</v>
      </c>
      <c r="C55" s="188" t="s">
        <v>37</v>
      </c>
      <c r="D55" s="386" t="s">
        <v>2</v>
      </c>
      <c r="E55" s="188" t="s">
        <v>29</v>
      </c>
      <c r="F55" s="37" t="s">
        <v>14</v>
      </c>
      <c r="G55" s="188" t="s">
        <v>30</v>
      </c>
      <c r="H55" s="188">
        <v>1</v>
      </c>
      <c r="I55" s="188">
        <f>B55</f>
        <v>0.42799999999999999</v>
      </c>
      <c r="J55" s="188" t="s">
        <v>31</v>
      </c>
      <c r="K55" s="188" t="s">
        <v>31</v>
      </c>
      <c r="L55" s="188" t="s">
        <v>31</v>
      </c>
      <c r="M55" s="188" t="s">
        <v>31</v>
      </c>
      <c r="O55" s="459" t="s">
        <v>275</v>
      </c>
      <c r="P55" s="107">
        <v>0.42799999999999999</v>
      </c>
      <c r="Q55" s="188" t="s">
        <v>275</v>
      </c>
      <c r="R55" s="188">
        <f>P55</f>
        <v>0.42799999999999999</v>
      </c>
    </row>
    <row r="56" spans="1:18" ht="14.45">
      <c r="A56" s="84" t="s">
        <v>179</v>
      </c>
      <c r="B56" s="370">
        <f>R56</f>
        <v>0.42799999999999999</v>
      </c>
      <c r="C56" s="188" t="s">
        <v>37</v>
      </c>
      <c r="D56" s="188" t="s">
        <v>40</v>
      </c>
      <c r="E56" s="188" t="s">
        <v>29</v>
      </c>
      <c r="F56" s="37" t="s">
        <v>35</v>
      </c>
      <c r="G56" s="188" t="s">
        <v>33</v>
      </c>
      <c r="H56" s="188">
        <v>2</v>
      </c>
      <c r="I56" s="188">
        <f>LN(B56)</f>
        <v>-0.84863208340034024</v>
      </c>
      <c r="J56" s="188">
        <v>2.8722813232690055E-2</v>
      </c>
      <c r="K56" s="188" t="s">
        <v>31</v>
      </c>
      <c r="L56" s="188" t="s">
        <v>31</v>
      </c>
      <c r="M56" s="188" t="s">
        <v>31</v>
      </c>
      <c r="O56" s="461" t="s">
        <v>275</v>
      </c>
      <c r="P56" s="107">
        <v>0.42799999999999999</v>
      </c>
      <c r="Q56" s="188" t="s">
        <v>275</v>
      </c>
      <c r="R56" s="370">
        <f>P56</f>
        <v>0.42799999999999999</v>
      </c>
    </row>
    <row r="57" spans="1:18" ht="14.45">
      <c r="A57" s="323" t="s">
        <v>265</v>
      </c>
      <c r="B57" s="327">
        <f>R57</f>
        <v>0.129</v>
      </c>
      <c r="C57" s="188" t="s">
        <v>39</v>
      </c>
      <c r="D57" s="188" t="s">
        <v>40</v>
      </c>
      <c r="E57" s="188" t="s">
        <v>29</v>
      </c>
      <c r="F57" s="37" t="s">
        <v>35</v>
      </c>
      <c r="G57" s="188" t="s">
        <v>33</v>
      </c>
      <c r="H57" s="188">
        <v>2</v>
      </c>
      <c r="I57" s="188">
        <f t="shared" ref="I57" si="2">LN(B57)</f>
        <v>-2.0479428746204649</v>
      </c>
      <c r="J57" s="188">
        <v>7.2284161474004766E-2</v>
      </c>
      <c r="K57" s="188" t="s">
        <v>31</v>
      </c>
      <c r="L57" s="188" t="s">
        <v>31</v>
      </c>
      <c r="M57" s="188" t="s">
        <v>31</v>
      </c>
      <c r="O57" s="361" t="s">
        <v>271</v>
      </c>
      <c r="P57" s="107">
        <v>0.129</v>
      </c>
      <c r="Q57" s="188" t="s">
        <v>271</v>
      </c>
      <c r="R57" s="327">
        <f>P57</f>
        <v>0.129</v>
      </c>
    </row>
    <row r="58" spans="1:18">
      <c r="A58" s="347" t="s">
        <v>5</v>
      </c>
      <c r="B58" s="126" t="s">
        <v>1313</v>
      </c>
      <c r="C58" s="349"/>
      <c r="D58" s="330"/>
      <c r="E58" s="330"/>
      <c r="F58" s="330"/>
      <c r="G58" s="330"/>
      <c r="H58" s="330"/>
      <c r="I58" s="330"/>
      <c r="J58" s="330"/>
      <c r="K58" s="330"/>
      <c r="L58" s="330"/>
      <c r="M58" s="330"/>
    </row>
    <row r="59" spans="1:18">
      <c r="A59" s="323" t="s">
        <v>7</v>
      </c>
      <c r="B59" s="188" t="s">
        <v>831</v>
      </c>
      <c r="C59" s="322"/>
    </row>
    <row r="60" spans="1:18">
      <c r="A60" s="402" t="s">
        <v>9</v>
      </c>
      <c r="B60" s="188" t="s">
        <v>1315</v>
      </c>
      <c r="C60" s="322"/>
    </row>
    <row r="61" spans="1:18" ht="27.75" customHeight="1">
      <c r="A61" s="323" t="s">
        <v>11</v>
      </c>
      <c r="B61" s="324" t="s">
        <v>841</v>
      </c>
    </row>
    <row r="62" spans="1:18">
      <c r="A62" s="323" t="s">
        <v>13</v>
      </c>
      <c r="B62" s="188" t="s">
        <v>14</v>
      </c>
    </row>
    <row r="63" spans="1:18">
      <c r="A63" s="323" t="s">
        <v>15</v>
      </c>
      <c r="B63" s="188">
        <v>1</v>
      </c>
    </row>
    <row r="64" spans="1:18">
      <c r="A64" s="323" t="s">
        <v>16</v>
      </c>
      <c r="B64" s="188" t="s">
        <v>17</v>
      </c>
    </row>
    <row r="65" spans="1:18">
      <c r="A65" s="323" t="s">
        <v>18</v>
      </c>
      <c r="B65" s="188" t="s">
        <v>18</v>
      </c>
    </row>
    <row r="66" spans="1:18">
      <c r="A66" s="320" t="s">
        <v>19</v>
      </c>
    </row>
    <row r="67" spans="1:18">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row>
    <row r="68" spans="1:18">
      <c r="A68" s="84" t="s">
        <v>1313</v>
      </c>
      <c r="B68" s="188">
        <v>1</v>
      </c>
      <c r="C68" s="188" t="s">
        <v>18</v>
      </c>
      <c r="D68" s="386" t="s">
        <v>2</v>
      </c>
      <c r="E68" s="188" t="s">
        <v>29</v>
      </c>
      <c r="F68" s="37" t="s">
        <v>14</v>
      </c>
      <c r="G68" s="188" t="s">
        <v>30</v>
      </c>
      <c r="H68" s="188">
        <v>1</v>
      </c>
      <c r="I68" s="188">
        <v>1</v>
      </c>
      <c r="J68" s="188" t="s">
        <v>31</v>
      </c>
      <c r="K68" s="188" t="s">
        <v>31</v>
      </c>
      <c r="L68" s="188" t="s">
        <v>31</v>
      </c>
      <c r="M68" s="188" t="s">
        <v>31</v>
      </c>
    </row>
    <row r="69" spans="1:18">
      <c r="A69" s="84" t="s">
        <v>1316</v>
      </c>
      <c r="B69" s="370">
        <f>B77</f>
        <v>0.22</v>
      </c>
      <c r="C69" s="188" t="s">
        <v>37</v>
      </c>
      <c r="D69" s="386" t="s">
        <v>2</v>
      </c>
      <c r="E69" s="188" t="s">
        <v>29</v>
      </c>
      <c r="F69" s="37" t="s">
        <v>14</v>
      </c>
      <c r="G69" s="188" t="s">
        <v>33</v>
      </c>
      <c r="H69" s="188">
        <v>1</v>
      </c>
      <c r="I69" s="370">
        <f>B69</f>
        <v>0.22</v>
      </c>
      <c r="J69" s="188" t="s">
        <v>31</v>
      </c>
      <c r="K69" s="188" t="s">
        <v>31</v>
      </c>
      <c r="L69" s="188" t="s">
        <v>31</v>
      </c>
      <c r="M69" s="188" t="s">
        <v>31</v>
      </c>
      <c r="O69" s="361"/>
      <c r="P69" s="372"/>
      <c r="Q69" s="188" t="s">
        <v>275</v>
      </c>
      <c r="R69" s="370">
        <v>0.01</v>
      </c>
    </row>
    <row r="70" spans="1:18">
      <c r="A70" s="84" t="s">
        <v>1317</v>
      </c>
      <c r="B70" s="327">
        <v>1</v>
      </c>
      <c r="C70" s="188" t="s">
        <v>18</v>
      </c>
      <c r="D70" s="386" t="s">
        <v>2</v>
      </c>
      <c r="E70" s="188" t="s">
        <v>29</v>
      </c>
      <c r="F70" s="37" t="s">
        <v>14</v>
      </c>
      <c r="G70" s="188" t="s">
        <v>33</v>
      </c>
      <c r="H70" s="188">
        <v>1</v>
      </c>
      <c r="I70" s="188">
        <v>1</v>
      </c>
      <c r="J70" s="188" t="s">
        <v>31</v>
      </c>
      <c r="K70" s="188" t="s">
        <v>31</v>
      </c>
      <c r="L70" s="188" t="s">
        <v>31</v>
      </c>
      <c r="M70" s="188" t="s">
        <v>31</v>
      </c>
      <c r="O70" s="361"/>
      <c r="P70" s="418"/>
      <c r="R70" s="327"/>
    </row>
    <row r="71" spans="1:18" ht="14.45">
      <c r="A71" s="323" t="s">
        <v>265</v>
      </c>
      <c r="B71" s="327">
        <f>R71</f>
        <v>1.47</v>
      </c>
      <c r="C71" s="188" t="s">
        <v>39</v>
      </c>
      <c r="D71" s="188" t="s">
        <v>40</v>
      </c>
      <c r="E71" s="188" t="s">
        <v>29</v>
      </c>
      <c r="F71" s="37" t="s">
        <v>35</v>
      </c>
      <c r="G71" s="188" t="s">
        <v>33</v>
      </c>
      <c r="H71" s="188">
        <v>2</v>
      </c>
      <c r="I71" s="188">
        <f t="shared" ref="I71" si="3">LN(B71)</f>
        <v>0.38526240079064489</v>
      </c>
      <c r="J71" s="188">
        <v>7.2284161474004766E-2</v>
      </c>
      <c r="K71" s="188" t="s">
        <v>31</v>
      </c>
      <c r="L71" s="188" t="s">
        <v>31</v>
      </c>
      <c r="M71" s="188" t="s">
        <v>31</v>
      </c>
      <c r="O71" s="361" t="s">
        <v>271</v>
      </c>
      <c r="P71" s="107">
        <v>1.47</v>
      </c>
      <c r="Q71" s="188" t="s">
        <v>271</v>
      </c>
      <c r="R71" s="327">
        <f>P71</f>
        <v>1.47</v>
      </c>
    </row>
    <row r="72" spans="1:18">
      <c r="A72" s="347" t="s">
        <v>5</v>
      </c>
      <c r="B72" s="126" t="s">
        <v>1316</v>
      </c>
      <c r="C72" s="349"/>
      <c r="D72" s="330"/>
      <c r="E72" s="330"/>
      <c r="F72" s="330"/>
      <c r="G72" s="330"/>
      <c r="H72" s="330"/>
      <c r="I72" s="330"/>
      <c r="J72" s="330"/>
      <c r="K72" s="330"/>
      <c r="L72" s="330"/>
      <c r="M72" s="330"/>
    </row>
    <row r="73" spans="1:18">
      <c r="A73" s="323" t="s">
        <v>7</v>
      </c>
      <c r="B73" s="188" t="s">
        <v>831</v>
      </c>
      <c r="C73" s="322"/>
    </row>
    <row r="74" spans="1:18">
      <c r="A74" s="402" t="s">
        <v>9</v>
      </c>
      <c r="B74" s="188" t="s">
        <v>1318</v>
      </c>
      <c r="C74" s="322"/>
    </row>
    <row r="75" spans="1:18" ht="15" customHeight="1">
      <c r="A75" s="323" t="s">
        <v>11</v>
      </c>
      <c r="B75" s="324" t="s">
        <v>841</v>
      </c>
    </row>
    <row r="76" spans="1:18">
      <c r="A76" s="323" t="s">
        <v>13</v>
      </c>
      <c r="B76" s="188" t="s">
        <v>14</v>
      </c>
    </row>
    <row r="77" spans="1:18">
      <c r="A77" s="323" t="s">
        <v>15</v>
      </c>
      <c r="B77" s="335">
        <f>B82</f>
        <v>0.22</v>
      </c>
    </row>
    <row r="78" spans="1:18">
      <c r="A78" s="323" t="s">
        <v>16</v>
      </c>
      <c r="B78" s="188" t="s">
        <v>17</v>
      </c>
    </row>
    <row r="79" spans="1:18">
      <c r="A79" s="323" t="s">
        <v>18</v>
      </c>
      <c r="B79" s="188" t="s">
        <v>37</v>
      </c>
    </row>
    <row r="80" spans="1:18">
      <c r="A80" s="320" t="s">
        <v>19</v>
      </c>
    </row>
    <row r="81" spans="1:18">
      <c r="A81" s="476"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row>
    <row r="82" spans="1:18">
      <c r="A82" s="84" t="s">
        <v>1316</v>
      </c>
      <c r="B82" s="335">
        <v>0.22</v>
      </c>
      <c r="C82" s="188" t="s">
        <v>37</v>
      </c>
      <c r="D82" s="386" t="s">
        <v>2</v>
      </c>
      <c r="E82" s="188" t="s">
        <v>29</v>
      </c>
      <c r="F82" s="37" t="s">
        <v>14</v>
      </c>
      <c r="G82" s="188" t="s">
        <v>30</v>
      </c>
      <c r="H82" s="188">
        <v>1</v>
      </c>
      <c r="I82" s="335">
        <f>B82</f>
        <v>0.22</v>
      </c>
      <c r="J82" s="188" t="s">
        <v>31</v>
      </c>
      <c r="K82" s="188" t="s">
        <v>31</v>
      </c>
      <c r="L82" s="188" t="s">
        <v>31</v>
      </c>
      <c r="M82" s="188" t="s">
        <v>31</v>
      </c>
      <c r="O82" s="361"/>
      <c r="P82" s="372"/>
      <c r="Q82" s="188" t="s">
        <v>275</v>
      </c>
      <c r="R82" s="370">
        <v>0.01</v>
      </c>
    </row>
    <row r="83" spans="1:18">
      <c r="A83" s="84" t="s">
        <v>755</v>
      </c>
      <c r="B83" s="335">
        <v>0.22</v>
      </c>
      <c r="C83" s="188" t="s">
        <v>37</v>
      </c>
      <c r="D83" s="188" t="s">
        <v>40</v>
      </c>
      <c r="E83" s="188" t="s">
        <v>29</v>
      </c>
      <c r="F83" s="37" t="s">
        <v>59</v>
      </c>
      <c r="G83" s="188" t="s">
        <v>33</v>
      </c>
      <c r="H83" s="188">
        <v>1</v>
      </c>
      <c r="I83" s="335">
        <f t="shared" ref="I83:I84" si="4">B83</f>
        <v>0.22</v>
      </c>
      <c r="J83" s="188" t="s">
        <v>31</v>
      </c>
      <c r="K83" s="188" t="s">
        <v>31</v>
      </c>
      <c r="L83" s="188" t="s">
        <v>31</v>
      </c>
      <c r="M83" s="188" t="s">
        <v>31</v>
      </c>
      <c r="O83" s="361"/>
      <c r="P83" s="418"/>
      <c r="R83" s="327"/>
    </row>
    <row r="84" spans="1:18">
      <c r="A84" s="84" t="s">
        <v>757</v>
      </c>
      <c r="B84" s="335">
        <v>0.22</v>
      </c>
      <c r="C84" s="188" t="s">
        <v>37</v>
      </c>
      <c r="D84" s="188" t="s">
        <v>40</v>
      </c>
      <c r="E84" s="188" t="s">
        <v>29</v>
      </c>
      <c r="F84" s="188" t="s">
        <v>59</v>
      </c>
      <c r="G84" s="188" t="s">
        <v>33</v>
      </c>
      <c r="H84" s="188">
        <v>1</v>
      </c>
      <c r="I84" s="335">
        <f t="shared" si="4"/>
        <v>0.22</v>
      </c>
      <c r="J84" s="188" t="s">
        <v>31</v>
      </c>
      <c r="K84" s="188" t="s">
        <v>31</v>
      </c>
      <c r="L84" s="188" t="s">
        <v>31</v>
      </c>
      <c r="M84" s="188" t="s">
        <v>31</v>
      </c>
    </row>
    <row r="85" spans="1:18" s="330" customFormat="1">
      <c r="A85" s="347" t="s">
        <v>5</v>
      </c>
      <c r="B85" s="126" t="s">
        <v>1317</v>
      </c>
      <c r="C85" s="349"/>
    </row>
    <row r="86" spans="1:18">
      <c r="A86" s="323" t="s">
        <v>7</v>
      </c>
      <c r="B86" s="188" t="s">
        <v>831</v>
      </c>
      <c r="C86" s="322"/>
    </row>
    <row r="87" spans="1:18">
      <c r="A87" s="402" t="s">
        <v>9</v>
      </c>
      <c r="B87" s="188" t="s">
        <v>1319</v>
      </c>
      <c r="C87" s="322"/>
    </row>
    <row r="88" spans="1:18" ht="15.75" customHeight="1">
      <c r="A88" s="323" t="s">
        <v>11</v>
      </c>
      <c r="B88" s="324" t="s">
        <v>841</v>
      </c>
    </row>
    <row r="89" spans="1:18">
      <c r="A89" s="323" t="s">
        <v>13</v>
      </c>
      <c r="B89" s="188" t="s">
        <v>14</v>
      </c>
    </row>
    <row r="90" spans="1:18">
      <c r="A90" s="323" t="s">
        <v>15</v>
      </c>
      <c r="B90" s="188">
        <v>1</v>
      </c>
    </row>
    <row r="91" spans="1:18">
      <c r="A91" s="323" t="s">
        <v>16</v>
      </c>
      <c r="B91" s="188" t="s">
        <v>17</v>
      </c>
    </row>
    <row r="92" spans="1:18">
      <c r="A92" s="323" t="s">
        <v>18</v>
      </c>
      <c r="B92" s="188" t="s">
        <v>18</v>
      </c>
    </row>
    <row r="93" spans="1:18">
      <c r="A93" s="320" t="s">
        <v>19</v>
      </c>
    </row>
    <row r="94" spans="1:18">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row>
    <row r="95" spans="1:18">
      <c r="A95" s="84" t="s">
        <v>1317</v>
      </c>
      <c r="B95" s="327">
        <v>1</v>
      </c>
      <c r="C95" s="188" t="s">
        <v>18</v>
      </c>
      <c r="D95" s="386" t="s">
        <v>2</v>
      </c>
      <c r="E95" s="188" t="s">
        <v>29</v>
      </c>
      <c r="F95" s="37" t="s">
        <v>14</v>
      </c>
      <c r="G95" s="188" t="s">
        <v>30</v>
      </c>
      <c r="H95" s="188">
        <v>1</v>
      </c>
      <c r="I95" s="188">
        <v>1</v>
      </c>
      <c r="J95" s="188" t="s">
        <v>31</v>
      </c>
      <c r="K95" s="188" t="s">
        <v>31</v>
      </c>
      <c r="L95" s="188" t="s">
        <v>31</v>
      </c>
      <c r="M95" s="188" t="s">
        <v>31</v>
      </c>
      <c r="O95" s="361"/>
      <c r="P95" s="418"/>
      <c r="R95" s="327"/>
    </row>
    <row r="96" spans="1:18">
      <c r="A96" s="84" t="s">
        <v>1320</v>
      </c>
      <c r="B96" s="188">
        <v>1</v>
      </c>
      <c r="C96" s="188" t="s">
        <v>18</v>
      </c>
      <c r="D96" s="386" t="s">
        <v>2</v>
      </c>
      <c r="E96" s="188" t="s">
        <v>29</v>
      </c>
      <c r="F96" s="37" t="s">
        <v>14</v>
      </c>
      <c r="G96" s="188" t="s">
        <v>33</v>
      </c>
      <c r="H96" s="188">
        <v>1</v>
      </c>
      <c r="I96" s="188">
        <v>1</v>
      </c>
      <c r="J96" s="188" t="s">
        <v>31</v>
      </c>
      <c r="K96" s="188" t="s">
        <v>31</v>
      </c>
      <c r="L96" s="188" t="s">
        <v>31</v>
      </c>
      <c r="M96" s="188" t="s">
        <v>31</v>
      </c>
      <c r="O96" s="361"/>
      <c r="P96" s="418"/>
    </row>
    <row r="97" spans="1:18">
      <c r="A97" s="323" t="s">
        <v>265</v>
      </c>
      <c r="B97" s="327">
        <f>R97</f>
        <v>0.05</v>
      </c>
      <c r="C97" s="188" t="s">
        <v>39</v>
      </c>
      <c r="D97" s="188" t="s">
        <v>40</v>
      </c>
      <c r="E97" s="188" t="s">
        <v>29</v>
      </c>
      <c r="F97" s="37" t="s">
        <v>35</v>
      </c>
      <c r="G97" s="188" t="s">
        <v>33</v>
      </c>
      <c r="H97" s="188">
        <v>2</v>
      </c>
      <c r="I97" s="188">
        <f t="shared" ref="I97" si="5">LN(B97)</f>
        <v>-2.9957322735539909</v>
      </c>
      <c r="J97" s="188">
        <v>7.2284161474004766E-2</v>
      </c>
      <c r="K97" s="188" t="s">
        <v>31</v>
      </c>
      <c r="L97" s="188" t="s">
        <v>31</v>
      </c>
      <c r="M97" s="188" t="s">
        <v>31</v>
      </c>
      <c r="O97" s="361" t="s">
        <v>271</v>
      </c>
      <c r="P97" s="418">
        <v>0.05</v>
      </c>
      <c r="Q97" s="188" t="s">
        <v>271</v>
      </c>
      <c r="R97" s="327">
        <f>P97</f>
        <v>0.05</v>
      </c>
    </row>
    <row r="98" spans="1:18" s="330" customFormat="1">
      <c r="A98" s="347" t="s">
        <v>5</v>
      </c>
      <c r="B98" s="126" t="s">
        <v>1320</v>
      </c>
      <c r="C98" s="349"/>
    </row>
    <row r="99" spans="1:18">
      <c r="A99" s="323" t="s">
        <v>7</v>
      </c>
      <c r="B99" s="188" t="s">
        <v>831</v>
      </c>
      <c r="C99" s="322"/>
    </row>
    <row r="100" spans="1:18">
      <c r="A100" s="402" t="s">
        <v>9</v>
      </c>
      <c r="B100" s="188" t="s">
        <v>1321</v>
      </c>
      <c r="C100" s="322"/>
    </row>
    <row r="101" spans="1:18" ht="15.75" customHeight="1">
      <c r="A101" s="323" t="s">
        <v>11</v>
      </c>
      <c r="B101" s="324" t="s">
        <v>841</v>
      </c>
    </row>
    <row r="102" spans="1:18">
      <c r="A102" s="323" t="s">
        <v>13</v>
      </c>
      <c r="B102" s="188" t="s">
        <v>14</v>
      </c>
    </row>
    <row r="103" spans="1:18">
      <c r="A103" s="323" t="s">
        <v>15</v>
      </c>
      <c r="B103" s="188">
        <v>1</v>
      </c>
    </row>
    <row r="104" spans="1:18">
      <c r="A104" s="323" t="s">
        <v>16</v>
      </c>
      <c r="B104" s="188" t="s">
        <v>17</v>
      </c>
    </row>
    <row r="105" spans="1:18">
      <c r="A105" s="323" t="s">
        <v>18</v>
      </c>
      <c r="B105" s="188" t="s">
        <v>18</v>
      </c>
    </row>
    <row r="106" spans="1:18">
      <c r="A106" s="320" t="s">
        <v>19</v>
      </c>
    </row>
    <row r="107" spans="1:18">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Q107" s="352" t="s">
        <v>1242</v>
      </c>
    </row>
    <row r="108" spans="1:18">
      <c r="A108" s="84" t="s">
        <v>1320</v>
      </c>
      <c r="B108" s="188">
        <v>1</v>
      </c>
      <c r="C108" s="188" t="s">
        <v>18</v>
      </c>
      <c r="D108" s="188" t="s">
        <v>2</v>
      </c>
      <c r="E108" s="188" t="s">
        <v>29</v>
      </c>
      <c r="F108" s="37" t="s">
        <v>14</v>
      </c>
      <c r="G108" s="188" t="s">
        <v>30</v>
      </c>
      <c r="H108" s="188">
        <v>1</v>
      </c>
      <c r="I108" s="188">
        <v>1</v>
      </c>
      <c r="J108" s="188" t="s">
        <v>31</v>
      </c>
      <c r="K108" s="188" t="s">
        <v>31</v>
      </c>
      <c r="L108" s="188" t="s">
        <v>31</v>
      </c>
      <c r="M108" s="188" t="s">
        <v>31</v>
      </c>
      <c r="P108" s="446"/>
      <c r="Q108" s="188">
        <f>'2E. Reusable'!O36</f>
        <v>0.15625</v>
      </c>
      <c r="R108" s="188" t="s">
        <v>888</v>
      </c>
    </row>
    <row r="109" spans="1:18">
      <c r="A109" s="323" t="s">
        <v>1322</v>
      </c>
      <c r="B109" s="419">
        <f>B133</f>
        <v>0.14000000000000001</v>
      </c>
      <c r="C109" s="188" t="s">
        <v>853</v>
      </c>
      <c r="D109" s="188" t="s">
        <v>2</v>
      </c>
      <c r="E109" s="188" t="s">
        <v>29</v>
      </c>
      <c r="F109" s="37" t="s">
        <v>14</v>
      </c>
      <c r="G109" s="188" t="s">
        <v>33</v>
      </c>
      <c r="H109" s="188">
        <v>1</v>
      </c>
      <c r="I109" s="419">
        <f>B109</f>
        <v>0.14000000000000001</v>
      </c>
      <c r="J109" s="188" t="s">
        <v>31</v>
      </c>
      <c r="K109" s="188" t="s">
        <v>31</v>
      </c>
      <c r="L109" s="188" t="s">
        <v>31</v>
      </c>
      <c r="M109" s="188" t="s">
        <v>31</v>
      </c>
      <c r="O109" s="387"/>
      <c r="P109" s="388"/>
      <c r="Q109" s="327"/>
    </row>
    <row r="110" spans="1:18">
      <c r="A110" s="188" t="s">
        <v>1275</v>
      </c>
      <c r="B110" s="370">
        <f>R110</f>
        <v>1.6875000000000001E-2</v>
      </c>
      <c r="C110" s="359" t="s">
        <v>853</v>
      </c>
      <c r="D110" s="188" t="s">
        <v>2</v>
      </c>
      <c r="E110" s="188" t="s">
        <v>29</v>
      </c>
      <c r="F110" s="37" t="s">
        <v>14</v>
      </c>
      <c r="G110" s="188" t="s">
        <v>33</v>
      </c>
      <c r="H110" s="188">
        <v>1</v>
      </c>
      <c r="I110" s="419">
        <f t="shared" ref="I110:I111" si="6">B110</f>
        <v>1.6875000000000001E-2</v>
      </c>
      <c r="J110" s="188" t="s">
        <v>31</v>
      </c>
      <c r="K110" s="188" t="s">
        <v>31</v>
      </c>
      <c r="L110" s="188" t="s">
        <v>31</v>
      </c>
      <c r="M110" s="188" t="s">
        <v>31</v>
      </c>
      <c r="O110" s="420" t="s">
        <v>857</v>
      </c>
      <c r="P110" s="433">
        <v>108</v>
      </c>
      <c r="R110" s="370">
        <f>P110*0.001*Q108</f>
        <v>1.6875000000000001E-2</v>
      </c>
    </row>
    <row r="111" spans="1:18">
      <c r="A111" s="188" t="s">
        <v>1323</v>
      </c>
      <c r="B111" s="188">
        <v>1</v>
      </c>
      <c r="C111" s="188" t="s">
        <v>18</v>
      </c>
      <c r="D111" s="188" t="s">
        <v>2</v>
      </c>
      <c r="E111" s="188" t="s">
        <v>29</v>
      </c>
      <c r="F111" s="37" t="s">
        <v>14</v>
      </c>
      <c r="G111" s="188" t="s">
        <v>33</v>
      </c>
      <c r="H111" s="188">
        <v>1</v>
      </c>
      <c r="I111" s="419">
        <f t="shared" si="6"/>
        <v>1</v>
      </c>
      <c r="J111" s="188" t="s">
        <v>31</v>
      </c>
      <c r="K111" s="188" t="s">
        <v>31</v>
      </c>
      <c r="L111" s="188" t="s">
        <v>31</v>
      </c>
      <c r="M111" s="188" t="s">
        <v>31</v>
      </c>
      <c r="O111" s="387"/>
      <c r="P111" s="388"/>
    </row>
    <row r="112" spans="1:18" ht="14.45">
      <c r="A112" s="84" t="s">
        <v>179</v>
      </c>
      <c r="B112" s="370">
        <f>R112</f>
        <v>6.2E-4</v>
      </c>
      <c r="C112" s="188" t="s">
        <v>37</v>
      </c>
      <c r="D112" s="188" t="s">
        <v>40</v>
      </c>
      <c r="E112" s="188" t="s">
        <v>29</v>
      </c>
      <c r="F112" s="37" t="s">
        <v>35</v>
      </c>
      <c r="G112" s="188" t="s">
        <v>33</v>
      </c>
      <c r="H112" s="188">
        <v>2</v>
      </c>
      <c r="I112" s="188">
        <f>LN(B112)</f>
        <v>-7.3857910799251369</v>
      </c>
      <c r="J112" s="188">
        <v>2.8722813232690055E-2</v>
      </c>
      <c r="K112" s="188" t="s">
        <v>31</v>
      </c>
      <c r="L112" s="188" t="s">
        <v>31</v>
      </c>
      <c r="M112" s="188" t="s">
        <v>31</v>
      </c>
      <c r="O112" s="420" t="s">
        <v>857</v>
      </c>
      <c r="P112" s="153">
        <v>0.62</v>
      </c>
      <c r="Q112" s="188" t="s">
        <v>275</v>
      </c>
      <c r="R112" s="370">
        <f>P112*10^-3</f>
        <v>6.2E-4</v>
      </c>
    </row>
    <row r="113" spans="1:18" s="330" customFormat="1">
      <c r="A113" s="347" t="s">
        <v>5</v>
      </c>
      <c r="B113" s="348" t="s">
        <v>1323</v>
      </c>
      <c r="C113" s="349"/>
    </row>
    <row r="114" spans="1:18">
      <c r="A114" s="323" t="s">
        <v>7</v>
      </c>
      <c r="B114" s="188" t="s">
        <v>831</v>
      </c>
      <c r="C114" s="322"/>
    </row>
    <row r="115" spans="1:18">
      <c r="A115" s="402" t="s">
        <v>9</v>
      </c>
      <c r="B115" s="188" t="s">
        <v>1324</v>
      </c>
      <c r="C115" s="322"/>
    </row>
    <row r="116" spans="1:18" ht="15.75" customHeight="1">
      <c r="A116" s="323" t="s">
        <v>11</v>
      </c>
      <c r="B116" s="324" t="s">
        <v>841</v>
      </c>
    </row>
    <row r="117" spans="1:18">
      <c r="A117" s="323" t="s">
        <v>13</v>
      </c>
      <c r="B117" s="188" t="s">
        <v>14</v>
      </c>
    </row>
    <row r="118" spans="1:18">
      <c r="A118" s="323" t="s">
        <v>15</v>
      </c>
      <c r="B118" s="188">
        <v>1</v>
      </c>
    </row>
    <row r="119" spans="1:18">
      <c r="A119" s="323" t="s">
        <v>16</v>
      </c>
      <c r="B119" s="188" t="s">
        <v>17</v>
      </c>
    </row>
    <row r="120" spans="1:18">
      <c r="A120" s="323" t="s">
        <v>18</v>
      </c>
      <c r="B120" s="188" t="s">
        <v>18</v>
      </c>
    </row>
    <row r="121" spans="1:18">
      <c r="A121" s="320" t="s">
        <v>19</v>
      </c>
    </row>
    <row r="122" spans="1:18">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row>
    <row r="123" spans="1:18">
      <c r="A123" s="188" t="s">
        <v>1323</v>
      </c>
      <c r="B123" s="188">
        <v>1</v>
      </c>
      <c r="C123" s="188" t="s">
        <v>18</v>
      </c>
      <c r="D123" s="386" t="s">
        <v>2</v>
      </c>
      <c r="E123" s="188" t="s">
        <v>29</v>
      </c>
      <c r="F123" s="37" t="s">
        <v>14</v>
      </c>
      <c r="G123" s="188" t="s">
        <v>30</v>
      </c>
      <c r="H123" s="188">
        <v>1</v>
      </c>
      <c r="I123" s="188">
        <v>1</v>
      </c>
      <c r="J123" s="188" t="s">
        <v>31</v>
      </c>
      <c r="K123" s="188" t="s">
        <v>31</v>
      </c>
      <c r="L123" s="188" t="s">
        <v>31</v>
      </c>
      <c r="M123" s="188" t="s">
        <v>31</v>
      </c>
    </row>
    <row r="124" spans="1:18">
      <c r="A124" s="84" t="s">
        <v>966</v>
      </c>
      <c r="B124" s="188">
        <f>R124</f>
        <v>1.21</v>
      </c>
      <c r="C124" s="188" t="s">
        <v>37</v>
      </c>
      <c r="D124" s="188" t="s">
        <v>40</v>
      </c>
      <c r="E124" s="188" t="s">
        <v>29</v>
      </c>
      <c r="F124" s="188" t="s">
        <v>59</v>
      </c>
      <c r="G124" s="188" t="s">
        <v>33</v>
      </c>
      <c r="H124" s="188">
        <v>1</v>
      </c>
      <c r="I124" s="188">
        <f>B124</f>
        <v>1.21</v>
      </c>
      <c r="J124" s="188" t="s">
        <v>31</v>
      </c>
      <c r="K124" s="188" t="s">
        <v>31</v>
      </c>
      <c r="L124" s="188" t="s">
        <v>31</v>
      </c>
      <c r="M124" s="188" t="s">
        <v>31</v>
      </c>
      <c r="P124" s="188">
        <v>1.21</v>
      </c>
      <c r="Q124" s="188" t="s">
        <v>275</v>
      </c>
      <c r="R124" s="188">
        <f>P124</f>
        <v>1.21</v>
      </c>
    </row>
    <row r="125" spans="1:18" ht="14.45">
      <c r="A125" s="84" t="s">
        <v>967</v>
      </c>
      <c r="B125" s="188">
        <f t="shared" ref="B125:B127" si="7">R125</f>
        <v>0.79800000000000004</v>
      </c>
      <c r="C125" s="188" t="s">
        <v>37</v>
      </c>
      <c r="D125" s="188" t="s">
        <v>40</v>
      </c>
      <c r="E125" s="188" t="s">
        <v>29</v>
      </c>
      <c r="F125" s="188" t="s">
        <v>59</v>
      </c>
      <c r="G125" s="188" t="s">
        <v>33</v>
      </c>
      <c r="H125" s="188">
        <v>2</v>
      </c>
      <c r="I125" s="188">
        <f>LN(B125)</f>
        <v>-0.22564668153232822</v>
      </c>
      <c r="J125" s="188">
        <v>3.7749172176353707E-2</v>
      </c>
      <c r="K125" s="188" t="s">
        <v>31</v>
      </c>
      <c r="L125" s="188" t="s">
        <v>31</v>
      </c>
      <c r="M125" s="188" t="s">
        <v>31</v>
      </c>
      <c r="O125" s="379" t="s">
        <v>857</v>
      </c>
      <c r="P125" s="107">
        <v>798</v>
      </c>
      <c r="Q125" s="188" t="s">
        <v>275</v>
      </c>
      <c r="R125" s="188">
        <f>P125*0.001</f>
        <v>0.79800000000000004</v>
      </c>
    </row>
    <row r="126" spans="1:18" ht="14.45">
      <c r="A126" s="84" t="s">
        <v>968</v>
      </c>
      <c r="B126" s="188">
        <f t="shared" si="7"/>
        <v>4.7600000000000003E-2</v>
      </c>
      <c r="C126" s="188" t="s">
        <v>37</v>
      </c>
      <c r="D126" s="188" t="s">
        <v>40</v>
      </c>
      <c r="E126" s="188" t="s">
        <v>29</v>
      </c>
      <c r="F126" s="188" t="s">
        <v>59</v>
      </c>
      <c r="G126" s="188" t="s">
        <v>33</v>
      </c>
      <c r="H126" s="188">
        <v>2</v>
      </c>
      <c r="I126" s="188">
        <f>LN(B126)</f>
        <v>-3.0449225177447627</v>
      </c>
      <c r="J126" s="188">
        <v>3.7749172176353707E-2</v>
      </c>
      <c r="K126" s="188" t="s">
        <v>31</v>
      </c>
      <c r="L126" s="188" t="s">
        <v>31</v>
      </c>
      <c r="M126" s="188" t="s">
        <v>31</v>
      </c>
      <c r="O126" s="379" t="s">
        <v>857</v>
      </c>
      <c r="P126" s="107">
        <v>47.6</v>
      </c>
      <c r="Q126" s="188" t="s">
        <v>275</v>
      </c>
      <c r="R126" s="188">
        <f t="shared" ref="R126:R127" si="8">P126*0.001</f>
        <v>4.7600000000000003E-2</v>
      </c>
    </row>
    <row r="127" spans="1:18" ht="14.45">
      <c r="A127" s="84" t="s">
        <v>969</v>
      </c>
      <c r="B127" s="188">
        <f t="shared" si="7"/>
        <v>0.36</v>
      </c>
      <c r="C127" s="188" t="s">
        <v>37</v>
      </c>
      <c r="D127" s="188" t="s">
        <v>40</v>
      </c>
      <c r="E127" s="188" t="s">
        <v>29</v>
      </c>
      <c r="F127" s="188" t="s">
        <v>59</v>
      </c>
      <c r="G127" s="188" t="s">
        <v>33</v>
      </c>
      <c r="H127" s="188">
        <v>2</v>
      </c>
      <c r="I127" s="188">
        <f>LN(B127)</f>
        <v>-1.0216512475319814</v>
      </c>
      <c r="J127" s="188">
        <v>3.7749172176353707E-2</v>
      </c>
      <c r="K127" s="188" t="s">
        <v>31</v>
      </c>
      <c r="L127" s="188" t="s">
        <v>31</v>
      </c>
      <c r="M127" s="188" t="s">
        <v>31</v>
      </c>
      <c r="O127" s="379" t="s">
        <v>857</v>
      </c>
      <c r="P127" s="107">
        <v>360</v>
      </c>
      <c r="Q127" s="188" t="s">
        <v>275</v>
      </c>
      <c r="R127" s="188">
        <f t="shared" si="8"/>
        <v>0.36</v>
      </c>
    </row>
    <row r="128" spans="1:18" s="330" customFormat="1">
      <c r="A128" s="347" t="s">
        <v>5</v>
      </c>
      <c r="B128" s="126" t="s">
        <v>1322</v>
      </c>
      <c r="C128" s="349"/>
    </row>
    <row r="129" spans="1:18">
      <c r="A129" s="323" t="s">
        <v>7</v>
      </c>
      <c r="B129" s="188" t="s">
        <v>831</v>
      </c>
      <c r="C129" s="322"/>
    </row>
    <row r="130" spans="1:18">
      <c r="A130" s="402" t="s">
        <v>9</v>
      </c>
      <c r="B130" s="188" t="s">
        <v>1325</v>
      </c>
      <c r="C130" s="322"/>
    </row>
    <row r="131" spans="1:18" ht="15.75" customHeight="1">
      <c r="A131" s="323" t="s">
        <v>11</v>
      </c>
      <c r="B131" s="324" t="s">
        <v>841</v>
      </c>
    </row>
    <row r="132" spans="1:18">
      <c r="A132" s="323" t="s">
        <v>13</v>
      </c>
      <c r="B132" s="188" t="s">
        <v>14</v>
      </c>
    </row>
    <row r="133" spans="1:18">
      <c r="A133" s="323" t="s">
        <v>15</v>
      </c>
      <c r="B133" s="403">
        <f>B138</f>
        <v>0.14000000000000001</v>
      </c>
    </row>
    <row r="134" spans="1:18">
      <c r="A134" s="323" t="s">
        <v>16</v>
      </c>
      <c r="B134" s="188" t="s">
        <v>17</v>
      </c>
    </row>
    <row r="135" spans="1:18">
      <c r="A135" s="323" t="s">
        <v>18</v>
      </c>
      <c r="B135" s="188" t="s">
        <v>853</v>
      </c>
    </row>
    <row r="136" spans="1:18">
      <c r="A136" s="320" t="s">
        <v>19</v>
      </c>
    </row>
    <row r="137" spans="1:18">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row>
    <row r="138" spans="1:18" ht="14.45">
      <c r="A138" s="188" t="s">
        <v>1322</v>
      </c>
      <c r="B138" s="403">
        <f>P138</f>
        <v>0.14000000000000001</v>
      </c>
      <c r="C138" s="188" t="s">
        <v>853</v>
      </c>
      <c r="D138" s="386" t="s">
        <v>2</v>
      </c>
      <c r="E138" s="188" t="s">
        <v>29</v>
      </c>
      <c r="F138" s="37" t="s">
        <v>14</v>
      </c>
      <c r="G138" s="188" t="s">
        <v>30</v>
      </c>
      <c r="H138" s="188">
        <v>1</v>
      </c>
      <c r="I138" s="419">
        <f>B138</f>
        <v>0.14000000000000001</v>
      </c>
      <c r="J138" s="188" t="s">
        <v>31</v>
      </c>
      <c r="K138" s="188" t="s">
        <v>31</v>
      </c>
      <c r="L138" s="188" t="s">
        <v>31</v>
      </c>
      <c r="M138" s="188" t="s">
        <v>31</v>
      </c>
      <c r="O138" s="387"/>
      <c r="P138" s="151">
        <v>0.14000000000000001</v>
      </c>
      <c r="Q138" s="327"/>
    </row>
    <row r="139" spans="1:18" ht="14.45">
      <c r="A139" s="192" t="s">
        <v>1326</v>
      </c>
      <c r="B139" s="403">
        <f>P139</f>
        <v>0.14000000000000001</v>
      </c>
      <c r="C139" s="188" t="s">
        <v>853</v>
      </c>
      <c r="D139" s="386" t="s">
        <v>2</v>
      </c>
      <c r="E139" s="188" t="s">
        <v>29</v>
      </c>
      <c r="F139" s="37" t="s">
        <v>14</v>
      </c>
      <c r="G139" s="188" t="s">
        <v>33</v>
      </c>
      <c r="H139" s="188">
        <v>1</v>
      </c>
      <c r="I139" s="419">
        <f>B139</f>
        <v>0.14000000000000001</v>
      </c>
      <c r="J139" s="188" t="s">
        <v>31</v>
      </c>
      <c r="K139" s="188" t="s">
        <v>31</v>
      </c>
      <c r="L139" s="188" t="s">
        <v>31</v>
      </c>
      <c r="M139" s="188" t="s">
        <v>31</v>
      </c>
      <c r="P139" s="151">
        <v>0.14000000000000001</v>
      </c>
    </row>
    <row r="140" spans="1:18">
      <c r="A140" s="84" t="s">
        <v>731</v>
      </c>
      <c r="B140" s="188">
        <f>R140</f>
        <v>1.2500000000000001E-2</v>
      </c>
      <c r="C140" s="188" t="s">
        <v>37</v>
      </c>
      <c r="D140" s="188" t="s">
        <v>40</v>
      </c>
      <c r="E140" s="188" t="s">
        <v>29</v>
      </c>
      <c r="F140" s="188" t="s">
        <v>35</v>
      </c>
      <c r="G140" s="188" t="s">
        <v>33</v>
      </c>
      <c r="H140" s="188">
        <v>2</v>
      </c>
      <c r="I140" s="188">
        <f>LN(B140)</f>
        <v>-4.3820266346738812</v>
      </c>
      <c r="J140" s="188">
        <v>0.20928449536456342</v>
      </c>
      <c r="K140" s="188" t="s">
        <v>31</v>
      </c>
      <c r="L140" s="188" t="s">
        <v>31</v>
      </c>
      <c r="M140" s="188" t="s">
        <v>31</v>
      </c>
      <c r="O140" s="379" t="s">
        <v>857</v>
      </c>
      <c r="P140" s="392">
        <v>12.5</v>
      </c>
      <c r="Q140" s="188" t="s">
        <v>275</v>
      </c>
      <c r="R140" s="188">
        <f>0.001*P140</f>
        <v>1.2500000000000001E-2</v>
      </c>
    </row>
    <row r="141" spans="1:18">
      <c r="A141" s="84" t="s">
        <v>987</v>
      </c>
      <c r="B141" s="188">
        <f>R141</f>
        <v>1.2500000000000001E-2</v>
      </c>
      <c r="C141" s="188" t="s">
        <v>37</v>
      </c>
      <c r="D141" s="188" t="s">
        <v>40</v>
      </c>
      <c r="E141" s="188" t="s">
        <v>29</v>
      </c>
      <c r="F141" s="188" t="s">
        <v>35</v>
      </c>
      <c r="G141" s="188" t="s">
        <v>33</v>
      </c>
      <c r="H141" s="188">
        <v>2</v>
      </c>
      <c r="I141" s="188">
        <f>LN(B141)</f>
        <v>-4.3820266346738812</v>
      </c>
      <c r="J141" s="188">
        <v>0.20928449536456342</v>
      </c>
      <c r="K141" s="188" t="s">
        <v>31</v>
      </c>
      <c r="L141" s="188" t="s">
        <v>31</v>
      </c>
      <c r="M141" s="188" t="s">
        <v>31</v>
      </c>
      <c r="O141" s="379" t="s">
        <v>857</v>
      </c>
      <c r="P141" s="392">
        <v>12.5</v>
      </c>
      <c r="Q141" s="188" t="s">
        <v>275</v>
      </c>
      <c r="R141" s="188">
        <f>0.001*P141</f>
        <v>1.2500000000000001E-2</v>
      </c>
    </row>
    <row r="142" spans="1:18" s="330" customFormat="1">
      <c r="A142" s="347" t="s">
        <v>5</v>
      </c>
      <c r="B142" s="424" t="s">
        <v>1326</v>
      </c>
      <c r="C142" s="349"/>
    </row>
    <row r="143" spans="1:18">
      <c r="A143" s="323" t="s">
        <v>7</v>
      </c>
      <c r="B143" s="188" t="s">
        <v>831</v>
      </c>
      <c r="C143" s="322"/>
    </row>
    <row r="144" spans="1:18">
      <c r="A144" s="402" t="s">
        <v>9</v>
      </c>
      <c r="B144" s="188" t="s">
        <v>1327</v>
      </c>
      <c r="C144" s="322"/>
    </row>
    <row r="145" spans="1:18" ht="15.75" customHeight="1">
      <c r="A145" s="323" t="s">
        <v>11</v>
      </c>
      <c r="B145" s="324" t="s">
        <v>841</v>
      </c>
    </row>
    <row r="146" spans="1:18">
      <c r="A146" s="323" t="s">
        <v>13</v>
      </c>
      <c r="B146" s="188" t="s">
        <v>14</v>
      </c>
    </row>
    <row r="147" spans="1:18">
      <c r="A147" s="323" t="s">
        <v>15</v>
      </c>
      <c r="B147" s="403">
        <f>B152</f>
        <v>0.14000000000000001</v>
      </c>
    </row>
    <row r="148" spans="1:18">
      <c r="A148" s="323" t="s">
        <v>16</v>
      </c>
      <c r="B148" s="188" t="s">
        <v>17</v>
      </c>
    </row>
    <row r="149" spans="1:18">
      <c r="A149" s="323" t="s">
        <v>18</v>
      </c>
      <c r="B149" s="188" t="s">
        <v>853</v>
      </c>
    </row>
    <row r="150" spans="1:18">
      <c r="A150" s="320" t="s">
        <v>19</v>
      </c>
    </row>
    <row r="151" spans="1:18">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row>
    <row r="152" spans="1:18" ht="14.45">
      <c r="A152" s="192" t="s">
        <v>1326</v>
      </c>
      <c r="B152" s="423">
        <f>P152</f>
        <v>0.14000000000000001</v>
      </c>
      <c r="C152" s="188" t="s">
        <v>853</v>
      </c>
      <c r="D152" s="386" t="s">
        <v>2</v>
      </c>
      <c r="E152" s="188" t="s">
        <v>29</v>
      </c>
      <c r="F152" s="37" t="s">
        <v>14</v>
      </c>
      <c r="G152" s="188" t="s">
        <v>30</v>
      </c>
      <c r="H152" s="188">
        <v>1</v>
      </c>
      <c r="I152" s="419">
        <f>B152</f>
        <v>0.14000000000000001</v>
      </c>
      <c r="J152" s="188" t="s">
        <v>31</v>
      </c>
      <c r="K152" s="188" t="s">
        <v>31</v>
      </c>
      <c r="L152" s="188" t="s">
        <v>31</v>
      </c>
      <c r="M152" s="188" t="s">
        <v>31</v>
      </c>
      <c r="O152" s="449" t="s">
        <v>855</v>
      </c>
      <c r="P152" s="151">
        <f>B162</f>
        <v>0.14000000000000001</v>
      </c>
    </row>
    <row r="153" spans="1:18" ht="14.45">
      <c r="A153" s="188" t="s">
        <v>1328</v>
      </c>
      <c r="B153" s="423">
        <f t="shared" ref="B153:B156" si="9">P153</f>
        <v>4.2000000000000003E-2</v>
      </c>
      <c r="C153" s="188" t="s">
        <v>853</v>
      </c>
      <c r="D153" s="386" t="s">
        <v>2</v>
      </c>
      <c r="E153" s="188" t="s">
        <v>29</v>
      </c>
      <c r="F153" s="37" t="s">
        <v>14</v>
      </c>
      <c r="G153" s="188" t="s">
        <v>33</v>
      </c>
      <c r="H153" s="188">
        <v>1</v>
      </c>
      <c r="I153" s="419">
        <f t="shared" ref="I153:I154" si="10">B153</f>
        <v>4.2000000000000003E-2</v>
      </c>
      <c r="J153" s="188" t="s">
        <v>31</v>
      </c>
      <c r="K153" s="188" t="s">
        <v>31</v>
      </c>
      <c r="L153" s="188" t="s">
        <v>31</v>
      </c>
      <c r="M153" s="188" t="s">
        <v>31</v>
      </c>
      <c r="O153" s="449" t="s">
        <v>873</v>
      </c>
      <c r="P153" s="162">
        <f>B228</f>
        <v>4.2000000000000003E-2</v>
      </c>
    </row>
    <row r="154" spans="1:18" ht="14.45">
      <c r="A154" s="188" t="s">
        <v>1329</v>
      </c>
      <c r="B154" s="423">
        <f t="shared" si="9"/>
        <v>0.14000000000000001</v>
      </c>
      <c r="C154" s="188" t="s">
        <v>853</v>
      </c>
      <c r="D154" s="386" t="s">
        <v>2</v>
      </c>
      <c r="E154" s="188" t="s">
        <v>29</v>
      </c>
      <c r="F154" s="37" t="s">
        <v>14</v>
      </c>
      <c r="G154" s="188" t="s">
        <v>33</v>
      </c>
      <c r="H154" s="188">
        <v>1</v>
      </c>
      <c r="I154" s="419">
        <f t="shared" si="10"/>
        <v>0.14000000000000001</v>
      </c>
      <c r="J154" s="188" t="s">
        <v>31</v>
      </c>
      <c r="K154" s="188" t="s">
        <v>31</v>
      </c>
      <c r="L154" s="188" t="s">
        <v>31</v>
      </c>
      <c r="M154" s="188" t="s">
        <v>31</v>
      </c>
      <c r="O154" s="378" t="s">
        <v>873</v>
      </c>
      <c r="P154" s="151">
        <f>B162</f>
        <v>0.14000000000000001</v>
      </c>
    </row>
    <row r="155" spans="1:18">
      <c r="A155" s="323" t="s">
        <v>265</v>
      </c>
      <c r="B155" s="423">
        <f t="shared" si="9"/>
        <v>3.33</v>
      </c>
      <c r="C155" s="188" t="s">
        <v>39</v>
      </c>
      <c r="D155" s="188" t="s">
        <v>40</v>
      </c>
      <c r="E155" s="188" t="s">
        <v>29</v>
      </c>
      <c r="F155" s="37" t="s">
        <v>35</v>
      </c>
      <c r="G155" s="188" t="s">
        <v>33</v>
      </c>
      <c r="H155" s="188">
        <v>2</v>
      </c>
      <c r="I155" s="188">
        <f t="shared" ref="I155:I156" si="11">LN(B155)</f>
        <v>1.2029723039923526</v>
      </c>
      <c r="J155" s="188">
        <v>9.7082439194738052E-2</v>
      </c>
      <c r="K155" s="188" t="s">
        <v>31</v>
      </c>
      <c r="L155" s="188" t="s">
        <v>31</v>
      </c>
      <c r="M155" s="188" t="s">
        <v>31</v>
      </c>
      <c r="O155" s="379" t="s">
        <v>271</v>
      </c>
      <c r="P155" s="392">
        <v>3.33</v>
      </c>
      <c r="Q155" s="188" t="s">
        <v>271</v>
      </c>
      <c r="R155" s="327">
        <f>P155</f>
        <v>3.33</v>
      </c>
    </row>
    <row r="156" spans="1:18">
      <c r="A156" s="323" t="s">
        <v>845</v>
      </c>
      <c r="B156" s="423">
        <f t="shared" si="9"/>
        <v>8.9</v>
      </c>
      <c r="C156" s="188" t="s">
        <v>37</v>
      </c>
      <c r="D156" s="188" t="s">
        <v>40</v>
      </c>
      <c r="E156" s="188" t="s">
        <v>29</v>
      </c>
      <c r="F156" s="37" t="s">
        <v>35</v>
      </c>
      <c r="G156" s="188" t="s">
        <v>33</v>
      </c>
      <c r="H156" s="188">
        <v>2</v>
      </c>
      <c r="I156" s="188">
        <f t="shared" si="11"/>
        <v>2.1860512767380942</v>
      </c>
      <c r="J156" s="188">
        <v>9.7082439194738052E-2</v>
      </c>
      <c r="K156" s="188" t="s">
        <v>31</v>
      </c>
      <c r="L156" s="188" t="s">
        <v>31</v>
      </c>
      <c r="M156" s="188" t="s">
        <v>31</v>
      </c>
      <c r="O156" s="379" t="s">
        <v>275</v>
      </c>
      <c r="P156" s="392">
        <v>8.9</v>
      </c>
    </row>
    <row r="157" spans="1:18" s="330" customFormat="1">
      <c r="A157" s="347" t="s">
        <v>5</v>
      </c>
      <c r="B157" s="348" t="s">
        <v>1329</v>
      </c>
      <c r="C157" s="349"/>
    </row>
    <row r="158" spans="1:18">
      <c r="A158" s="323" t="s">
        <v>7</v>
      </c>
      <c r="B158" s="188" t="s">
        <v>831</v>
      </c>
      <c r="C158" s="322"/>
    </row>
    <row r="159" spans="1:18">
      <c r="A159" s="402" t="s">
        <v>9</v>
      </c>
      <c r="B159" s="188" t="s">
        <v>1330</v>
      </c>
      <c r="C159" s="322"/>
    </row>
    <row r="160" spans="1:18" ht="15.75" customHeight="1">
      <c r="A160" s="323" t="s">
        <v>11</v>
      </c>
      <c r="B160" s="324" t="s">
        <v>841</v>
      </c>
    </row>
    <row r="161" spans="1:18">
      <c r="A161" s="323" t="s">
        <v>13</v>
      </c>
      <c r="B161" s="188" t="s">
        <v>14</v>
      </c>
    </row>
    <row r="162" spans="1:18">
      <c r="A162" s="323" t="s">
        <v>15</v>
      </c>
      <c r="B162" s="423">
        <f>B167</f>
        <v>0.14000000000000001</v>
      </c>
    </row>
    <row r="163" spans="1:18">
      <c r="A163" s="323" t="s">
        <v>16</v>
      </c>
      <c r="B163" s="188" t="s">
        <v>17</v>
      </c>
    </row>
    <row r="164" spans="1:18">
      <c r="A164" s="323" t="s">
        <v>18</v>
      </c>
      <c r="B164" s="188" t="s">
        <v>853</v>
      </c>
    </row>
    <row r="165" spans="1:18">
      <c r="A165" s="320" t="s">
        <v>19</v>
      </c>
    </row>
    <row r="166" spans="1:18">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row>
    <row r="167" spans="1:18">
      <c r="A167" s="188" t="s">
        <v>1329</v>
      </c>
      <c r="B167" s="393">
        <f>P167</f>
        <v>0.14000000000000001</v>
      </c>
      <c r="C167" s="188" t="s">
        <v>853</v>
      </c>
      <c r="D167" s="386" t="s">
        <v>2</v>
      </c>
      <c r="E167" s="188" t="s">
        <v>29</v>
      </c>
      <c r="F167" s="37" t="s">
        <v>14</v>
      </c>
      <c r="G167" s="188" t="s">
        <v>30</v>
      </c>
      <c r="H167" s="188">
        <v>1</v>
      </c>
      <c r="I167" s="393">
        <f>B167</f>
        <v>0.14000000000000001</v>
      </c>
      <c r="J167" s="188" t="s">
        <v>31</v>
      </c>
      <c r="K167" s="188" t="s">
        <v>31</v>
      </c>
      <c r="L167" s="188" t="s">
        <v>31</v>
      </c>
      <c r="M167" s="188" t="s">
        <v>31</v>
      </c>
      <c r="P167" s="432">
        <v>0.14000000000000001</v>
      </c>
    </row>
    <row r="168" spans="1:18">
      <c r="A168" s="192" t="s">
        <v>1331</v>
      </c>
      <c r="B168" s="393">
        <f>P168</f>
        <v>0.14000000000000001</v>
      </c>
      <c r="C168" s="188" t="s">
        <v>853</v>
      </c>
      <c r="D168" s="386" t="s">
        <v>2</v>
      </c>
      <c r="E168" s="188" t="s">
        <v>29</v>
      </c>
      <c r="F168" s="37" t="s">
        <v>14</v>
      </c>
      <c r="G168" s="188" t="s">
        <v>33</v>
      </c>
      <c r="H168" s="188">
        <v>1</v>
      </c>
      <c r="I168" s="393">
        <f>B168</f>
        <v>0.14000000000000001</v>
      </c>
      <c r="J168" s="188" t="s">
        <v>31</v>
      </c>
      <c r="K168" s="188" t="s">
        <v>31</v>
      </c>
      <c r="L168" s="188" t="s">
        <v>31</v>
      </c>
      <c r="M168" s="188" t="s">
        <v>31</v>
      </c>
      <c r="P168" s="432">
        <v>0.14000000000000001</v>
      </c>
    </row>
    <row r="169" spans="1:18" ht="14.45">
      <c r="A169" s="323" t="s">
        <v>265</v>
      </c>
      <c r="B169" s="327">
        <f>R169</f>
        <v>0.38</v>
      </c>
      <c r="C169" s="188" t="s">
        <v>39</v>
      </c>
      <c r="D169" s="188" t="s">
        <v>40</v>
      </c>
      <c r="E169" s="188" t="s">
        <v>29</v>
      </c>
      <c r="F169" s="37" t="s">
        <v>35</v>
      </c>
      <c r="G169" s="188" t="s">
        <v>33</v>
      </c>
      <c r="H169" s="188">
        <v>2</v>
      </c>
      <c r="I169" s="188">
        <f t="shared" ref="I169:I173" si="12">LN(B169)</f>
        <v>-0.96758402626170559</v>
      </c>
      <c r="J169" s="188">
        <v>0.20928449536456342</v>
      </c>
      <c r="K169" s="188" t="s">
        <v>31</v>
      </c>
      <c r="L169" s="188" t="s">
        <v>31</v>
      </c>
      <c r="M169" s="188" t="s">
        <v>31</v>
      </c>
      <c r="O169" s="361" t="s">
        <v>271</v>
      </c>
      <c r="P169" s="107">
        <v>0.38</v>
      </c>
      <c r="Q169" s="188" t="s">
        <v>271</v>
      </c>
      <c r="R169" s="327">
        <f>P169</f>
        <v>0.38</v>
      </c>
    </row>
    <row r="170" spans="1:18" ht="14.45">
      <c r="A170" s="84" t="s">
        <v>843</v>
      </c>
      <c r="B170" s="188">
        <f>R170</f>
        <v>1.1800000000000001E-2</v>
      </c>
      <c r="C170" s="188" t="s">
        <v>37</v>
      </c>
      <c r="D170" s="188" t="s">
        <v>40</v>
      </c>
      <c r="E170" s="188" t="s">
        <v>29</v>
      </c>
      <c r="F170" s="37" t="s">
        <v>35</v>
      </c>
      <c r="G170" s="188" t="s">
        <v>33</v>
      </c>
      <c r="H170" s="188">
        <v>2</v>
      </c>
      <c r="I170" s="188">
        <f t="shared" si="12"/>
        <v>-4.4396557475105176</v>
      </c>
      <c r="J170" s="188">
        <v>0.20928449536456342</v>
      </c>
      <c r="K170" s="188" t="s">
        <v>31</v>
      </c>
      <c r="L170" s="188" t="s">
        <v>31</v>
      </c>
      <c r="M170" s="188" t="s">
        <v>31</v>
      </c>
      <c r="O170" s="379" t="s">
        <v>857</v>
      </c>
      <c r="P170" s="107">
        <v>11.8</v>
      </c>
      <c r="Q170" s="188" t="s">
        <v>275</v>
      </c>
      <c r="R170" s="188">
        <f>0.001*P170</f>
        <v>1.1800000000000001E-2</v>
      </c>
    </row>
    <row r="171" spans="1:18" ht="14.45">
      <c r="A171" s="84" t="s">
        <v>489</v>
      </c>
      <c r="B171" s="188">
        <f>R171</f>
        <v>1.8000000000000002E-3</v>
      </c>
      <c r="C171" s="188" t="s">
        <v>37</v>
      </c>
      <c r="D171" s="188" t="s">
        <v>40</v>
      </c>
      <c r="E171" s="188" t="s">
        <v>29</v>
      </c>
      <c r="F171" s="37" t="s">
        <v>59</v>
      </c>
      <c r="G171" s="188" t="s">
        <v>33</v>
      </c>
      <c r="H171" s="188">
        <v>2</v>
      </c>
      <c r="I171" s="188">
        <f t="shared" si="12"/>
        <v>-6.3199686140800182</v>
      </c>
      <c r="J171" s="188">
        <v>0.20928449536456342</v>
      </c>
      <c r="K171" s="188" t="s">
        <v>31</v>
      </c>
      <c r="L171" s="188" t="s">
        <v>31</v>
      </c>
      <c r="M171" s="188" t="s">
        <v>31</v>
      </c>
      <c r="O171" s="379" t="s">
        <v>857</v>
      </c>
      <c r="P171" s="107">
        <v>1.8</v>
      </c>
      <c r="Q171" s="188" t="s">
        <v>275</v>
      </c>
      <c r="R171" s="188">
        <f t="shared" ref="R171:R173" si="13">0.001*P171</f>
        <v>1.8000000000000002E-3</v>
      </c>
    </row>
    <row r="172" spans="1:18" ht="14.45">
      <c r="A172" s="323" t="s">
        <v>844</v>
      </c>
      <c r="B172" s="188">
        <f>R172</f>
        <v>5.79E-2</v>
      </c>
      <c r="C172" s="188" t="s">
        <v>37</v>
      </c>
      <c r="D172" s="188" t="s">
        <v>40</v>
      </c>
      <c r="E172" s="188" t="s">
        <v>29</v>
      </c>
      <c r="F172" s="37" t="s">
        <v>74</v>
      </c>
      <c r="G172" s="188" t="s">
        <v>33</v>
      </c>
      <c r="H172" s="188">
        <v>2</v>
      </c>
      <c r="I172" s="188">
        <f t="shared" si="12"/>
        <v>-2.8490378944031876</v>
      </c>
      <c r="J172" s="188">
        <v>0.20928449536456342</v>
      </c>
      <c r="K172" s="188" t="s">
        <v>31</v>
      </c>
      <c r="L172" s="188" t="s">
        <v>31</v>
      </c>
      <c r="M172" s="188" t="s">
        <v>31</v>
      </c>
      <c r="O172" s="379" t="s">
        <v>857</v>
      </c>
      <c r="P172" s="107">
        <v>57.9</v>
      </c>
      <c r="Q172" s="188" t="s">
        <v>275</v>
      </c>
      <c r="R172" s="188">
        <f t="shared" si="13"/>
        <v>5.79E-2</v>
      </c>
    </row>
    <row r="173" spans="1:18" ht="14.45">
      <c r="A173" s="188" t="s">
        <v>829</v>
      </c>
      <c r="B173" s="188">
        <f>R173</f>
        <v>1.3599999999999999E-2</v>
      </c>
      <c r="C173" s="188" t="s">
        <v>37</v>
      </c>
      <c r="D173" s="386" t="s">
        <v>2</v>
      </c>
      <c r="E173" s="188" t="s">
        <v>29</v>
      </c>
      <c r="F173" s="37" t="s">
        <v>74</v>
      </c>
      <c r="G173" s="188" t="s">
        <v>33</v>
      </c>
      <c r="H173" s="188">
        <v>2</v>
      </c>
      <c r="I173" s="188">
        <f t="shared" si="12"/>
        <v>-4.2976854862401304</v>
      </c>
      <c r="J173" s="188">
        <v>0.20928449536456342</v>
      </c>
      <c r="K173" s="188" t="s">
        <v>31</v>
      </c>
      <c r="L173" s="188" t="s">
        <v>31</v>
      </c>
      <c r="M173" s="188" t="s">
        <v>31</v>
      </c>
      <c r="O173" s="425" t="s">
        <v>857</v>
      </c>
      <c r="P173" s="123">
        <v>13.6</v>
      </c>
      <c r="Q173" s="188" t="s">
        <v>275</v>
      </c>
      <c r="R173" s="188">
        <f t="shared" si="13"/>
        <v>1.3599999999999999E-2</v>
      </c>
    </row>
    <row r="174" spans="1:18" s="330" customFormat="1">
      <c r="A174" s="347" t="s">
        <v>5</v>
      </c>
      <c r="B174" s="348" t="s">
        <v>1331</v>
      </c>
      <c r="C174" s="349"/>
    </row>
    <row r="175" spans="1:18">
      <c r="A175" s="323" t="s">
        <v>7</v>
      </c>
      <c r="B175" s="188" t="s">
        <v>831</v>
      </c>
      <c r="C175" s="322"/>
    </row>
    <row r="176" spans="1:18">
      <c r="A176" s="402" t="s">
        <v>9</v>
      </c>
      <c r="B176" s="188" t="s">
        <v>1332</v>
      </c>
      <c r="C176" s="322"/>
    </row>
    <row r="177" spans="1:18" ht="15.75" customHeight="1">
      <c r="A177" s="323" t="s">
        <v>11</v>
      </c>
      <c r="B177" s="324" t="s">
        <v>841</v>
      </c>
    </row>
    <row r="178" spans="1:18">
      <c r="A178" s="323" t="s">
        <v>13</v>
      </c>
      <c r="B178" s="188" t="s">
        <v>14</v>
      </c>
    </row>
    <row r="179" spans="1:18">
      <c r="A179" s="323" t="s">
        <v>15</v>
      </c>
      <c r="B179" s="403">
        <f>B184</f>
        <v>0.14000000000000001</v>
      </c>
    </row>
    <row r="180" spans="1:18">
      <c r="A180" s="323" t="s">
        <v>16</v>
      </c>
      <c r="B180" s="188" t="s">
        <v>17</v>
      </c>
    </row>
    <row r="181" spans="1:18">
      <c r="A181" s="323" t="s">
        <v>18</v>
      </c>
      <c r="B181" s="188" t="s">
        <v>853</v>
      </c>
    </row>
    <row r="182" spans="1:18">
      <c r="A182" s="320" t="s">
        <v>19</v>
      </c>
    </row>
    <row r="183" spans="1:18">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row>
    <row r="184" spans="1:18">
      <c r="A184" s="192" t="s">
        <v>1331</v>
      </c>
      <c r="B184" s="477">
        <v>0.14000000000000001</v>
      </c>
      <c r="C184" s="188" t="s">
        <v>853</v>
      </c>
      <c r="D184" s="386" t="s">
        <v>2</v>
      </c>
      <c r="E184" s="188" t="s">
        <v>29</v>
      </c>
      <c r="F184" s="37" t="s">
        <v>14</v>
      </c>
      <c r="G184" s="188" t="s">
        <v>30</v>
      </c>
      <c r="H184" s="188">
        <v>1</v>
      </c>
      <c r="I184" s="393">
        <f>B184</f>
        <v>0.14000000000000001</v>
      </c>
      <c r="J184" s="188" t="s">
        <v>31</v>
      </c>
      <c r="K184" s="188" t="s">
        <v>31</v>
      </c>
      <c r="L184" s="188" t="s">
        <v>31</v>
      </c>
      <c r="M184" s="188" t="s">
        <v>31</v>
      </c>
    </row>
    <row r="185" spans="1:18">
      <c r="A185" s="188" t="s">
        <v>1333</v>
      </c>
      <c r="B185" s="478">
        <v>0.14000000000000001</v>
      </c>
      <c r="C185" s="188" t="s">
        <v>853</v>
      </c>
      <c r="D185" s="386" t="s">
        <v>2</v>
      </c>
      <c r="E185" s="188" t="s">
        <v>29</v>
      </c>
      <c r="F185" s="37" t="s">
        <v>14</v>
      </c>
      <c r="G185" s="188" t="s">
        <v>33</v>
      </c>
      <c r="H185" s="188">
        <v>1</v>
      </c>
      <c r="I185" s="393">
        <f>B185</f>
        <v>0.14000000000000001</v>
      </c>
      <c r="J185" s="188" t="s">
        <v>31</v>
      </c>
      <c r="K185" s="188" t="s">
        <v>31</v>
      </c>
      <c r="L185" s="188" t="s">
        <v>31</v>
      </c>
      <c r="M185" s="188" t="s">
        <v>31</v>
      </c>
    </row>
    <row r="186" spans="1:18">
      <c r="A186" s="323" t="s">
        <v>265</v>
      </c>
      <c r="B186" s="327">
        <f>P186</f>
        <v>7.6899999999999995</v>
      </c>
      <c r="C186" s="188" t="s">
        <v>39</v>
      </c>
      <c r="D186" s="188" t="s">
        <v>40</v>
      </c>
      <c r="E186" s="188" t="s">
        <v>29</v>
      </c>
      <c r="F186" s="37" t="s">
        <v>35</v>
      </c>
      <c r="G186" s="188" t="s">
        <v>33</v>
      </c>
      <c r="H186" s="188">
        <v>2</v>
      </c>
      <c r="I186" s="188">
        <f t="shared" ref="I186:I187" si="14">LN(B186)</f>
        <v>2.0399207835175526</v>
      </c>
      <c r="J186" s="188">
        <v>0.20928449536456342</v>
      </c>
      <c r="K186" s="188" t="s">
        <v>31</v>
      </c>
      <c r="L186" s="188" t="s">
        <v>31</v>
      </c>
      <c r="M186" s="188" t="s">
        <v>31</v>
      </c>
      <c r="O186" s="379" t="s">
        <v>271</v>
      </c>
      <c r="P186" s="392">
        <f>5.16+2.53</f>
        <v>7.6899999999999995</v>
      </c>
    </row>
    <row r="187" spans="1:18" ht="14.45">
      <c r="A187" s="323" t="s">
        <v>844</v>
      </c>
      <c r="B187" s="188">
        <f>R187</f>
        <v>1.6300000000000002E-2</v>
      </c>
      <c r="C187" s="188" t="s">
        <v>37</v>
      </c>
      <c r="D187" s="188" t="s">
        <v>40</v>
      </c>
      <c r="E187" s="188" t="s">
        <v>29</v>
      </c>
      <c r="F187" s="37" t="s">
        <v>74</v>
      </c>
      <c r="G187" s="188" t="s">
        <v>33</v>
      </c>
      <c r="H187" s="188">
        <v>2</v>
      </c>
      <c r="I187" s="188">
        <f t="shared" si="14"/>
        <v>-4.1165901711694204</v>
      </c>
      <c r="J187" s="188">
        <v>0.20928449536456342</v>
      </c>
      <c r="K187" s="188" t="s">
        <v>31</v>
      </c>
      <c r="L187" s="188" t="s">
        <v>31</v>
      </c>
      <c r="M187" s="188" t="s">
        <v>31</v>
      </c>
      <c r="O187" s="379" t="s">
        <v>857</v>
      </c>
      <c r="P187" s="107">
        <v>16.3</v>
      </c>
      <c r="Q187" s="188" t="s">
        <v>275</v>
      </c>
      <c r="R187" s="188">
        <f>P187*0.001</f>
        <v>1.6300000000000002E-2</v>
      </c>
    </row>
    <row r="188" spans="1:18" ht="14.45">
      <c r="A188" s="84" t="s">
        <v>987</v>
      </c>
      <c r="B188" s="188">
        <f>R188</f>
        <v>1.9899999999999998E-2</v>
      </c>
      <c r="C188" s="188" t="s">
        <v>37</v>
      </c>
      <c r="D188" s="188" t="s">
        <v>40</v>
      </c>
      <c r="E188" s="188" t="s">
        <v>29</v>
      </c>
      <c r="F188" s="188" t="s">
        <v>35</v>
      </c>
      <c r="G188" s="188" t="s">
        <v>33</v>
      </c>
      <c r="H188" s="188">
        <v>2</v>
      </c>
      <c r="I188" s="188">
        <f>LN(B188)</f>
        <v>-3.9170355472516905</v>
      </c>
      <c r="J188" s="188">
        <v>0.20928449536456342</v>
      </c>
      <c r="K188" s="188" t="s">
        <v>31</v>
      </c>
      <c r="L188" s="188" t="s">
        <v>31</v>
      </c>
      <c r="M188" s="188" t="s">
        <v>31</v>
      </c>
      <c r="O188" s="379" t="s">
        <v>857</v>
      </c>
      <c r="P188" s="107">
        <v>19.899999999999999</v>
      </c>
      <c r="Q188" s="188" t="s">
        <v>275</v>
      </c>
      <c r="R188" s="188">
        <f>P188*0.001</f>
        <v>1.9899999999999998E-2</v>
      </c>
    </row>
    <row r="189" spans="1:18" ht="14.45">
      <c r="A189" s="188" t="s">
        <v>829</v>
      </c>
      <c r="B189" s="188">
        <f>R189</f>
        <v>1.9899999999999998E-2</v>
      </c>
      <c r="C189" s="188" t="s">
        <v>37</v>
      </c>
      <c r="D189" s="386" t="s">
        <v>2</v>
      </c>
      <c r="E189" s="188" t="s">
        <v>29</v>
      </c>
      <c r="F189" s="37" t="s">
        <v>74</v>
      </c>
      <c r="G189" s="188" t="s">
        <v>33</v>
      </c>
      <c r="H189" s="188">
        <v>2</v>
      </c>
      <c r="I189" s="188">
        <f t="shared" ref="I189" si="15">LN(B189)</f>
        <v>-3.9170355472516905</v>
      </c>
      <c r="J189" s="188">
        <v>0.20928449536456342</v>
      </c>
      <c r="K189" s="188" t="s">
        <v>31</v>
      </c>
      <c r="L189" s="188" t="s">
        <v>31</v>
      </c>
      <c r="M189" s="188" t="s">
        <v>31</v>
      </c>
      <c r="O189" s="425" t="s">
        <v>857</v>
      </c>
      <c r="P189" s="123">
        <v>19.899999999999999</v>
      </c>
      <c r="Q189" s="188" t="s">
        <v>275</v>
      </c>
      <c r="R189" s="188">
        <f t="shared" ref="R189" si="16">0.001*P189</f>
        <v>1.9899999999999998E-2</v>
      </c>
    </row>
    <row r="190" spans="1:18" s="330" customFormat="1">
      <c r="A190" s="347" t="s">
        <v>5</v>
      </c>
      <c r="B190" s="348" t="s">
        <v>1333</v>
      </c>
      <c r="C190" s="349"/>
    </row>
    <row r="191" spans="1:18">
      <c r="A191" s="323" t="s">
        <v>7</v>
      </c>
      <c r="B191" s="188" t="s">
        <v>831</v>
      </c>
      <c r="C191" s="322"/>
    </row>
    <row r="192" spans="1:18">
      <c r="A192" s="402" t="s">
        <v>9</v>
      </c>
      <c r="B192" s="188" t="s">
        <v>1334</v>
      </c>
      <c r="C192" s="322"/>
    </row>
    <row r="193" spans="1:21" ht="15.75" customHeight="1">
      <c r="A193" s="323" t="s">
        <v>11</v>
      </c>
      <c r="B193" s="324" t="s">
        <v>841</v>
      </c>
    </row>
    <row r="194" spans="1:21">
      <c r="A194" s="323" t="s">
        <v>13</v>
      </c>
      <c r="B194" s="188" t="s">
        <v>14</v>
      </c>
      <c r="R194" s="321" t="s">
        <v>937</v>
      </c>
    </row>
    <row r="195" spans="1:21">
      <c r="A195" s="323" t="s">
        <v>15</v>
      </c>
      <c r="B195" s="403">
        <f>B200</f>
        <v>1.47</v>
      </c>
      <c r="R195" s="188" t="s">
        <v>938</v>
      </c>
      <c r="S195" s="188">
        <v>8900</v>
      </c>
      <c r="T195" s="188" t="s">
        <v>939</v>
      </c>
    </row>
    <row r="196" spans="1:21">
      <c r="A196" s="323" t="s">
        <v>16</v>
      </c>
      <c r="B196" s="188" t="s">
        <v>17</v>
      </c>
      <c r="R196" s="188" t="s">
        <v>940</v>
      </c>
      <c r="S196" s="188">
        <f>5*10^-6</f>
        <v>4.9999999999999996E-6</v>
      </c>
      <c r="T196" s="188" t="s">
        <v>941</v>
      </c>
    </row>
    <row r="197" spans="1:21">
      <c r="A197" s="323" t="s">
        <v>18</v>
      </c>
      <c r="B197" s="188" t="s">
        <v>853</v>
      </c>
      <c r="R197" s="405" t="s">
        <v>942</v>
      </c>
      <c r="S197" s="406">
        <f>S196*S195</f>
        <v>4.4499999999999998E-2</v>
      </c>
      <c r="T197" s="407" t="s">
        <v>943</v>
      </c>
    </row>
    <row r="198" spans="1:21">
      <c r="A198" s="320" t="s">
        <v>19</v>
      </c>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R199" s="188" t="s">
        <v>945</v>
      </c>
      <c r="U199" s="388"/>
    </row>
    <row r="200" spans="1:21">
      <c r="A200" s="188" t="s">
        <v>1333</v>
      </c>
      <c r="B200" s="433">
        <v>1.47</v>
      </c>
      <c r="C200" s="188" t="s">
        <v>853</v>
      </c>
      <c r="D200" s="386" t="s">
        <v>2</v>
      </c>
      <c r="E200" s="188" t="s">
        <v>29</v>
      </c>
      <c r="F200" s="188" t="s">
        <v>14</v>
      </c>
      <c r="G200" s="188" t="s">
        <v>30</v>
      </c>
      <c r="H200" s="188">
        <v>1</v>
      </c>
      <c r="I200" s="188">
        <f>B200</f>
        <v>1.47</v>
      </c>
      <c r="J200" s="188" t="s">
        <v>31</v>
      </c>
      <c r="K200" s="188" t="s">
        <v>31</v>
      </c>
      <c r="L200" s="188" t="s">
        <v>31</v>
      </c>
      <c r="M200" s="188" t="s">
        <v>31</v>
      </c>
      <c r="O200" s="427" t="s">
        <v>944</v>
      </c>
      <c r="P200" s="428">
        <f>B200*100</f>
        <v>147</v>
      </c>
      <c r="R200" s="408">
        <v>1.5</v>
      </c>
      <c r="S200" s="409" t="s">
        <v>855</v>
      </c>
      <c r="T200" s="408">
        <f>R200*S197</f>
        <v>6.6750000000000004E-2</v>
      </c>
      <c r="U200" s="409" t="s">
        <v>275</v>
      </c>
    </row>
    <row r="201" spans="1:21">
      <c r="A201" s="188" t="s">
        <v>1335</v>
      </c>
      <c r="B201" s="433">
        <v>1.47</v>
      </c>
      <c r="C201" s="188" t="s">
        <v>853</v>
      </c>
      <c r="D201" s="386" t="s">
        <v>2</v>
      </c>
      <c r="E201" s="188" t="s">
        <v>29</v>
      </c>
      <c r="F201" s="188" t="s">
        <v>14</v>
      </c>
      <c r="G201" s="188" t="s">
        <v>33</v>
      </c>
      <c r="H201" s="188">
        <v>1</v>
      </c>
      <c r="I201" s="188">
        <f t="shared" ref="I201:I202" si="17">B201</f>
        <v>1.47</v>
      </c>
      <c r="J201" s="188">
        <v>7.2284161474004766E-2</v>
      </c>
      <c r="K201" s="188" t="s">
        <v>31</v>
      </c>
      <c r="L201" s="188" t="s">
        <v>31</v>
      </c>
      <c r="M201" s="188" t="s">
        <v>31</v>
      </c>
      <c r="O201" s="379" t="s">
        <v>944</v>
      </c>
      <c r="P201" s="392">
        <f>B201*100</f>
        <v>147</v>
      </c>
    </row>
    <row r="202" spans="1:21">
      <c r="A202" s="192" t="s">
        <v>1288</v>
      </c>
      <c r="B202" s="398">
        <f>T200</f>
        <v>6.6750000000000004E-2</v>
      </c>
      <c r="C202" s="188" t="s">
        <v>37</v>
      </c>
      <c r="D202" s="386" t="s">
        <v>2</v>
      </c>
      <c r="E202" s="188" t="s">
        <v>29</v>
      </c>
      <c r="F202" s="37" t="s">
        <v>14</v>
      </c>
      <c r="G202" s="188" t="s">
        <v>33</v>
      </c>
      <c r="H202" s="188">
        <v>1</v>
      </c>
      <c r="I202" s="188">
        <f t="shared" si="17"/>
        <v>6.6750000000000004E-2</v>
      </c>
      <c r="J202" s="188">
        <v>7.2284161474004766E-2</v>
      </c>
      <c r="K202" s="188" t="s">
        <v>31</v>
      </c>
      <c r="L202" s="188" t="s">
        <v>31</v>
      </c>
      <c r="M202" s="188" t="s">
        <v>31</v>
      </c>
      <c r="O202" s="192"/>
      <c r="P202" s="399"/>
    </row>
    <row r="203" spans="1:21" ht="14.45">
      <c r="A203" s="323" t="s">
        <v>844</v>
      </c>
      <c r="B203" s="188">
        <f>P203</f>
        <v>12</v>
      </c>
      <c r="C203" s="188" t="s">
        <v>37</v>
      </c>
      <c r="D203" s="188" t="s">
        <v>40</v>
      </c>
      <c r="E203" s="188" t="s">
        <v>29</v>
      </c>
      <c r="F203" s="37" t="s">
        <v>74</v>
      </c>
      <c r="G203" s="188" t="s">
        <v>33</v>
      </c>
      <c r="H203" s="188">
        <v>2</v>
      </c>
      <c r="I203" s="188">
        <f t="shared" ref="I203" si="18">LN(B203)</f>
        <v>2.4849066497880004</v>
      </c>
      <c r="J203" s="188">
        <v>7.2284161474004766E-2</v>
      </c>
      <c r="K203" s="188" t="s">
        <v>31</v>
      </c>
      <c r="L203" s="188" t="s">
        <v>31</v>
      </c>
      <c r="M203" s="188" t="s">
        <v>31</v>
      </c>
      <c r="O203" s="379" t="s">
        <v>275</v>
      </c>
      <c r="P203" s="107">
        <v>12</v>
      </c>
    </row>
    <row r="204" spans="1:21" ht="14.45">
      <c r="A204" s="84" t="s">
        <v>924</v>
      </c>
      <c r="B204" s="429">
        <f>R204</f>
        <v>5.9999999999999997E-7</v>
      </c>
      <c r="C204" s="188" t="s">
        <v>37</v>
      </c>
      <c r="D204" s="188" t="s">
        <v>40</v>
      </c>
      <c r="E204" s="188" t="s">
        <v>29</v>
      </c>
      <c r="F204" s="37" t="s">
        <v>59</v>
      </c>
      <c r="G204" s="188" t="s">
        <v>33</v>
      </c>
      <c r="H204" s="188">
        <v>2</v>
      </c>
      <c r="I204" s="188">
        <f>LN(B204)</f>
        <v>-14.326336181730264</v>
      </c>
      <c r="J204" s="188">
        <v>7.2284161474004766E-2</v>
      </c>
      <c r="K204" s="188" t="s">
        <v>31</v>
      </c>
      <c r="L204" s="188" t="s">
        <v>31</v>
      </c>
      <c r="M204" s="188" t="s">
        <v>31</v>
      </c>
      <c r="O204" s="394" t="s">
        <v>862</v>
      </c>
      <c r="P204" s="145">
        <v>0.6</v>
      </c>
      <c r="Q204" s="188" t="s">
        <v>275</v>
      </c>
      <c r="R204" s="188">
        <f>0.000001*P204</f>
        <v>5.9999999999999997E-7</v>
      </c>
    </row>
    <row r="205" spans="1:21" ht="14.45">
      <c r="A205" s="84" t="s">
        <v>76</v>
      </c>
      <c r="B205" s="429">
        <f>R205</f>
        <v>1.2E-2</v>
      </c>
      <c r="C205" s="188" t="s">
        <v>42</v>
      </c>
      <c r="D205" s="188" t="s">
        <v>40</v>
      </c>
      <c r="E205" s="188" t="s">
        <v>29</v>
      </c>
      <c r="F205" s="37" t="s">
        <v>74</v>
      </c>
      <c r="G205" s="188" t="s">
        <v>33</v>
      </c>
      <c r="H205" s="188">
        <v>2</v>
      </c>
      <c r="I205" s="188">
        <f t="shared" ref="I205" si="19">LN(B205)</f>
        <v>-4.4228486291941369</v>
      </c>
      <c r="J205" s="188">
        <v>7.2284161474004766E-2</v>
      </c>
      <c r="K205" s="188" t="s">
        <v>31</v>
      </c>
      <c r="L205" s="188" t="s">
        <v>31</v>
      </c>
      <c r="M205" s="188" t="s">
        <v>31</v>
      </c>
      <c r="O205" s="396" t="s">
        <v>913</v>
      </c>
      <c r="P205" s="123">
        <v>12</v>
      </c>
      <c r="Q205" s="188" t="s">
        <v>274</v>
      </c>
      <c r="R205" s="188">
        <f>0.001*P205</f>
        <v>1.2E-2</v>
      </c>
    </row>
    <row r="206" spans="1:21" s="330" customFormat="1">
      <c r="A206" s="347" t="s">
        <v>5</v>
      </c>
      <c r="B206" s="348" t="s">
        <v>1335</v>
      </c>
      <c r="C206" s="349"/>
    </row>
    <row r="207" spans="1:21">
      <c r="A207" s="323" t="s">
        <v>7</v>
      </c>
      <c r="B207" s="188" t="s">
        <v>831</v>
      </c>
      <c r="C207" s="322"/>
    </row>
    <row r="208" spans="1:21">
      <c r="A208" s="402" t="s">
        <v>9</v>
      </c>
      <c r="B208" s="188" t="s">
        <v>1336</v>
      </c>
      <c r="C208" s="322"/>
    </row>
    <row r="209" spans="1:19" ht="15.75" customHeight="1">
      <c r="A209" s="323" t="s">
        <v>11</v>
      </c>
      <c r="B209" s="324" t="s">
        <v>841</v>
      </c>
    </row>
    <row r="210" spans="1:19">
      <c r="A210" s="323" t="s">
        <v>13</v>
      </c>
      <c r="B210" s="188" t="s">
        <v>14</v>
      </c>
    </row>
    <row r="211" spans="1:19">
      <c r="A211" s="323" t="s">
        <v>15</v>
      </c>
      <c r="B211" s="403">
        <f>B216</f>
        <v>1.47</v>
      </c>
    </row>
    <row r="212" spans="1:19">
      <c r="A212" s="323" t="s">
        <v>16</v>
      </c>
      <c r="B212" s="188" t="s">
        <v>17</v>
      </c>
    </row>
    <row r="213" spans="1:19">
      <c r="A213" s="323" t="s">
        <v>18</v>
      </c>
      <c r="B213" s="188" t="s">
        <v>853</v>
      </c>
      <c r="S213" s="393"/>
    </row>
    <row r="214" spans="1:19">
      <c r="A214" s="320" t="s">
        <v>19</v>
      </c>
    </row>
    <row r="215" spans="1:19">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row>
    <row r="216" spans="1:19">
      <c r="A216" s="188" t="s">
        <v>1335</v>
      </c>
      <c r="B216" s="393">
        <f>P216</f>
        <v>1.47</v>
      </c>
      <c r="C216" s="188" t="s">
        <v>853</v>
      </c>
      <c r="D216" s="386" t="s">
        <v>2</v>
      </c>
      <c r="E216" s="188" t="s">
        <v>29</v>
      </c>
      <c r="F216" s="188" t="s">
        <v>14</v>
      </c>
      <c r="G216" s="188" t="s">
        <v>30</v>
      </c>
      <c r="H216" s="188">
        <v>1</v>
      </c>
      <c r="I216" s="393">
        <f>B216</f>
        <v>1.47</v>
      </c>
      <c r="J216" s="188" t="s">
        <v>31</v>
      </c>
      <c r="K216" s="188" t="s">
        <v>31</v>
      </c>
      <c r="L216" s="188" t="s">
        <v>31</v>
      </c>
      <c r="M216" s="188" t="s">
        <v>31</v>
      </c>
      <c r="O216" s="379" t="s">
        <v>855</v>
      </c>
      <c r="P216" s="433">
        <v>1.47</v>
      </c>
    </row>
    <row r="217" spans="1:19">
      <c r="A217" s="188" t="s">
        <v>1291</v>
      </c>
      <c r="B217" s="393">
        <f>'2D. Reusable'!B68</f>
        <v>0.27</v>
      </c>
      <c r="C217" s="188" t="s">
        <v>37</v>
      </c>
      <c r="D217" s="386" t="s">
        <v>2</v>
      </c>
      <c r="E217" s="188" t="s">
        <v>29</v>
      </c>
      <c r="F217" s="188" t="s">
        <v>14</v>
      </c>
      <c r="G217" s="188" t="s">
        <v>33</v>
      </c>
      <c r="H217" s="188">
        <v>1</v>
      </c>
      <c r="I217" s="393">
        <f>B217</f>
        <v>0.27</v>
      </c>
      <c r="J217" s="188" t="s">
        <v>31</v>
      </c>
      <c r="K217" s="188" t="s">
        <v>31</v>
      </c>
      <c r="L217" s="188" t="s">
        <v>31</v>
      </c>
      <c r="M217" s="188" t="s">
        <v>31</v>
      </c>
      <c r="O217" s="410"/>
      <c r="P217" s="433">
        <v>1.47</v>
      </c>
      <c r="Q217" s="188" t="s">
        <v>1100</v>
      </c>
    </row>
    <row r="218" spans="1:19" ht="14.45">
      <c r="A218" s="323" t="s">
        <v>265</v>
      </c>
      <c r="B218" s="327">
        <f>P218</f>
        <v>0.65</v>
      </c>
      <c r="C218" s="188" t="s">
        <v>39</v>
      </c>
      <c r="D218" s="188" t="s">
        <v>40</v>
      </c>
      <c r="E218" s="188" t="s">
        <v>29</v>
      </c>
      <c r="F218" s="37" t="s">
        <v>35</v>
      </c>
      <c r="G218" s="188" t="s">
        <v>33</v>
      </c>
      <c r="H218" s="188">
        <v>2</v>
      </c>
      <c r="I218" s="188">
        <f t="shared" ref="I218:I219" si="20">LN(B218)</f>
        <v>-0.43078291609245423</v>
      </c>
      <c r="J218" s="188">
        <v>7.2284161474004766E-2</v>
      </c>
      <c r="K218" s="188" t="s">
        <v>31</v>
      </c>
      <c r="L218" s="188" t="s">
        <v>31</v>
      </c>
      <c r="M218" s="188" t="s">
        <v>31</v>
      </c>
      <c r="O218" s="379" t="s">
        <v>271</v>
      </c>
      <c r="P218" s="107">
        <v>0.65</v>
      </c>
    </row>
    <row r="219" spans="1:19" ht="14.45">
      <c r="A219" s="84" t="s">
        <v>491</v>
      </c>
      <c r="B219" s="188">
        <f>R219</f>
        <v>1.4999999999999999E-2</v>
      </c>
      <c r="C219" s="393" t="s">
        <v>37</v>
      </c>
      <c r="D219" s="188" t="s">
        <v>40</v>
      </c>
      <c r="E219" s="188" t="s">
        <v>29</v>
      </c>
      <c r="F219" s="188" t="s">
        <v>59</v>
      </c>
      <c r="G219" s="188" t="s">
        <v>33</v>
      </c>
      <c r="H219" s="188">
        <v>2</v>
      </c>
      <c r="I219" s="188">
        <f t="shared" si="20"/>
        <v>-4.1997050778799272</v>
      </c>
      <c r="J219" s="188">
        <v>7.2284161474004766E-2</v>
      </c>
      <c r="K219" s="188" t="s">
        <v>31</v>
      </c>
      <c r="L219" s="188" t="s">
        <v>31</v>
      </c>
      <c r="M219" s="188" t="s">
        <v>31</v>
      </c>
      <c r="O219" s="379" t="s">
        <v>857</v>
      </c>
      <c r="P219" s="107">
        <v>15</v>
      </c>
      <c r="Q219" s="188" t="s">
        <v>275</v>
      </c>
      <c r="R219" s="188">
        <f>P219*0.001</f>
        <v>1.4999999999999999E-2</v>
      </c>
    </row>
    <row r="220" spans="1:19" ht="14.45">
      <c r="A220" s="116" t="s">
        <v>921</v>
      </c>
      <c r="B220" s="188">
        <f t="shared" ref="B220:B221" si="21">R220</f>
        <v>2.8000000000000001E-2</v>
      </c>
      <c r="C220" s="188" t="s">
        <v>37</v>
      </c>
      <c r="D220" s="188" t="s">
        <v>40</v>
      </c>
      <c r="E220" s="188" t="s">
        <v>29</v>
      </c>
      <c r="F220" s="37" t="s">
        <v>35</v>
      </c>
      <c r="G220" s="188" t="s">
        <v>33</v>
      </c>
      <c r="H220" s="188">
        <v>2</v>
      </c>
      <c r="I220" s="188">
        <f>LN(B220)</f>
        <v>-3.575550768806933</v>
      </c>
      <c r="J220" s="188">
        <v>7.2284161474004766E-2</v>
      </c>
      <c r="K220" s="188" t="s">
        <v>31</v>
      </c>
      <c r="L220" s="188" t="s">
        <v>31</v>
      </c>
      <c r="M220" s="188" t="s">
        <v>31</v>
      </c>
      <c r="O220" s="379" t="s">
        <v>857</v>
      </c>
      <c r="P220" s="107">
        <v>28</v>
      </c>
      <c r="Q220" s="188" t="s">
        <v>275</v>
      </c>
      <c r="R220" s="188">
        <f>P220*0.001</f>
        <v>2.8000000000000001E-2</v>
      </c>
    </row>
    <row r="221" spans="1:19" ht="14.45">
      <c r="A221" s="323" t="s">
        <v>844</v>
      </c>
      <c r="B221" s="188">
        <f t="shared" si="21"/>
        <v>24.7</v>
      </c>
      <c r="C221" s="188" t="s">
        <v>37</v>
      </c>
      <c r="D221" s="188" t="s">
        <v>40</v>
      </c>
      <c r="E221" s="188" t="s">
        <v>29</v>
      </c>
      <c r="F221" s="37" t="s">
        <v>74</v>
      </c>
      <c r="G221" s="188" t="s">
        <v>33</v>
      </c>
      <c r="H221" s="188">
        <v>2</v>
      </c>
      <c r="I221" s="188">
        <f t="shared" ref="I221:I222" si="22">LN(B221)</f>
        <v>3.2068032436339315</v>
      </c>
      <c r="J221" s="188">
        <v>7.2284161474004766E-2</v>
      </c>
      <c r="K221" s="188" t="s">
        <v>31</v>
      </c>
      <c r="L221" s="188" t="s">
        <v>31</v>
      </c>
      <c r="M221" s="188" t="s">
        <v>31</v>
      </c>
      <c r="O221" s="379" t="s">
        <v>275</v>
      </c>
      <c r="P221" s="107">
        <v>24.7</v>
      </c>
      <c r="Q221" s="188" t="s">
        <v>275</v>
      </c>
      <c r="R221" s="188">
        <f>P221</f>
        <v>24.7</v>
      </c>
    </row>
    <row r="222" spans="1:19" ht="14.45">
      <c r="A222" s="84" t="s">
        <v>76</v>
      </c>
      <c r="B222" s="188">
        <f>R222</f>
        <v>2.47E-2</v>
      </c>
      <c r="C222" s="188" t="s">
        <v>42</v>
      </c>
      <c r="D222" s="188" t="s">
        <v>40</v>
      </c>
      <c r="E222" s="188" t="s">
        <v>29</v>
      </c>
      <c r="F222" s="37" t="s">
        <v>74</v>
      </c>
      <c r="G222" s="188" t="s">
        <v>33</v>
      </c>
      <c r="H222" s="188">
        <v>2</v>
      </c>
      <c r="I222" s="188">
        <f t="shared" si="22"/>
        <v>-3.7009520353482057</v>
      </c>
      <c r="J222" s="188">
        <v>7.2284161474004766E-2</v>
      </c>
      <c r="K222" s="188" t="s">
        <v>31</v>
      </c>
      <c r="L222" s="188" t="s">
        <v>31</v>
      </c>
      <c r="M222" s="188" t="s">
        <v>31</v>
      </c>
      <c r="O222" s="396" t="s">
        <v>913</v>
      </c>
      <c r="P222" s="123">
        <v>24.7</v>
      </c>
      <c r="Q222" s="188" t="s">
        <v>274</v>
      </c>
      <c r="R222" s="188">
        <f>0.001*P222</f>
        <v>2.47E-2</v>
      </c>
    </row>
    <row r="223" spans="1:19" s="330" customFormat="1">
      <c r="A223" s="347" t="s">
        <v>5</v>
      </c>
      <c r="B223" s="424" t="s">
        <v>1328</v>
      </c>
      <c r="C223" s="349"/>
      <c r="P223" s="188"/>
    </row>
    <row r="224" spans="1:19">
      <c r="A224" s="323" t="s">
        <v>7</v>
      </c>
      <c r="B224" s="188" t="s">
        <v>831</v>
      </c>
      <c r="C224" s="322"/>
    </row>
    <row r="225" spans="1:16">
      <c r="A225" s="402" t="s">
        <v>9</v>
      </c>
      <c r="B225" s="188" t="s">
        <v>1337</v>
      </c>
      <c r="C225" s="322"/>
    </row>
    <row r="226" spans="1:16" ht="15.75" customHeight="1">
      <c r="A226" s="323" t="s">
        <v>11</v>
      </c>
      <c r="B226" s="324" t="s">
        <v>841</v>
      </c>
    </row>
    <row r="227" spans="1:16">
      <c r="A227" s="323" t="s">
        <v>13</v>
      </c>
      <c r="B227" s="188" t="s">
        <v>14</v>
      </c>
    </row>
    <row r="228" spans="1:16">
      <c r="A228" s="323" t="s">
        <v>15</v>
      </c>
      <c r="B228" s="403">
        <f>B233</f>
        <v>4.2000000000000003E-2</v>
      </c>
    </row>
    <row r="229" spans="1:16">
      <c r="A229" s="323" t="s">
        <v>16</v>
      </c>
      <c r="B229" s="188" t="s">
        <v>17</v>
      </c>
    </row>
    <row r="230" spans="1:16">
      <c r="A230" s="323" t="s">
        <v>18</v>
      </c>
      <c r="B230" s="188" t="s">
        <v>853</v>
      </c>
    </row>
    <row r="231" spans="1:16">
      <c r="A231" s="320" t="s">
        <v>19</v>
      </c>
    </row>
    <row r="232" spans="1:16">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row>
    <row r="233" spans="1:16">
      <c r="A233" s="188" t="s">
        <v>1328</v>
      </c>
      <c r="B233" s="393">
        <f>P233</f>
        <v>4.2000000000000003E-2</v>
      </c>
      <c r="C233" s="188" t="s">
        <v>853</v>
      </c>
      <c r="D233" s="386" t="s">
        <v>2</v>
      </c>
      <c r="E233" s="188" t="s">
        <v>29</v>
      </c>
      <c r="F233" s="37" t="s">
        <v>14</v>
      </c>
      <c r="G233" s="188" t="s">
        <v>30</v>
      </c>
      <c r="H233" s="188">
        <v>1</v>
      </c>
      <c r="I233" s="393">
        <f t="shared" ref="I233:I235" si="23">B233</f>
        <v>4.2000000000000003E-2</v>
      </c>
      <c r="J233" s="188" t="s">
        <v>31</v>
      </c>
      <c r="K233" s="188" t="s">
        <v>31</v>
      </c>
      <c r="L233" s="188" t="s">
        <v>31</v>
      </c>
      <c r="M233" s="188" t="s">
        <v>31</v>
      </c>
      <c r="O233" s="449" t="s">
        <v>873</v>
      </c>
      <c r="P233" s="447">
        <v>4.2000000000000003E-2</v>
      </c>
    </row>
    <row r="234" spans="1:16">
      <c r="A234" s="188" t="s">
        <v>1338</v>
      </c>
      <c r="B234" s="393">
        <f>B254</f>
        <v>4.2000000000000003E-2</v>
      </c>
      <c r="C234" s="188" t="s">
        <v>853</v>
      </c>
      <c r="D234" s="386" t="s">
        <v>2</v>
      </c>
      <c r="E234" s="188" t="s">
        <v>29</v>
      </c>
      <c r="F234" s="37" t="s">
        <v>14</v>
      </c>
      <c r="G234" s="188" t="s">
        <v>33</v>
      </c>
      <c r="H234" s="188">
        <v>1</v>
      </c>
      <c r="I234" s="393">
        <f t="shared" si="23"/>
        <v>4.2000000000000003E-2</v>
      </c>
      <c r="J234" s="188" t="s">
        <v>31</v>
      </c>
      <c r="K234" s="188" t="s">
        <v>31</v>
      </c>
      <c r="L234" s="188" t="s">
        <v>31</v>
      </c>
      <c r="M234" s="188" t="s">
        <v>31</v>
      </c>
      <c r="O234" s="449" t="s">
        <v>873</v>
      </c>
      <c r="P234" s="450"/>
    </row>
    <row r="235" spans="1:16">
      <c r="A235" s="188" t="s">
        <v>1339</v>
      </c>
      <c r="B235" s="393">
        <f>B242</f>
        <v>7.340000000000001E-3</v>
      </c>
      <c r="C235" s="188" t="s">
        <v>853</v>
      </c>
      <c r="D235" s="386" t="s">
        <v>2</v>
      </c>
      <c r="E235" s="188" t="s">
        <v>29</v>
      </c>
      <c r="F235" s="37" t="s">
        <v>14</v>
      </c>
      <c r="G235" s="188" t="s">
        <v>33</v>
      </c>
      <c r="H235" s="188">
        <v>1</v>
      </c>
      <c r="I235" s="393">
        <f t="shared" si="23"/>
        <v>7.340000000000001E-3</v>
      </c>
      <c r="J235" s="188" t="s">
        <v>31</v>
      </c>
      <c r="K235" s="188" t="s">
        <v>31</v>
      </c>
      <c r="L235" s="188" t="s">
        <v>31</v>
      </c>
      <c r="M235" s="188" t="s">
        <v>31</v>
      </c>
      <c r="O235" s="378" t="s">
        <v>873</v>
      </c>
      <c r="P235" s="447"/>
    </row>
    <row r="236" spans="1:16" ht="14.45">
      <c r="A236" s="323" t="s">
        <v>265</v>
      </c>
      <c r="B236" s="393">
        <f>P236</f>
        <v>1.02</v>
      </c>
      <c r="C236" s="188" t="s">
        <v>39</v>
      </c>
      <c r="D236" s="188" t="s">
        <v>40</v>
      </c>
      <c r="E236" s="188" t="s">
        <v>29</v>
      </c>
      <c r="F236" s="37" t="s">
        <v>35</v>
      </c>
      <c r="G236" s="188" t="s">
        <v>33</v>
      </c>
      <c r="H236" s="188">
        <v>2</v>
      </c>
      <c r="I236" s="188">
        <f t="shared" ref="I236" si="24">LN(B236)</f>
        <v>1.980262729617973E-2</v>
      </c>
      <c r="J236" s="188">
        <v>0.20928449536456342</v>
      </c>
      <c r="K236" s="188" t="s">
        <v>31</v>
      </c>
      <c r="L236" s="188" t="s">
        <v>31</v>
      </c>
      <c r="M236" s="188" t="s">
        <v>31</v>
      </c>
      <c r="O236" s="379" t="s">
        <v>271</v>
      </c>
      <c r="P236" s="107">
        <v>1.02</v>
      </c>
    </row>
    <row r="237" spans="1:16" s="330" customFormat="1">
      <c r="A237" s="347" t="s">
        <v>5</v>
      </c>
      <c r="B237" s="424" t="s">
        <v>1339</v>
      </c>
      <c r="C237" s="349"/>
    </row>
    <row r="238" spans="1:16">
      <c r="A238" s="323" t="s">
        <v>7</v>
      </c>
      <c r="B238" s="188" t="s">
        <v>831</v>
      </c>
      <c r="C238" s="322"/>
    </row>
    <row r="239" spans="1:16">
      <c r="A239" s="402" t="s">
        <v>9</v>
      </c>
      <c r="B239" s="188" t="s">
        <v>1340</v>
      </c>
      <c r="C239" s="322"/>
    </row>
    <row r="240" spans="1:16" ht="15.75" customHeight="1">
      <c r="A240" s="323" t="s">
        <v>11</v>
      </c>
      <c r="B240" s="324" t="s">
        <v>841</v>
      </c>
    </row>
    <row r="241" spans="1:19">
      <c r="A241" s="323" t="s">
        <v>13</v>
      </c>
      <c r="B241" s="188" t="s">
        <v>14</v>
      </c>
    </row>
    <row r="242" spans="1:19">
      <c r="A242" s="323" t="s">
        <v>15</v>
      </c>
      <c r="B242" s="393">
        <f>B247</f>
        <v>7.340000000000001E-3</v>
      </c>
    </row>
    <row r="243" spans="1:19">
      <c r="A243" s="323" t="s">
        <v>16</v>
      </c>
      <c r="B243" s="188" t="s">
        <v>17</v>
      </c>
    </row>
    <row r="244" spans="1:19">
      <c r="A244" s="323" t="s">
        <v>18</v>
      </c>
      <c r="B244" s="188" t="s">
        <v>853</v>
      </c>
    </row>
    <row r="245" spans="1:19">
      <c r="A245" s="320" t="s">
        <v>19</v>
      </c>
    </row>
    <row r="246" spans="1:19">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row>
    <row r="247" spans="1:19">
      <c r="A247" s="188" t="s">
        <v>1339</v>
      </c>
      <c r="B247" s="393">
        <f>S247</f>
        <v>7.340000000000001E-3</v>
      </c>
      <c r="C247" s="188" t="s">
        <v>853</v>
      </c>
      <c r="D247" s="386" t="s">
        <v>2</v>
      </c>
      <c r="E247" s="188" t="s">
        <v>29</v>
      </c>
      <c r="F247" s="37" t="s">
        <v>14</v>
      </c>
      <c r="G247" s="188" t="s">
        <v>30</v>
      </c>
      <c r="H247" s="188">
        <v>1</v>
      </c>
      <c r="I247" s="393">
        <f>B247</f>
        <v>7.340000000000001E-3</v>
      </c>
      <c r="J247" s="188" t="s">
        <v>31</v>
      </c>
      <c r="K247" s="188" t="s">
        <v>31</v>
      </c>
      <c r="L247" s="188" t="s">
        <v>31</v>
      </c>
      <c r="M247" s="188" t="s">
        <v>31</v>
      </c>
      <c r="P247" s="379" t="s">
        <v>1183</v>
      </c>
      <c r="Q247" s="433">
        <v>73.400000000000006</v>
      </c>
      <c r="R247" s="188" t="s">
        <v>855</v>
      </c>
      <c r="S247" s="188">
        <f>Q247*0.0001</f>
        <v>7.340000000000001E-3</v>
      </c>
    </row>
    <row r="248" spans="1:19">
      <c r="A248" s="84" t="s">
        <v>1002</v>
      </c>
      <c r="B248" s="393">
        <f>S248</f>
        <v>7.340000000000001E-3</v>
      </c>
      <c r="C248" s="188" t="s">
        <v>853</v>
      </c>
      <c r="D248" s="188" t="s">
        <v>40</v>
      </c>
      <c r="E248" s="188" t="s">
        <v>29</v>
      </c>
      <c r="F248" s="188" t="s">
        <v>59</v>
      </c>
      <c r="G248" s="188" t="s">
        <v>33</v>
      </c>
      <c r="H248" s="188">
        <v>2</v>
      </c>
      <c r="I248" s="188">
        <f>LN(B248)</f>
        <v>-4.9144164363557126</v>
      </c>
      <c r="J248" s="188">
        <v>3.7749172176353707E-2</v>
      </c>
      <c r="K248" s="188" t="s">
        <v>31</v>
      </c>
      <c r="L248" s="188" t="s">
        <v>31</v>
      </c>
      <c r="M248" s="188" t="s">
        <v>31</v>
      </c>
      <c r="P248" s="378" t="s">
        <v>1183</v>
      </c>
      <c r="Q248" s="433">
        <v>73.400000000000006</v>
      </c>
      <c r="R248" s="188" t="s">
        <v>855</v>
      </c>
      <c r="S248" s="188">
        <f>Q248*0.0001</f>
        <v>7.340000000000001E-3</v>
      </c>
    </row>
    <row r="249" spans="1:19" s="330" customFormat="1">
      <c r="A249" s="347" t="s">
        <v>5</v>
      </c>
      <c r="B249" s="348" t="s">
        <v>1338</v>
      </c>
    </row>
    <row r="250" spans="1:19">
      <c r="A250" s="323" t="s">
        <v>7</v>
      </c>
      <c r="B250" s="188" t="s">
        <v>831</v>
      </c>
      <c r="C250" s="322"/>
    </row>
    <row r="251" spans="1:19">
      <c r="A251" s="402" t="s">
        <v>9</v>
      </c>
      <c r="B251" s="188" t="s">
        <v>1341</v>
      </c>
      <c r="C251" s="322"/>
    </row>
    <row r="252" spans="1:19" ht="15.75" customHeight="1">
      <c r="A252" s="323" t="s">
        <v>11</v>
      </c>
      <c r="B252" s="324" t="s">
        <v>841</v>
      </c>
    </row>
    <row r="253" spans="1:19">
      <c r="A253" s="323" t="s">
        <v>13</v>
      </c>
      <c r="B253" s="188" t="s">
        <v>14</v>
      </c>
    </row>
    <row r="254" spans="1:19">
      <c r="A254" s="323" t="s">
        <v>15</v>
      </c>
      <c r="B254" s="393">
        <f>B259</f>
        <v>4.2000000000000003E-2</v>
      </c>
    </row>
    <row r="255" spans="1:19">
      <c r="A255" s="323" t="s">
        <v>16</v>
      </c>
      <c r="B255" s="188" t="s">
        <v>17</v>
      </c>
    </row>
    <row r="256" spans="1:19">
      <c r="A256" s="323" t="s">
        <v>18</v>
      </c>
      <c r="B256" s="188" t="s">
        <v>853</v>
      </c>
    </row>
    <row r="257" spans="1:18">
      <c r="A257" s="320" t="s">
        <v>19</v>
      </c>
    </row>
    <row r="258" spans="1:18">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row>
    <row r="259" spans="1:18">
      <c r="A259" s="188" t="s">
        <v>1338</v>
      </c>
      <c r="B259" s="393">
        <f>B260</f>
        <v>4.2000000000000003E-2</v>
      </c>
      <c r="C259" s="188" t="s">
        <v>853</v>
      </c>
      <c r="D259" s="386" t="s">
        <v>2</v>
      </c>
      <c r="E259" s="188" t="s">
        <v>29</v>
      </c>
      <c r="F259" s="37" t="s">
        <v>14</v>
      </c>
      <c r="G259" s="188" t="s">
        <v>30</v>
      </c>
      <c r="H259" s="188">
        <v>1</v>
      </c>
      <c r="I259" s="393">
        <f t="shared" ref="I259:I260" si="25">B259</f>
        <v>4.2000000000000003E-2</v>
      </c>
      <c r="J259" s="188" t="s">
        <v>31</v>
      </c>
      <c r="K259" s="188" t="s">
        <v>31</v>
      </c>
      <c r="L259" s="188" t="s">
        <v>31</v>
      </c>
      <c r="M259" s="188" t="s">
        <v>31</v>
      </c>
    </row>
    <row r="260" spans="1:18">
      <c r="A260" s="188" t="s">
        <v>1342</v>
      </c>
      <c r="B260" s="393">
        <f>P260</f>
        <v>4.2000000000000003E-2</v>
      </c>
      <c r="C260" s="188" t="s">
        <v>853</v>
      </c>
      <c r="D260" s="386" t="s">
        <v>2</v>
      </c>
      <c r="E260" s="188" t="s">
        <v>29</v>
      </c>
      <c r="F260" s="188" t="s">
        <v>14</v>
      </c>
      <c r="G260" s="188" t="s">
        <v>33</v>
      </c>
      <c r="H260" s="188">
        <v>1</v>
      </c>
      <c r="I260" s="393">
        <f t="shared" si="25"/>
        <v>4.2000000000000003E-2</v>
      </c>
      <c r="J260" s="188" t="s">
        <v>31</v>
      </c>
      <c r="K260" s="188" t="s">
        <v>31</v>
      </c>
      <c r="L260" s="188" t="s">
        <v>31</v>
      </c>
      <c r="M260" s="188" t="s">
        <v>31</v>
      </c>
      <c r="P260" s="393">
        <v>4.2000000000000003E-2</v>
      </c>
    </row>
    <row r="261" spans="1:18">
      <c r="A261" s="323" t="s">
        <v>265</v>
      </c>
      <c r="B261" s="327">
        <f>R261</f>
        <v>0.38</v>
      </c>
      <c r="C261" s="188" t="s">
        <v>39</v>
      </c>
      <c r="D261" s="188" t="s">
        <v>40</v>
      </c>
      <c r="E261" s="188" t="s">
        <v>29</v>
      </c>
      <c r="F261" s="37" t="s">
        <v>35</v>
      </c>
      <c r="G261" s="188" t="s">
        <v>33</v>
      </c>
      <c r="H261" s="188">
        <v>2</v>
      </c>
      <c r="I261" s="188">
        <f t="shared" ref="I261:I265" si="26">LN(B261)</f>
        <v>-0.96758402626170559</v>
      </c>
      <c r="J261" s="188">
        <v>0.20928449536456342</v>
      </c>
      <c r="K261" s="188" t="s">
        <v>31</v>
      </c>
      <c r="L261" s="188" t="s">
        <v>31</v>
      </c>
      <c r="M261" s="188" t="s">
        <v>31</v>
      </c>
      <c r="O261" s="361" t="s">
        <v>271</v>
      </c>
      <c r="P261" s="392">
        <v>0.38</v>
      </c>
      <c r="Q261" s="188" t="s">
        <v>271</v>
      </c>
      <c r="R261" s="327">
        <f>P261</f>
        <v>0.38</v>
      </c>
    </row>
    <row r="262" spans="1:18">
      <c r="A262" s="84" t="s">
        <v>843</v>
      </c>
      <c r="B262" s="188">
        <f>R262</f>
        <v>1.1800000000000001E-2</v>
      </c>
      <c r="C262" s="188" t="s">
        <v>37</v>
      </c>
      <c r="D262" s="188" t="s">
        <v>40</v>
      </c>
      <c r="E262" s="188" t="s">
        <v>29</v>
      </c>
      <c r="F262" s="37" t="s">
        <v>35</v>
      </c>
      <c r="G262" s="188" t="s">
        <v>33</v>
      </c>
      <c r="H262" s="188">
        <v>2</v>
      </c>
      <c r="I262" s="188">
        <f t="shared" si="26"/>
        <v>-4.4396557475105176</v>
      </c>
      <c r="J262" s="188">
        <v>0.20928449536456342</v>
      </c>
      <c r="K262" s="188" t="s">
        <v>31</v>
      </c>
      <c r="L262" s="188" t="s">
        <v>31</v>
      </c>
      <c r="M262" s="188" t="s">
        <v>31</v>
      </c>
      <c r="O262" s="379" t="s">
        <v>857</v>
      </c>
      <c r="P262" s="392">
        <v>11.8</v>
      </c>
      <c r="Q262" s="188" t="s">
        <v>275</v>
      </c>
      <c r="R262" s="188">
        <f>0.001*P262</f>
        <v>1.1800000000000001E-2</v>
      </c>
    </row>
    <row r="263" spans="1:18">
      <c r="A263" s="84" t="s">
        <v>489</v>
      </c>
      <c r="B263" s="188">
        <f>R263</f>
        <v>1.8000000000000002E-3</v>
      </c>
      <c r="C263" s="188" t="s">
        <v>37</v>
      </c>
      <c r="D263" s="188" t="s">
        <v>40</v>
      </c>
      <c r="E263" s="188" t="s">
        <v>29</v>
      </c>
      <c r="F263" s="37" t="s">
        <v>59</v>
      </c>
      <c r="G263" s="188" t="s">
        <v>33</v>
      </c>
      <c r="H263" s="188">
        <v>2</v>
      </c>
      <c r="I263" s="188">
        <f t="shared" si="26"/>
        <v>-6.3199686140800182</v>
      </c>
      <c r="J263" s="188">
        <v>0.20928449536456342</v>
      </c>
      <c r="K263" s="188" t="s">
        <v>31</v>
      </c>
      <c r="L263" s="188" t="s">
        <v>31</v>
      </c>
      <c r="M263" s="188" t="s">
        <v>31</v>
      </c>
      <c r="O263" s="379" t="s">
        <v>857</v>
      </c>
      <c r="P263" s="392">
        <v>1.8</v>
      </c>
      <c r="Q263" s="188" t="s">
        <v>275</v>
      </c>
      <c r="R263" s="188">
        <f>0.001*P263</f>
        <v>1.8000000000000002E-3</v>
      </c>
    </row>
    <row r="264" spans="1:18">
      <c r="A264" s="323" t="s">
        <v>844</v>
      </c>
      <c r="B264" s="188">
        <f>R264</f>
        <v>5.79E-2</v>
      </c>
      <c r="C264" s="188" t="s">
        <v>37</v>
      </c>
      <c r="D264" s="188" t="s">
        <v>40</v>
      </c>
      <c r="E264" s="188" t="s">
        <v>29</v>
      </c>
      <c r="F264" s="37" t="s">
        <v>74</v>
      </c>
      <c r="G264" s="188" t="s">
        <v>33</v>
      </c>
      <c r="H264" s="188">
        <v>2</v>
      </c>
      <c r="I264" s="188">
        <f t="shared" si="26"/>
        <v>-2.8490378944031876</v>
      </c>
      <c r="J264" s="188">
        <v>0.20928449536456342</v>
      </c>
      <c r="K264" s="188" t="s">
        <v>31</v>
      </c>
      <c r="L264" s="188" t="s">
        <v>31</v>
      </c>
      <c r="M264" s="188" t="s">
        <v>31</v>
      </c>
      <c r="O264" s="379" t="s">
        <v>857</v>
      </c>
      <c r="P264" s="392">
        <v>57.9</v>
      </c>
      <c r="Q264" s="188" t="s">
        <v>275</v>
      </c>
      <c r="R264" s="188">
        <f>0.001*P264</f>
        <v>5.79E-2</v>
      </c>
    </row>
    <row r="265" spans="1:18">
      <c r="A265" s="188" t="s">
        <v>829</v>
      </c>
      <c r="B265" s="188">
        <f>R265</f>
        <v>1.3599999999999999E-2</v>
      </c>
      <c r="C265" s="188" t="s">
        <v>37</v>
      </c>
      <c r="D265" s="386" t="s">
        <v>2</v>
      </c>
      <c r="E265" s="188" t="s">
        <v>29</v>
      </c>
      <c r="F265" s="37" t="s">
        <v>74</v>
      </c>
      <c r="G265" s="188" t="s">
        <v>33</v>
      </c>
      <c r="H265" s="188">
        <v>2</v>
      </c>
      <c r="I265" s="188">
        <f t="shared" si="26"/>
        <v>-4.2976854862401304</v>
      </c>
      <c r="J265" s="188">
        <v>0.20928449536456342</v>
      </c>
      <c r="K265" s="188" t="s">
        <v>31</v>
      </c>
      <c r="L265" s="188" t="s">
        <v>31</v>
      </c>
      <c r="M265" s="188" t="s">
        <v>31</v>
      </c>
      <c r="O265" s="425" t="s">
        <v>857</v>
      </c>
      <c r="P265" s="397">
        <v>13.6</v>
      </c>
      <c r="Q265" s="188" t="s">
        <v>275</v>
      </c>
      <c r="R265" s="188">
        <f>0.001*P265</f>
        <v>1.3599999999999999E-2</v>
      </c>
    </row>
    <row r="266" spans="1:18" s="330" customFormat="1">
      <c r="A266" s="347" t="s">
        <v>5</v>
      </c>
      <c r="B266" s="348" t="s">
        <v>1342</v>
      </c>
    </row>
    <row r="267" spans="1:18">
      <c r="A267" s="323" t="s">
        <v>7</v>
      </c>
      <c r="B267" s="188" t="s">
        <v>831</v>
      </c>
      <c r="C267" s="322"/>
    </row>
    <row r="268" spans="1:18">
      <c r="A268" s="402" t="s">
        <v>9</v>
      </c>
      <c r="B268" s="188" t="s">
        <v>1343</v>
      </c>
      <c r="C268" s="322"/>
    </row>
    <row r="269" spans="1:18" ht="15.75" customHeight="1">
      <c r="A269" s="323" t="s">
        <v>11</v>
      </c>
      <c r="B269" s="324" t="s">
        <v>841</v>
      </c>
    </row>
    <row r="270" spans="1:18">
      <c r="A270" s="323" t="s">
        <v>13</v>
      </c>
      <c r="B270" s="188" t="s">
        <v>14</v>
      </c>
    </row>
    <row r="271" spans="1:18">
      <c r="A271" s="323" t="s">
        <v>15</v>
      </c>
      <c r="B271" s="393">
        <f>B276</f>
        <v>4.2000000000000003E-2</v>
      </c>
    </row>
    <row r="272" spans="1:18">
      <c r="A272" s="323" t="s">
        <v>16</v>
      </c>
      <c r="B272" s="188" t="s">
        <v>17</v>
      </c>
    </row>
    <row r="273" spans="1:18">
      <c r="A273" s="323" t="s">
        <v>18</v>
      </c>
      <c r="B273" s="188" t="s">
        <v>853</v>
      </c>
    </row>
    <row r="274" spans="1:18">
      <c r="A274" s="320" t="s">
        <v>19</v>
      </c>
    </row>
    <row r="275" spans="1:18">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row>
    <row r="276" spans="1:18">
      <c r="A276" s="188" t="s">
        <v>1342</v>
      </c>
      <c r="B276" s="393">
        <f>P277</f>
        <v>4.2000000000000003E-2</v>
      </c>
      <c r="C276" s="188" t="s">
        <v>853</v>
      </c>
      <c r="D276" s="386" t="s">
        <v>2</v>
      </c>
      <c r="E276" s="188" t="s">
        <v>29</v>
      </c>
      <c r="F276" s="188" t="s">
        <v>14</v>
      </c>
      <c r="G276" s="188" t="s">
        <v>30</v>
      </c>
      <c r="H276" s="188">
        <v>1</v>
      </c>
      <c r="I276" s="393">
        <f t="shared" ref="I276:I277" si="27">B276</f>
        <v>4.2000000000000003E-2</v>
      </c>
      <c r="J276" s="188" t="s">
        <v>31</v>
      </c>
      <c r="K276" s="188" t="s">
        <v>31</v>
      </c>
      <c r="L276" s="188" t="s">
        <v>31</v>
      </c>
      <c r="M276" s="188" t="s">
        <v>31</v>
      </c>
    </row>
    <row r="277" spans="1:18">
      <c r="A277" s="188" t="s">
        <v>1344</v>
      </c>
      <c r="B277" s="393">
        <f>P277</f>
        <v>4.2000000000000003E-2</v>
      </c>
      <c r="C277" s="188" t="s">
        <v>853</v>
      </c>
      <c r="D277" s="386" t="s">
        <v>2</v>
      </c>
      <c r="E277" s="188" t="s">
        <v>29</v>
      </c>
      <c r="F277" s="188" t="s">
        <v>14</v>
      </c>
      <c r="G277" s="188" t="s">
        <v>33</v>
      </c>
      <c r="H277" s="188">
        <v>1</v>
      </c>
      <c r="I277" s="393">
        <f t="shared" si="27"/>
        <v>4.2000000000000003E-2</v>
      </c>
      <c r="J277" s="188" t="s">
        <v>31</v>
      </c>
      <c r="K277" s="188" t="s">
        <v>31</v>
      </c>
      <c r="L277" s="188" t="s">
        <v>31</v>
      </c>
      <c r="M277" s="188" t="s">
        <v>31</v>
      </c>
      <c r="P277" s="448">
        <v>4.2000000000000003E-2</v>
      </c>
    </row>
    <row r="278" spans="1:18">
      <c r="A278" s="323" t="s">
        <v>265</v>
      </c>
      <c r="B278" s="327">
        <f>P278</f>
        <v>8.14</v>
      </c>
      <c r="C278" s="188" t="s">
        <v>39</v>
      </c>
      <c r="D278" s="188" t="s">
        <v>40</v>
      </c>
      <c r="E278" s="188" t="s">
        <v>29</v>
      </c>
      <c r="F278" s="37" t="s">
        <v>35</v>
      </c>
      <c r="G278" s="188" t="s">
        <v>33</v>
      </c>
      <c r="H278" s="188">
        <v>2</v>
      </c>
      <c r="I278" s="188">
        <f t="shared" ref="I278:I279" si="28">LN(B278)</f>
        <v>2.0967901800144491</v>
      </c>
      <c r="J278" s="188">
        <v>0.20928449536456342</v>
      </c>
      <c r="K278" s="188" t="s">
        <v>31</v>
      </c>
      <c r="L278" s="188" t="s">
        <v>31</v>
      </c>
      <c r="M278" s="188" t="s">
        <v>31</v>
      </c>
      <c r="O278" s="379" t="s">
        <v>271</v>
      </c>
      <c r="P278" s="392">
        <f>5.61+2.53</f>
        <v>8.14</v>
      </c>
    </row>
    <row r="279" spans="1:18">
      <c r="A279" s="323" t="s">
        <v>844</v>
      </c>
      <c r="B279" s="327">
        <f>R279</f>
        <v>1.6300000000000002E-2</v>
      </c>
      <c r="C279" s="188" t="s">
        <v>37</v>
      </c>
      <c r="D279" s="188" t="s">
        <v>40</v>
      </c>
      <c r="E279" s="188" t="s">
        <v>29</v>
      </c>
      <c r="F279" s="37" t="s">
        <v>74</v>
      </c>
      <c r="G279" s="188" t="s">
        <v>33</v>
      </c>
      <c r="H279" s="188">
        <v>2</v>
      </c>
      <c r="I279" s="188">
        <f t="shared" si="28"/>
        <v>-4.1165901711694204</v>
      </c>
      <c r="J279" s="188">
        <v>0.20928449536456342</v>
      </c>
      <c r="K279" s="188" t="s">
        <v>31</v>
      </c>
      <c r="L279" s="188" t="s">
        <v>31</v>
      </c>
      <c r="M279" s="188" t="s">
        <v>31</v>
      </c>
      <c r="O279" s="379" t="s">
        <v>857</v>
      </c>
      <c r="P279" s="392">
        <v>16.3</v>
      </c>
      <c r="Q279" s="188" t="s">
        <v>275</v>
      </c>
      <c r="R279" s="188">
        <f>P279*0.001</f>
        <v>1.6300000000000002E-2</v>
      </c>
    </row>
    <row r="280" spans="1:18">
      <c r="A280" s="84" t="s">
        <v>987</v>
      </c>
      <c r="B280" s="327">
        <f>R280</f>
        <v>1.9899999999999998E-2</v>
      </c>
      <c r="C280" s="188" t="s">
        <v>37</v>
      </c>
      <c r="D280" s="188" t="s">
        <v>40</v>
      </c>
      <c r="E280" s="188" t="s">
        <v>29</v>
      </c>
      <c r="F280" s="188" t="s">
        <v>35</v>
      </c>
      <c r="G280" s="188" t="s">
        <v>33</v>
      </c>
      <c r="H280" s="188">
        <v>2</v>
      </c>
      <c r="I280" s="188">
        <f>LN(B280)</f>
        <v>-3.9170355472516905</v>
      </c>
      <c r="J280" s="188">
        <v>0.20928449536456342</v>
      </c>
      <c r="K280" s="188" t="s">
        <v>31</v>
      </c>
      <c r="L280" s="188" t="s">
        <v>31</v>
      </c>
      <c r="M280" s="188" t="s">
        <v>31</v>
      </c>
      <c r="O280" s="379" t="s">
        <v>857</v>
      </c>
      <c r="P280" s="392">
        <v>19.899999999999999</v>
      </c>
      <c r="Q280" s="188" t="s">
        <v>275</v>
      </c>
      <c r="R280" s="188">
        <f>P280*0.001</f>
        <v>1.9899999999999998E-2</v>
      </c>
    </row>
    <row r="281" spans="1:18">
      <c r="A281" s="188" t="s">
        <v>829</v>
      </c>
      <c r="B281" s="327">
        <f>R281</f>
        <v>1.9899999999999998E-2</v>
      </c>
      <c r="C281" s="188" t="s">
        <v>37</v>
      </c>
      <c r="D281" s="386" t="s">
        <v>2</v>
      </c>
      <c r="E281" s="188" t="s">
        <v>29</v>
      </c>
      <c r="F281" s="37" t="s">
        <v>74</v>
      </c>
      <c r="G281" s="188" t="s">
        <v>33</v>
      </c>
      <c r="H281" s="188">
        <v>2</v>
      </c>
      <c r="I281" s="188">
        <f t="shared" ref="I281" si="29">LN(B281)</f>
        <v>-3.9170355472516905</v>
      </c>
      <c r="J281" s="188">
        <v>0.20928449536456342</v>
      </c>
      <c r="K281" s="188" t="s">
        <v>31</v>
      </c>
      <c r="L281" s="188" t="s">
        <v>31</v>
      </c>
      <c r="M281" s="188" t="s">
        <v>31</v>
      </c>
      <c r="O281" s="425" t="s">
        <v>857</v>
      </c>
      <c r="P281" s="397">
        <v>19.899999999999999</v>
      </c>
      <c r="Q281" s="188" t="s">
        <v>275</v>
      </c>
      <c r="R281" s="188">
        <f>0.001*P281</f>
        <v>1.9899999999999998E-2</v>
      </c>
    </row>
    <row r="282" spans="1:18" s="330" customFormat="1">
      <c r="A282" s="347" t="s">
        <v>5</v>
      </c>
      <c r="B282" s="348" t="s">
        <v>1344</v>
      </c>
      <c r="P282" s="415"/>
    </row>
    <row r="283" spans="1:18">
      <c r="A283" s="323" t="s">
        <v>7</v>
      </c>
      <c r="B283" s="188" t="s">
        <v>831</v>
      </c>
      <c r="C283" s="322"/>
    </row>
    <row r="284" spans="1:18">
      <c r="A284" s="402" t="s">
        <v>9</v>
      </c>
      <c r="B284" s="188" t="s">
        <v>1345</v>
      </c>
      <c r="C284" s="322"/>
    </row>
    <row r="285" spans="1:18" ht="15.75" customHeight="1">
      <c r="A285" s="323" t="s">
        <v>11</v>
      </c>
      <c r="B285" s="324" t="s">
        <v>841</v>
      </c>
    </row>
    <row r="286" spans="1:18">
      <c r="A286" s="323" t="s">
        <v>13</v>
      </c>
      <c r="B286" s="188" t="s">
        <v>14</v>
      </c>
    </row>
    <row r="287" spans="1:18">
      <c r="A287" s="323" t="s">
        <v>15</v>
      </c>
      <c r="B287" s="393">
        <f>B292</f>
        <v>0.08</v>
      </c>
    </row>
    <row r="288" spans="1:18">
      <c r="A288" s="323" t="s">
        <v>16</v>
      </c>
      <c r="B288" s="188" t="s">
        <v>17</v>
      </c>
      <c r="R288" s="321" t="s">
        <v>937</v>
      </c>
    </row>
    <row r="289" spans="1:21">
      <c r="A289" s="323" t="s">
        <v>18</v>
      </c>
      <c r="B289" s="188" t="s">
        <v>853</v>
      </c>
      <c r="R289" s="188" t="s">
        <v>938</v>
      </c>
      <c r="S289" s="188">
        <v>8900</v>
      </c>
      <c r="T289" s="188" t="s">
        <v>939</v>
      </c>
    </row>
    <row r="290" spans="1:21">
      <c r="A290" s="320" t="s">
        <v>19</v>
      </c>
      <c r="R290" s="188" t="s">
        <v>940</v>
      </c>
      <c r="S290" s="188">
        <f>5*10^-6</f>
        <v>4.9999999999999996E-6</v>
      </c>
      <c r="T290" s="188" t="s">
        <v>941</v>
      </c>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R291" s="405" t="s">
        <v>942</v>
      </c>
      <c r="S291" s="406">
        <f>S290*S289</f>
        <v>4.4499999999999998E-2</v>
      </c>
      <c r="T291" s="407" t="s">
        <v>943</v>
      </c>
    </row>
    <row r="292" spans="1:21">
      <c r="A292" s="188" t="s">
        <v>1344</v>
      </c>
      <c r="B292" s="393">
        <v>0.08</v>
      </c>
      <c r="C292" s="188" t="s">
        <v>853</v>
      </c>
      <c r="D292" s="386" t="s">
        <v>2</v>
      </c>
      <c r="E292" s="188" t="s">
        <v>29</v>
      </c>
      <c r="F292" s="188" t="s">
        <v>14</v>
      </c>
      <c r="G292" s="188" t="s">
        <v>30</v>
      </c>
      <c r="H292" s="188">
        <v>1</v>
      </c>
      <c r="I292" s="393">
        <f t="shared" ref="I292:I294" si="30">B292</f>
        <v>0.08</v>
      </c>
      <c r="J292" s="188" t="s">
        <v>31</v>
      </c>
      <c r="K292" s="188" t="s">
        <v>31</v>
      </c>
      <c r="L292" s="188" t="s">
        <v>31</v>
      </c>
      <c r="M292" s="188" t="s">
        <v>31</v>
      </c>
      <c r="O292" s="379" t="s">
        <v>944</v>
      </c>
      <c r="P292" s="392">
        <f>B292*100</f>
        <v>8</v>
      </c>
    </row>
    <row r="293" spans="1:21">
      <c r="A293" s="188" t="s">
        <v>1346</v>
      </c>
      <c r="B293" s="393">
        <v>0.08</v>
      </c>
      <c r="C293" s="188" t="s">
        <v>853</v>
      </c>
      <c r="D293" s="386" t="s">
        <v>2</v>
      </c>
      <c r="E293" s="188" t="s">
        <v>29</v>
      </c>
      <c r="F293" s="188" t="s">
        <v>14</v>
      </c>
      <c r="G293" s="188" t="s">
        <v>33</v>
      </c>
      <c r="H293" s="188">
        <v>1</v>
      </c>
      <c r="I293" s="393">
        <f t="shared" si="30"/>
        <v>0.08</v>
      </c>
      <c r="J293" s="188">
        <v>7.2284161474004766E-2</v>
      </c>
      <c r="K293" s="188" t="s">
        <v>31</v>
      </c>
      <c r="L293" s="188" t="s">
        <v>31</v>
      </c>
      <c r="M293" s="188" t="s">
        <v>31</v>
      </c>
      <c r="O293" s="379" t="s">
        <v>944</v>
      </c>
      <c r="P293" s="392">
        <f>B293*100</f>
        <v>8</v>
      </c>
      <c r="R293" s="188" t="s">
        <v>945</v>
      </c>
      <c r="U293" s="388"/>
    </row>
    <row r="294" spans="1:21">
      <c r="A294" s="192" t="s">
        <v>1288</v>
      </c>
      <c r="B294" s="398">
        <f>T294</f>
        <v>6.6750000000000004E-2</v>
      </c>
      <c r="C294" s="188" t="s">
        <v>37</v>
      </c>
      <c r="D294" s="386" t="s">
        <v>2</v>
      </c>
      <c r="E294" s="188" t="s">
        <v>29</v>
      </c>
      <c r="F294" s="37" t="s">
        <v>14</v>
      </c>
      <c r="G294" s="188" t="s">
        <v>33</v>
      </c>
      <c r="H294" s="188">
        <v>1</v>
      </c>
      <c r="I294" s="393">
        <f t="shared" si="30"/>
        <v>6.6750000000000004E-2</v>
      </c>
      <c r="J294" s="188">
        <v>7.2284161474004766E-2</v>
      </c>
      <c r="K294" s="188" t="s">
        <v>31</v>
      </c>
      <c r="L294" s="188" t="s">
        <v>31</v>
      </c>
      <c r="M294" s="188" t="s">
        <v>31</v>
      </c>
      <c r="O294" s="410"/>
      <c r="P294" s="411"/>
      <c r="R294" s="408">
        <v>1.5</v>
      </c>
      <c r="S294" s="409" t="s">
        <v>855</v>
      </c>
      <c r="T294" s="408">
        <f>R294*S291</f>
        <v>6.6750000000000004E-2</v>
      </c>
      <c r="U294" s="409" t="s">
        <v>275</v>
      </c>
    </row>
    <row r="295" spans="1:21" ht="14.45">
      <c r="A295" s="323" t="s">
        <v>844</v>
      </c>
      <c r="B295" s="188">
        <f>P295</f>
        <v>12</v>
      </c>
      <c r="C295" s="188" t="s">
        <v>37</v>
      </c>
      <c r="D295" s="188" t="s">
        <v>40</v>
      </c>
      <c r="E295" s="188" t="s">
        <v>29</v>
      </c>
      <c r="F295" s="37" t="s">
        <v>74</v>
      </c>
      <c r="G295" s="188" t="s">
        <v>33</v>
      </c>
      <c r="H295" s="188">
        <v>2</v>
      </c>
      <c r="I295" s="188">
        <f t="shared" ref="I295" si="31">LN(B295)</f>
        <v>2.4849066497880004</v>
      </c>
      <c r="J295" s="188">
        <v>7.2284161474004766E-2</v>
      </c>
      <c r="K295" s="188" t="s">
        <v>31</v>
      </c>
      <c r="L295" s="188" t="s">
        <v>31</v>
      </c>
      <c r="M295" s="188" t="s">
        <v>31</v>
      </c>
      <c r="O295" s="379" t="s">
        <v>275</v>
      </c>
      <c r="P295" s="107">
        <v>12</v>
      </c>
    </row>
    <row r="296" spans="1:21" ht="14.45">
      <c r="A296" s="84" t="s">
        <v>924</v>
      </c>
      <c r="B296" s="327">
        <f>R296</f>
        <v>5.9999999999999997E-7</v>
      </c>
      <c r="C296" s="188" t="s">
        <v>37</v>
      </c>
      <c r="D296" s="188" t="s">
        <v>40</v>
      </c>
      <c r="E296" s="188" t="s">
        <v>29</v>
      </c>
      <c r="F296" s="37" t="s">
        <v>59</v>
      </c>
      <c r="G296" s="188" t="s">
        <v>33</v>
      </c>
      <c r="H296" s="188">
        <v>2</v>
      </c>
      <c r="I296" s="188">
        <f>LN(B296)</f>
        <v>-14.326336181730264</v>
      </c>
      <c r="J296" s="188">
        <v>7.2284161474004766E-2</v>
      </c>
      <c r="K296" s="188" t="s">
        <v>31</v>
      </c>
      <c r="L296" s="188" t="s">
        <v>31</v>
      </c>
      <c r="M296" s="188" t="s">
        <v>31</v>
      </c>
      <c r="O296" s="394" t="s">
        <v>862</v>
      </c>
      <c r="P296" s="145">
        <v>0.6</v>
      </c>
      <c r="Q296" s="379" t="s">
        <v>275</v>
      </c>
      <c r="R296" s="188">
        <f>P296*0.000001</f>
        <v>5.9999999999999997E-7</v>
      </c>
    </row>
    <row r="297" spans="1:21" ht="14.45">
      <c r="A297" s="84" t="s">
        <v>76</v>
      </c>
      <c r="B297" s="188">
        <f>R297</f>
        <v>1.2E-2</v>
      </c>
      <c r="C297" s="188" t="s">
        <v>42</v>
      </c>
      <c r="D297" s="188" t="s">
        <v>40</v>
      </c>
      <c r="E297" s="188" t="s">
        <v>29</v>
      </c>
      <c r="F297" s="37" t="s">
        <v>74</v>
      </c>
      <c r="G297" s="188" t="s">
        <v>33</v>
      </c>
      <c r="H297" s="188">
        <v>2</v>
      </c>
      <c r="I297" s="188">
        <f t="shared" ref="I297" si="32">LN(B297)</f>
        <v>-4.4228486291941369</v>
      </c>
      <c r="J297" s="188">
        <v>7.2284161474004766E-2</v>
      </c>
      <c r="K297" s="188" t="s">
        <v>31</v>
      </c>
      <c r="L297" s="188" t="s">
        <v>31</v>
      </c>
      <c r="M297" s="188" t="s">
        <v>31</v>
      </c>
      <c r="O297" s="396" t="s">
        <v>913</v>
      </c>
      <c r="P297" s="123">
        <v>12</v>
      </c>
      <c r="Q297" s="188" t="s">
        <v>274</v>
      </c>
      <c r="R297" s="188">
        <f>P297*0.001</f>
        <v>1.2E-2</v>
      </c>
    </row>
    <row r="298" spans="1:21" s="330" customFormat="1">
      <c r="A298" s="347" t="s">
        <v>5</v>
      </c>
      <c r="B298" s="348" t="s">
        <v>1346</v>
      </c>
    </row>
    <row r="299" spans="1:21">
      <c r="A299" s="323" t="s">
        <v>7</v>
      </c>
      <c r="B299" s="188" t="s">
        <v>831</v>
      </c>
      <c r="C299" s="322"/>
    </row>
    <row r="300" spans="1:21">
      <c r="A300" s="402" t="s">
        <v>9</v>
      </c>
      <c r="B300" s="188" t="s">
        <v>1347</v>
      </c>
      <c r="C300" s="322"/>
    </row>
    <row r="301" spans="1:21" ht="15.75" customHeight="1">
      <c r="A301" s="323" t="s">
        <v>11</v>
      </c>
      <c r="B301" s="324" t="s">
        <v>841</v>
      </c>
    </row>
    <row r="302" spans="1:21">
      <c r="A302" s="323" t="s">
        <v>13</v>
      </c>
      <c r="B302" s="188" t="s">
        <v>14</v>
      </c>
    </row>
    <row r="303" spans="1:21">
      <c r="A303" s="323" t="s">
        <v>15</v>
      </c>
      <c r="B303" s="393">
        <f>B308</f>
        <v>4.2000000000000003E-2</v>
      </c>
    </row>
    <row r="304" spans="1:21">
      <c r="A304" s="323" t="s">
        <v>16</v>
      </c>
      <c r="B304" s="188" t="s">
        <v>17</v>
      </c>
    </row>
    <row r="305" spans="1:20">
      <c r="A305" s="323" t="s">
        <v>18</v>
      </c>
      <c r="B305" s="188" t="s">
        <v>853</v>
      </c>
    </row>
    <row r="306" spans="1:20">
      <c r="A306" s="320" t="s">
        <v>19</v>
      </c>
    </row>
    <row r="307" spans="1:20">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T307" s="393"/>
    </row>
    <row r="308" spans="1:20">
      <c r="A308" s="188" t="s">
        <v>1346</v>
      </c>
      <c r="B308" s="393">
        <f t="shared" ref="B308:B318" si="33">P308</f>
        <v>4.2000000000000003E-2</v>
      </c>
      <c r="C308" s="188" t="s">
        <v>853</v>
      </c>
      <c r="D308" s="386" t="s">
        <v>2</v>
      </c>
      <c r="E308" s="188" t="s">
        <v>29</v>
      </c>
      <c r="F308" s="188" t="s">
        <v>14</v>
      </c>
      <c r="G308" s="188" t="s">
        <v>30</v>
      </c>
      <c r="H308" s="188">
        <v>1</v>
      </c>
      <c r="I308" s="393">
        <f t="shared" ref="I308:I309" si="34">B308</f>
        <v>4.2000000000000003E-2</v>
      </c>
      <c r="J308" s="188" t="s">
        <v>31</v>
      </c>
      <c r="K308" s="188" t="s">
        <v>31</v>
      </c>
      <c r="L308" s="188" t="s">
        <v>31</v>
      </c>
      <c r="M308" s="188" t="s">
        <v>31</v>
      </c>
      <c r="P308" s="447">
        <f>P309</f>
        <v>4.2000000000000003E-2</v>
      </c>
    </row>
    <row r="309" spans="1:20">
      <c r="A309" s="188" t="s">
        <v>1348</v>
      </c>
      <c r="B309" s="393">
        <f t="shared" si="33"/>
        <v>4.2000000000000003E-2</v>
      </c>
      <c r="C309" s="188" t="s">
        <v>853</v>
      </c>
      <c r="D309" s="386" t="s">
        <v>2</v>
      </c>
      <c r="E309" s="188" t="s">
        <v>29</v>
      </c>
      <c r="F309" s="188" t="s">
        <v>14</v>
      </c>
      <c r="G309" s="188" t="s">
        <v>33</v>
      </c>
      <c r="H309" s="188">
        <v>1</v>
      </c>
      <c r="I309" s="393">
        <f t="shared" si="34"/>
        <v>4.2000000000000003E-2</v>
      </c>
      <c r="J309" s="188" t="s">
        <v>31</v>
      </c>
      <c r="K309" s="188" t="s">
        <v>31</v>
      </c>
      <c r="L309" s="188" t="s">
        <v>31</v>
      </c>
      <c r="M309" s="188" t="s">
        <v>31</v>
      </c>
      <c r="P309" s="447">
        <f>P330</f>
        <v>4.2000000000000003E-2</v>
      </c>
    </row>
    <row r="310" spans="1:20">
      <c r="A310" s="323" t="s">
        <v>265</v>
      </c>
      <c r="B310" s="327">
        <f t="shared" si="33"/>
        <v>0.55000000000000004</v>
      </c>
      <c r="C310" s="188" t="s">
        <v>39</v>
      </c>
      <c r="D310" s="188" t="s">
        <v>40</v>
      </c>
      <c r="E310" s="188" t="s">
        <v>29</v>
      </c>
      <c r="F310" s="37" t="s">
        <v>35</v>
      </c>
      <c r="G310" s="188" t="s">
        <v>33</v>
      </c>
      <c r="H310" s="188">
        <v>2</v>
      </c>
      <c r="I310" s="188">
        <f t="shared" ref="I310" si="35">LN(B310)</f>
        <v>-0.59783700075562041</v>
      </c>
      <c r="J310" s="188">
        <v>0.22500000000000006</v>
      </c>
      <c r="K310" s="188" t="s">
        <v>31</v>
      </c>
      <c r="L310" s="188" t="s">
        <v>31</v>
      </c>
      <c r="M310" s="188" t="s">
        <v>31</v>
      </c>
      <c r="O310" s="379" t="s">
        <v>271</v>
      </c>
      <c r="P310" s="392">
        <v>0.55000000000000004</v>
      </c>
    </row>
    <row r="311" spans="1:20">
      <c r="A311" s="84" t="s">
        <v>731</v>
      </c>
      <c r="B311" s="393">
        <f t="shared" si="33"/>
        <v>2.5399999999999999E-2</v>
      </c>
      <c r="C311" s="188" t="s">
        <v>37</v>
      </c>
      <c r="D311" s="188" t="s">
        <v>40</v>
      </c>
      <c r="E311" s="188" t="s">
        <v>29</v>
      </c>
      <c r="F311" s="188" t="s">
        <v>35</v>
      </c>
      <c r="G311" s="188" t="s">
        <v>33</v>
      </c>
      <c r="H311" s="188">
        <v>2</v>
      </c>
      <c r="I311" s="188">
        <f>LN(B311)</f>
        <v>-3.6730061049576461</v>
      </c>
      <c r="J311" s="188">
        <v>0.22500000000000006</v>
      </c>
      <c r="K311" s="188" t="s">
        <v>31</v>
      </c>
      <c r="L311" s="188" t="s">
        <v>31</v>
      </c>
      <c r="M311" s="188" t="s">
        <v>31</v>
      </c>
      <c r="O311" s="379" t="s">
        <v>275</v>
      </c>
      <c r="P311" s="430">
        <v>2.5399999999999999E-2</v>
      </c>
    </row>
    <row r="312" spans="1:20">
      <c r="A312" s="188" t="s">
        <v>1012</v>
      </c>
      <c r="B312" s="393">
        <f t="shared" si="33"/>
        <v>5.5100000000000003E-2</v>
      </c>
      <c r="C312" s="188" t="s">
        <v>37</v>
      </c>
      <c r="D312" s="188" t="s">
        <v>40</v>
      </c>
      <c r="E312" s="188" t="s">
        <v>29</v>
      </c>
      <c r="F312" s="188" t="s">
        <v>59</v>
      </c>
      <c r="G312" s="188" t="s">
        <v>33</v>
      </c>
      <c r="H312" s="188">
        <v>2</v>
      </c>
      <c r="I312" s="188">
        <f t="shared" ref="I312:I318" si="36">LN(B312)</f>
        <v>-2.8986055628232683</v>
      </c>
      <c r="J312" s="188">
        <v>0.22500000000000006</v>
      </c>
      <c r="K312" s="188" t="s">
        <v>31</v>
      </c>
      <c r="L312" s="188" t="s">
        <v>31</v>
      </c>
      <c r="M312" s="188" t="s">
        <v>31</v>
      </c>
      <c r="O312" s="379" t="s">
        <v>275</v>
      </c>
      <c r="P312" s="430">
        <v>5.5100000000000003E-2</v>
      </c>
    </row>
    <row r="313" spans="1:20">
      <c r="A313" s="84" t="s">
        <v>987</v>
      </c>
      <c r="B313" s="393">
        <f t="shared" si="33"/>
        <v>2.5399999999999999E-2</v>
      </c>
      <c r="C313" s="188" t="s">
        <v>37</v>
      </c>
      <c r="D313" s="188" t="s">
        <v>40</v>
      </c>
      <c r="E313" s="188" t="s">
        <v>29</v>
      </c>
      <c r="F313" s="188" t="s">
        <v>35</v>
      </c>
      <c r="G313" s="188" t="s">
        <v>33</v>
      </c>
      <c r="H313" s="188">
        <v>2</v>
      </c>
      <c r="I313" s="188">
        <f t="shared" si="36"/>
        <v>-3.6730061049576461</v>
      </c>
      <c r="J313" s="188">
        <v>0.22500000000000006</v>
      </c>
      <c r="K313" s="188" t="s">
        <v>31</v>
      </c>
      <c r="L313" s="188" t="s">
        <v>31</v>
      </c>
      <c r="M313" s="188" t="s">
        <v>31</v>
      </c>
      <c r="O313" s="379" t="s">
        <v>275</v>
      </c>
      <c r="P313" s="430">
        <v>2.5399999999999999E-2</v>
      </c>
    </row>
    <row r="314" spans="1:20">
      <c r="A314" s="84" t="s">
        <v>1013</v>
      </c>
      <c r="B314" s="393">
        <f t="shared" si="33"/>
        <v>1.9099999999999999E-2</v>
      </c>
      <c r="C314" s="188" t="s">
        <v>37</v>
      </c>
      <c r="D314" s="188" t="s">
        <v>40</v>
      </c>
      <c r="E314" s="188" t="s">
        <v>29</v>
      </c>
      <c r="F314" s="188" t="s">
        <v>59</v>
      </c>
      <c r="G314" s="188" t="s">
        <v>33</v>
      </c>
      <c r="H314" s="188">
        <v>2</v>
      </c>
      <c r="I314" s="188">
        <f t="shared" si="36"/>
        <v>-3.9580669439295528</v>
      </c>
      <c r="J314" s="188">
        <v>0.22500000000000006</v>
      </c>
      <c r="K314" s="188" t="s">
        <v>31</v>
      </c>
      <c r="L314" s="188" t="s">
        <v>31</v>
      </c>
      <c r="M314" s="188" t="s">
        <v>31</v>
      </c>
      <c r="O314" s="379" t="s">
        <v>275</v>
      </c>
      <c r="P314" s="430">
        <v>1.9099999999999999E-2</v>
      </c>
    </row>
    <row r="315" spans="1:20">
      <c r="A315" s="84" t="s">
        <v>1014</v>
      </c>
      <c r="B315" s="393">
        <f t="shared" si="33"/>
        <v>5.5100000000000003E-2</v>
      </c>
      <c r="C315" s="188" t="s">
        <v>37</v>
      </c>
      <c r="D315" s="188" t="s">
        <v>40</v>
      </c>
      <c r="E315" s="188" t="s">
        <v>29</v>
      </c>
      <c r="F315" s="188" t="s">
        <v>59</v>
      </c>
      <c r="G315" s="188" t="s">
        <v>33</v>
      </c>
      <c r="H315" s="188">
        <v>2</v>
      </c>
      <c r="I315" s="188">
        <f t="shared" si="36"/>
        <v>-2.8986055628232683</v>
      </c>
      <c r="J315" s="188">
        <v>0.22500000000000006</v>
      </c>
      <c r="K315" s="188" t="s">
        <v>31</v>
      </c>
      <c r="L315" s="188" t="s">
        <v>31</v>
      </c>
      <c r="M315" s="188" t="s">
        <v>31</v>
      </c>
      <c r="O315" s="379" t="s">
        <v>275</v>
      </c>
      <c r="P315" s="430">
        <v>5.5100000000000003E-2</v>
      </c>
    </row>
    <row r="316" spans="1:20">
      <c r="A316" s="323" t="s">
        <v>844</v>
      </c>
      <c r="B316" s="393">
        <f t="shared" si="33"/>
        <v>1</v>
      </c>
      <c r="C316" s="188" t="s">
        <v>37</v>
      </c>
      <c r="D316" s="188" t="s">
        <v>40</v>
      </c>
      <c r="E316" s="188" t="s">
        <v>29</v>
      </c>
      <c r="F316" s="37" t="s">
        <v>74</v>
      </c>
      <c r="G316" s="188" t="s">
        <v>33</v>
      </c>
      <c r="H316" s="188">
        <v>2</v>
      </c>
      <c r="I316" s="188">
        <f t="shared" si="36"/>
        <v>0</v>
      </c>
      <c r="J316" s="188">
        <v>0.22500000000000006</v>
      </c>
      <c r="K316" s="188" t="s">
        <v>31</v>
      </c>
      <c r="L316" s="188" t="s">
        <v>31</v>
      </c>
      <c r="M316" s="188" t="s">
        <v>31</v>
      </c>
      <c r="O316" s="379" t="s">
        <v>275</v>
      </c>
      <c r="P316" s="430">
        <v>1</v>
      </c>
    </row>
    <row r="317" spans="1:20">
      <c r="A317" s="84" t="s">
        <v>807</v>
      </c>
      <c r="B317" s="393">
        <f t="shared" si="33"/>
        <v>9.7999999999999997E-3</v>
      </c>
      <c r="C317" s="188" t="s">
        <v>37</v>
      </c>
      <c r="D317" s="188" t="s">
        <v>43</v>
      </c>
      <c r="E317" s="188" t="s">
        <v>44</v>
      </c>
      <c r="F317" s="188" t="s">
        <v>29</v>
      </c>
      <c r="G317" s="188" t="s">
        <v>45</v>
      </c>
      <c r="H317" s="188">
        <v>2</v>
      </c>
      <c r="I317" s="188">
        <f t="shared" si="36"/>
        <v>-4.6253728933056104</v>
      </c>
      <c r="J317" s="188">
        <v>0.22500000000000006</v>
      </c>
      <c r="K317" s="188" t="s">
        <v>31</v>
      </c>
      <c r="L317" s="188" t="s">
        <v>31</v>
      </c>
      <c r="M317" s="188" t="s">
        <v>31</v>
      </c>
      <c r="O317" s="394" t="s">
        <v>275</v>
      </c>
      <c r="P317" s="395">
        <v>9.7999999999999997E-3</v>
      </c>
    </row>
    <row r="318" spans="1:20">
      <c r="A318" s="188" t="s">
        <v>829</v>
      </c>
      <c r="B318" s="393">
        <f t="shared" si="33"/>
        <v>0.18</v>
      </c>
      <c r="C318" s="188" t="s">
        <v>37</v>
      </c>
      <c r="D318" s="386" t="s">
        <v>2</v>
      </c>
      <c r="E318" s="188" t="s">
        <v>29</v>
      </c>
      <c r="F318" s="37" t="s">
        <v>74</v>
      </c>
      <c r="G318" s="188" t="s">
        <v>33</v>
      </c>
      <c r="H318" s="188">
        <v>2</v>
      </c>
      <c r="I318" s="188">
        <f t="shared" si="36"/>
        <v>-1.7147984280919266</v>
      </c>
      <c r="J318" s="188">
        <v>0.22500000000000006</v>
      </c>
      <c r="K318" s="188" t="s">
        <v>31</v>
      </c>
      <c r="L318" s="188" t="s">
        <v>31</v>
      </c>
      <c r="M318" s="188" t="s">
        <v>31</v>
      </c>
      <c r="O318" s="396" t="s">
        <v>275</v>
      </c>
      <c r="P318" s="431">
        <v>0.18</v>
      </c>
    </row>
    <row r="319" spans="1:20" s="330" customFormat="1">
      <c r="A319" s="347" t="s">
        <v>5</v>
      </c>
      <c r="B319" s="348" t="s">
        <v>1348</v>
      </c>
    </row>
    <row r="320" spans="1:20">
      <c r="A320" s="323" t="s">
        <v>7</v>
      </c>
      <c r="B320" s="188" t="s">
        <v>831</v>
      </c>
      <c r="C320" s="322"/>
    </row>
    <row r="321" spans="1:20">
      <c r="A321" s="402" t="s">
        <v>9</v>
      </c>
      <c r="B321" s="188" t="s">
        <v>1349</v>
      </c>
      <c r="C321" s="322"/>
    </row>
    <row r="322" spans="1:20" ht="15.75" customHeight="1">
      <c r="A322" s="323" t="s">
        <v>11</v>
      </c>
      <c r="B322" s="324" t="s">
        <v>841</v>
      </c>
    </row>
    <row r="323" spans="1:20">
      <c r="A323" s="323" t="s">
        <v>13</v>
      </c>
      <c r="B323" s="188" t="s">
        <v>14</v>
      </c>
    </row>
    <row r="324" spans="1:20">
      <c r="A324" s="323" t="s">
        <v>15</v>
      </c>
      <c r="B324" s="393">
        <f>B329</f>
        <v>4.2000000000000003E-2</v>
      </c>
    </row>
    <row r="325" spans="1:20">
      <c r="A325" s="323" t="s">
        <v>16</v>
      </c>
      <c r="B325" s="188" t="s">
        <v>17</v>
      </c>
    </row>
    <row r="326" spans="1:20">
      <c r="A326" s="323" t="s">
        <v>18</v>
      </c>
      <c r="B326" s="188" t="s">
        <v>853</v>
      </c>
    </row>
    <row r="327" spans="1:20">
      <c r="A327" s="320" t="s">
        <v>19</v>
      </c>
    </row>
    <row r="328" spans="1:20">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T328" s="393"/>
    </row>
    <row r="329" spans="1:20">
      <c r="A329" s="188" t="s">
        <v>1348</v>
      </c>
      <c r="B329" s="393">
        <f>P330</f>
        <v>4.2000000000000003E-2</v>
      </c>
      <c r="C329" s="188" t="s">
        <v>853</v>
      </c>
      <c r="D329" s="386" t="s">
        <v>2</v>
      </c>
      <c r="E329" s="188" t="s">
        <v>29</v>
      </c>
      <c r="F329" s="188" t="s">
        <v>14</v>
      </c>
      <c r="G329" s="188" t="s">
        <v>30</v>
      </c>
      <c r="H329" s="188">
        <v>1</v>
      </c>
      <c r="I329" s="393">
        <f t="shared" ref="I329:I331" si="37">B329</f>
        <v>4.2000000000000003E-2</v>
      </c>
      <c r="J329" s="188" t="s">
        <v>31</v>
      </c>
      <c r="K329" s="188" t="s">
        <v>31</v>
      </c>
      <c r="L329" s="188" t="s">
        <v>31</v>
      </c>
      <c r="M329" s="188" t="s">
        <v>31</v>
      </c>
    </row>
    <row r="330" spans="1:20" ht="14.45">
      <c r="A330" s="192" t="s">
        <v>1350</v>
      </c>
      <c r="B330" s="393">
        <f>P330</f>
        <v>4.2000000000000003E-2</v>
      </c>
      <c r="C330" s="188" t="s">
        <v>853</v>
      </c>
      <c r="D330" s="386" t="s">
        <v>2</v>
      </c>
      <c r="E330" s="188" t="s">
        <v>29</v>
      </c>
      <c r="F330" s="188" t="s">
        <v>14</v>
      </c>
      <c r="G330" s="188" t="s">
        <v>33</v>
      </c>
      <c r="H330" s="188">
        <v>1</v>
      </c>
      <c r="I330" s="393">
        <f t="shared" si="37"/>
        <v>4.2000000000000003E-2</v>
      </c>
      <c r="J330" s="188">
        <v>2.8722813232690055E-2</v>
      </c>
      <c r="K330" s="188" t="s">
        <v>31</v>
      </c>
      <c r="L330" s="188" t="s">
        <v>31</v>
      </c>
      <c r="M330" s="188" t="s">
        <v>31</v>
      </c>
      <c r="O330" s="374" t="s">
        <v>873</v>
      </c>
      <c r="P330" s="151">
        <v>4.2000000000000003E-2</v>
      </c>
    </row>
    <row r="331" spans="1:20">
      <c r="A331" s="192" t="s">
        <v>1291</v>
      </c>
      <c r="B331" s="188">
        <f>R331</f>
        <v>0.442</v>
      </c>
      <c r="C331" s="188" t="s">
        <v>275</v>
      </c>
      <c r="D331" s="386" t="s">
        <v>2</v>
      </c>
      <c r="E331" s="188" t="s">
        <v>29</v>
      </c>
      <c r="F331" s="188" t="s">
        <v>14</v>
      </c>
      <c r="G331" s="188" t="s">
        <v>33</v>
      </c>
      <c r="H331" s="188">
        <v>1</v>
      </c>
      <c r="I331" s="393">
        <f t="shared" si="37"/>
        <v>0.442</v>
      </c>
      <c r="J331" s="188">
        <v>2.8722813232690055E-2</v>
      </c>
      <c r="K331" s="188" t="s">
        <v>31</v>
      </c>
      <c r="L331" s="188" t="s">
        <v>31</v>
      </c>
      <c r="M331" s="188" t="s">
        <v>31</v>
      </c>
      <c r="O331" s="374" t="s">
        <v>857</v>
      </c>
      <c r="P331" s="433">
        <v>442</v>
      </c>
      <c r="Q331" s="188" t="s">
        <v>275</v>
      </c>
      <c r="R331" s="188">
        <f>P331*0.001</f>
        <v>0.442</v>
      </c>
    </row>
    <row r="332" spans="1:20">
      <c r="A332" s="323" t="s">
        <v>265</v>
      </c>
      <c r="B332" s="327">
        <f>P332</f>
        <v>0.04</v>
      </c>
      <c r="C332" s="188" t="s">
        <v>39</v>
      </c>
      <c r="D332" s="188" t="s">
        <v>40</v>
      </c>
      <c r="E332" s="188" t="s">
        <v>29</v>
      </c>
      <c r="F332" s="37" t="s">
        <v>35</v>
      </c>
      <c r="G332" s="188" t="s">
        <v>33</v>
      </c>
      <c r="H332" s="188">
        <v>2</v>
      </c>
      <c r="I332" s="188">
        <f t="shared" ref="I332:I334" si="38">LN(B332)</f>
        <v>-3.2188758248682006</v>
      </c>
      <c r="J332" s="188">
        <v>0.20928449536456342</v>
      </c>
      <c r="K332" s="188" t="s">
        <v>31</v>
      </c>
      <c r="L332" s="188" t="s">
        <v>31</v>
      </c>
      <c r="M332" s="188" t="s">
        <v>31</v>
      </c>
      <c r="O332" s="379" t="s">
        <v>271</v>
      </c>
      <c r="P332" s="430">
        <v>0.04</v>
      </c>
    </row>
    <row r="333" spans="1:20">
      <c r="A333" s="323" t="s">
        <v>265</v>
      </c>
      <c r="B333" s="327">
        <f>P333</f>
        <v>2.5</v>
      </c>
      <c r="C333" s="188" t="s">
        <v>39</v>
      </c>
      <c r="D333" s="188" t="s">
        <v>40</v>
      </c>
      <c r="E333" s="188" t="s">
        <v>29</v>
      </c>
      <c r="F333" s="37" t="s">
        <v>35</v>
      </c>
      <c r="G333" s="188" t="s">
        <v>33</v>
      </c>
      <c r="H333" s="188">
        <v>2</v>
      </c>
      <c r="I333" s="188">
        <f t="shared" si="38"/>
        <v>0.91629073187415511</v>
      </c>
      <c r="J333" s="188">
        <v>0.20928449536456342</v>
      </c>
      <c r="K333" s="188" t="s">
        <v>31</v>
      </c>
      <c r="L333" s="188" t="s">
        <v>31</v>
      </c>
      <c r="M333" s="188" t="s">
        <v>31</v>
      </c>
      <c r="O333" s="379" t="s">
        <v>271</v>
      </c>
      <c r="P333" s="392">
        <v>2.5</v>
      </c>
    </row>
    <row r="334" spans="1:20">
      <c r="A334" s="323" t="s">
        <v>265</v>
      </c>
      <c r="B334" s="327">
        <f>P334</f>
        <v>0.64</v>
      </c>
      <c r="C334" s="188" t="s">
        <v>39</v>
      </c>
      <c r="D334" s="188" t="s">
        <v>40</v>
      </c>
      <c r="E334" s="188" t="s">
        <v>29</v>
      </c>
      <c r="F334" s="37" t="s">
        <v>35</v>
      </c>
      <c r="G334" s="188" t="s">
        <v>33</v>
      </c>
      <c r="H334" s="188">
        <v>2</v>
      </c>
      <c r="I334" s="188">
        <f t="shared" si="38"/>
        <v>-0.44628710262841947</v>
      </c>
      <c r="J334" s="188">
        <v>9.6436507609929598E-2</v>
      </c>
      <c r="K334" s="188" t="s">
        <v>31</v>
      </c>
      <c r="L334" s="188" t="s">
        <v>31</v>
      </c>
      <c r="M334" s="188" t="s">
        <v>31</v>
      </c>
      <c r="O334" s="379" t="s">
        <v>271</v>
      </c>
      <c r="P334" s="392">
        <v>0.64</v>
      </c>
    </row>
    <row r="335" spans="1:20">
      <c r="A335" s="84" t="s">
        <v>731</v>
      </c>
      <c r="B335" s="393">
        <f>R335</f>
        <v>4.0000000000000001E-3</v>
      </c>
      <c r="C335" s="188" t="s">
        <v>37</v>
      </c>
      <c r="D335" s="188" t="s">
        <v>40</v>
      </c>
      <c r="E335" s="188" t="s">
        <v>29</v>
      </c>
      <c r="F335" s="188" t="s">
        <v>35</v>
      </c>
      <c r="G335" s="188" t="s">
        <v>33</v>
      </c>
      <c r="H335" s="188">
        <v>2</v>
      </c>
      <c r="I335" s="188">
        <f>LN(B335)</f>
        <v>-5.521460917862246</v>
      </c>
      <c r="J335" s="188">
        <v>0.20928449536456342</v>
      </c>
      <c r="K335" s="188" t="s">
        <v>31</v>
      </c>
      <c r="L335" s="188" t="s">
        <v>31</v>
      </c>
      <c r="M335" s="188" t="s">
        <v>31</v>
      </c>
      <c r="O335" s="379" t="s">
        <v>857</v>
      </c>
      <c r="P335" s="392">
        <v>4</v>
      </c>
      <c r="Q335" s="188" t="s">
        <v>275</v>
      </c>
      <c r="R335" s="188">
        <f>P335*0.001</f>
        <v>4.0000000000000001E-3</v>
      </c>
    </row>
    <row r="336" spans="1:20">
      <c r="A336" s="323" t="s">
        <v>844</v>
      </c>
      <c r="B336" s="393">
        <f>P336</f>
        <v>0.03</v>
      </c>
      <c r="C336" s="188" t="s">
        <v>37</v>
      </c>
      <c r="D336" s="188" t="s">
        <v>40</v>
      </c>
      <c r="E336" s="188" t="s">
        <v>29</v>
      </c>
      <c r="F336" s="37" t="s">
        <v>74</v>
      </c>
      <c r="G336" s="188" t="s">
        <v>33</v>
      </c>
      <c r="H336" s="188">
        <v>2</v>
      </c>
      <c r="I336" s="188">
        <f>LN(B336)</f>
        <v>-3.5065578973199818</v>
      </c>
      <c r="J336" s="188">
        <v>0.20928449536456342</v>
      </c>
      <c r="K336" s="188" t="s">
        <v>31</v>
      </c>
      <c r="L336" s="188" t="s">
        <v>31</v>
      </c>
      <c r="M336" s="188" t="s">
        <v>31</v>
      </c>
      <c r="O336" s="379" t="s">
        <v>275</v>
      </c>
      <c r="P336" s="430">
        <v>0.03</v>
      </c>
    </row>
    <row r="337" spans="1:20">
      <c r="A337" s="84" t="s">
        <v>481</v>
      </c>
      <c r="B337" s="419">
        <f>R337</f>
        <v>6.4000000000000003E-3</v>
      </c>
      <c r="C337" s="188" t="s">
        <v>37</v>
      </c>
      <c r="D337" s="188" t="s">
        <v>40</v>
      </c>
      <c r="E337" s="188" t="s">
        <v>29</v>
      </c>
      <c r="F337" s="37" t="s">
        <v>82</v>
      </c>
      <c r="G337" s="188" t="s">
        <v>33</v>
      </c>
      <c r="H337" s="188">
        <v>2</v>
      </c>
      <c r="I337" s="188">
        <f>LN(B337)</f>
        <v>-5.0514572886165112</v>
      </c>
      <c r="J337" s="188">
        <v>0.20928449536456342</v>
      </c>
      <c r="K337" s="188" t="s">
        <v>31</v>
      </c>
      <c r="L337" s="188" t="s">
        <v>31</v>
      </c>
      <c r="M337" s="188" t="s">
        <v>31</v>
      </c>
      <c r="O337" s="379" t="s">
        <v>857</v>
      </c>
      <c r="P337" s="392">
        <v>6.4</v>
      </c>
      <c r="Q337" s="188" t="s">
        <v>275</v>
      </c>
      <c r="R337" s="188">
        <f>P337*0.001</f>
        <v>6.4000000000000003E-3</v>
      </c>
    </row>
    <row r="338" spans="1:20">
      <c r="A338" s="84" t="s">
        <v>987</v>
      </c>
      <c r="B338" s="188">
        <f>R338</f>
        <v>0.01</v>
      </c>
      <c r="C338" s="188" t="s">
        <v>37</v>
      </c>
      <c r="D338" s="188" t="s">
        <v>40</v>
      </c>
      <c r="E338" s="188" t="s">
        <v>29</v>
      </c>
      <c r="F338" s="188" t="s">
        <v>35</v>
      </c>
      <c r="G338" s="188" t="s">
        <v>33</v>
      </c>
      <c r="H338" s="188">
        <v>2</v>
      </c>
      <c r="I338" s="188">
        <f>LN(B338)</f>
        <v>-4.6051701859880909</v>
      </c>
      <c r="J338" s="188">
        <v>0.20928449536456342</v>
      </c>
      <c r="K338" s="188" t="s">
        <v>31</v>
      </c>
      <c r="L338" s="188" t="s">
        <v>31</v>
      </c>
      <c r="M338" s="188" t="s">
        <v>31</v>
      </c>
      <c r="O338" s="379" t="s">
        <v>857</v>
      </c>
      <c r="P338" s="392">
        <v>10</v>
      </c>
      <c r="Q338" s="188" t="s">
        <v>275</v>
      </c>
      <c r="R338" s="188">
        <f>P338*0.001</f>
        <v>0.01</v>
      </c>
    </row>
    <row r="339" spans="1:20">
      <c r="A339" s="323" t="s">
        <v>845</v>
      </c>
      <c r="B339" s="188">
        <f>P339</f>
        <v>7.4</v>
      </c>
      <c r="C339" s="188" t="s">
        <v>37</v>
      </c>
      <c r="D339" s="188" t="s">
        <v>40</v>
      </c>
      <c r="E339" s="188" t="s">
        <v>29</v>
      </c>
      <c r="F339" s="37" t="s">
        <v>35</v>
      </c>
      <c r="G339" s="188" t="s">
        <v>33</v>
      </c>
      <c r="H339" s="188">
        <v>2</v>
      </c>
      <c r="I339" s="188">
        <f t="shared" ref="I339:I340" si="39">LN(B339)</f>
        <v>2.0014800002101243</v>
      </c>
      <c r="J339" s="188">
        <v>0.20928449536456342</v>
      </c>
      <c r="K339" s="188" t="s">
        <v>31</v>
      </c>
      <c r="L339" s="188" t="s">
        <v>31</v>
      </c>
      <c r="M339" s="188" t="s">
        <v>31</v>
      </c>
      <c r="O339" s="379" t="s">
        <v>275</v>
      </c>
      <c r="P339" s="392">
        <v>7.4</v>
      </c>
    </row>
    <row r="340" spans="1:20">
      <c r="A340" s="188" t="s">
        <v>829</v>
      </c>
      <c r="B340" s="393">
        <f>P340</f>
        <v>2.1000000000000001E-2</v>
      </c>
      <c r="C340" s="188" t="s">
        <v>37</v>
      </c>
      <c r="D340" s="386" t="s">
        <v>2</v>
      </c>
      <c r="E340" s="188" t="s">
        <v>29</v>
      </c>
      <c r="F340" s="37" t="s">
        <v>74</v>
      </c>
      <c r="G340" s="188" t="s">
        <v>33</v>
      </c>
      <c r="H340" s="188">
        <v>2</v>
      </c>
      <c r="I340" s="188">
        <f t="shared" si="39"/>
        <v>-3.8632328412587138</v>
      </c>
      <c r="J340" s="188">
        <v>0.20928449536456342</v>
      </c>
      <c r="K340" s="188" t="s">
        <v>31</v>
      </c>
      <c r="L340" s="188" t="s">
        <v>31</v>
      </c>
      <c r="M340" s="188" t="s">
        <v>31</v>
      </c>
      <c r="O340" s="396" t="s">
        <v>275</v>
      </c>
      <c r="P340" s="431">
        <v>2.1000000000000001E-2</v>
      </c>
    </row>
    <row r="341" spans="1:20" s="330" customFormat="1">
      <c r="A341" s="347" t="s">
        <v>5</v>
      </c>
      <c r="B341" s="348" t="s">
        <v>1350</v>
      </c>
      <c r="P341" s="447"/>
    </row>
    <row r="342" spans="1:20">
      <c r="A342" s="323" t="s">
        <v>7</v>
      </c>
      <c r="B342" s="188" t="s">
        <v>831</v>
      </c>
      <c r="C342" s="322"/>
    </row>
    <row r="343" spans="1:20">
      <c r="A343" s="402" t="s">
        <v>9</v>
      </c>
      <c r="B343" s="188" t="s">
        <v>1351</v>
      </c>
      <c r="C343" s="322"/>
    </row>
    <row r="344" spans="1:20" ht="15.75" customHeight="1">
      <c r="A344" s="323" t="s">
        <v>11</v>
      </c>
      <c r="B344" s="324" t="s">
        <v>841</v>
      </c>
    </row>
    <row r="345" spans="1:20">
      <c r="A345" s="323" t="s">
        <v>13</v>
      </c>
      <c r="B345" s="188" t="s">
        <v>14</v>
      </c>
    </row>
    <row r="346" spans="1:20">
      <c r="A346" s="323" t="s">
        <v>15</v>
      </c>
      <c r="B346" s="393">
        <f>B351</f>
        <v>4.2000000000000003E-2</v>
      </c>
    </row>
    <row r="347" spans="1:20">
      <c r="A347" s="323" t="s">
        <v>16</v>
      </c>
      <c r="B347" s="188" t="s">
        <v>17</v>
      </c>
    </row>
    <row r="348" spans="1:20">
      <c r="A348" s="323" t="s">
        <v>18</v>
      </c>
      <c r="B348" s="188" t="s">
        <v>853</v>
      </c>
    </row>
    <row r="349" spans="1:20">
      <c r="A349" s="320" t="s">
        <v>19</v>
      </c>
    </row>
    <row r="350" spans="1:20">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T350" s="393"/>
    </row>
    <row r="351" spans="1:20">
      <c r="A351" s="192" t="s">
        <v>1350</v>
      </c>
      <c r="B351" s="393">
        <f>P351</f>
        <v>4.2000000000000003E-2</v>
      </c>
      <c r="C351" s="188" t="s">
        <v>853</v>
      </c>
      <c r="D351" s="386" t="s">
        <v>2</v>
      </c>
      <c r="E351" s="188" t="s">
        <v>29</v>
      </c>
      <c r="F351" s="188" t="s">
        <v>14</v>
      </c>
      <c r="G351" s="188" t="s">
        <v>30</v>
      </c>
      <c r="H351" s="188">
        <v>1</v>
      </c>
      <c r="I351" s="393">
        <f>B351</f>
        <v>4.2000000000000003E-2</v>
      </c>
      <c r="J351" s="188" t="s">
        <v>31</v>
      </c>
      <c r="K351" s="188" t="s">
        <v>31</v>
      </c>
      <c r="L351" s="188" t="s">
        <v>31</v>
      </c>
      <c r="M351" s="188" t="s">
        <v>31</v>
      </c>
      <c r="O351" s="374" t="s">
        <v>873</v>
      </c>
      <c r="P351" s="447">
        <v>4.2000000000000003E-2</v>
      </c>
    </row>
    <row r="352" spans="1:20">
      <c r="A352" s="84" t="s">
        <v>898</v>
      </c>
      <c r="B352" s="188">
        <f>P352</f>
        <v>0.08</v>
      </c>
      <c r="C352" s="188" t="s">
        <v>37</v>
      </c>
      <c r="D352" s="188" t="s">
        <v>40</v>
      </c>
      <c r="E352" s="188" t="s">
        <v>29</v>
      </c>
      <c r="F352" s="188" t="s">
        <v>82</v>
      </c>
      <c r="G352" s="188" t="s">
        <v>33</v>
      </c>
      <c r="H352" s="188">
        <v>2</v>
      </c>
      <c r="I352" s="188">
        <f t="shared" ref="I352:I362" si="40">LN(B352)</f>
        <v>-2.5257286443082556</v>
      </c>
      <c r="J352" s="442">
        <v>0.22516660498395411</v>
      </c>
      <c r="K352" s="188" t="s">
        <v>31</v>
      </c>
      <c r="L352" s="188" t="s">
        <v>31</v>
      </c>
      <c r="M352" s="188" t="s">
        <v>31</v>
      </c>
      <c r="O352" s="379" t="s">
        <v>275</v>
      </c>
      <c r="P352" s="392">
        <v>0.08</v>
      </c>
    </row>
    <row r="353" spans="1:18">
      <c r="A353" s="323" t="s">
        <v>265</v>
      </c>
      <c r="B353" s="327">
        <f>P353</f>
        <v>0.89</v>
      </c>
      <c r="C353" s="188" t="s">
        <v>39</v>
      </c>
      <c r="D353" s="188" t="s">
        <v>40</v>
      </c>
      <c r="E353" s="188" t="s">
        <v>29</v>
      </c>
      <c r="F353" s="37" t="s">
        <v>35</v>
      </c>
      <c r="G353" s="188" t="s">
        <v>33</v>
      </c>
      <c r="H353" s="188">
        <v>2</v>
      </c>
      <c r="I353" s="188">
        <f t="shared" si="40"/>
        <v>-0.11653381625595151</v>
      </c>
      <c r="J353" s="442">
        <v>0.22516660498395411</v>
      </c>
      <c r="K353" s="188" t="s">
        <v>31</v>
      </c>
      <c r="L353" s="188" t="s">
        <v>31</v>
      </c>
      <c r="M353" s="188" t="s">
        <v>31</v>
      </c>
      <c r="O353" s="379" t="s">
        <v>271</v>
      </c>
      <c r="P353" s="392">
        <v>0.89</v>
      </c>
    </row>
    <row r="354" spans="1:18">
      <c r="A354" s="84" t="s">
        <v>1018</v>
      </c>
      <c r="B354" s="393">
        <f>R354</f>
        <v>2E-3</v>
      </c>
      <c r="C354" s="188" t="s">
        <v>37</v>
      </c>
      <c r="D354" s="188" t="s">
        <v>40</v>
      </c>
      <c r="E354" s="188" t="s">
        <v>29</v>
      </c>
      <c r="F354" s="188" t="s">
        <v>35</v>
      </c>
      <c r="G354" s="188" t="s">
        <v>33</v>
      </c>
      <c r="H354" s="188">
        <v>2</v>
      </c>
      <c r="I354" s="188">
        <f t="shared" si="40"/>
        <v>-6.2146080984221914</v>
      </c>
      <c r="J354" s="442">
        <v>0.22516660498395411</v>
      </c>
      <c r="K354" s="188" t="s">
        <v>31</v>
      </c>
      <c r="L354" s="188" t="s">
        <v>31</v>
      </c>
      <c r="M354" s="188" t="s">
        <v>31</v>
      </c>
      <c r="O354" s="379" t="s">
        <v>857</v>
      </c>
      <c r="P354" s="430">
        <v>2</v>
      </c>
      <c r="Q354" s="188" t="s">
        <v>275</v>
      </c>
      <c r="R354" s="393">
        <f>0.001*P354</f>
        <v>2E-3</v>
      </c>
    </row>
    <row r="355" spans="1:18">
      <c r="A355" s="84" t="s">
        <v>1019</v>
      </c>
      <c r="B355" s="393">
        <f>P355</f>
        <v>7.1999999999999998E-3</v>
      </c>
      <c r="C355" s="188" t="s">
        <v>37</v>
      </c>
      <c r="D355" s="188" t="s">
        <v>40</v>
      </c>
      <c r="E355" s="188" t="s">
        <v>29</v>
      </c>
      <c r="F355" s="188" t="s">
        <v>35</v>
      </c>
      <c r="G355" s="188" t="s">
        <v>33</v>
      </c>
      <c r="H355" s="188">
        <v>2</v>
      </c>
      <c r="I355" s="188">
        <f t="shared" si="40"/>
        <v>-4.9336742529601274</v>
      </c>
      <c r="J355" s="442">
        <v>0.22516660498395411</v>
      </c>
      <c r="K355" s="188" t="s">
        <v>31</v>
      </c>
      <c r="L355" s="188" t="s">
        <v>31</v>
      </c>
      <c r="M355" s="188" t="s">
        <v>31</v>
      </c>
      <c r="O355" s="379" t="s">
        <v>275</v>
      </c>
      <c r="P355" s="430">
        <v>7.1999999999999998E-3</v>
      </c>
    </row>
    <row r="356" spans="1:18">
      <c r="A356" s="84" t="s">
        <v>1020</v>
      </c>
      <c r="B356" s="393">
        <f>P356</f>
        <v>5.8999999999999999E-3</v>
      </c>
      <c r="C356" s="188" t="s">
        <v>37</v>
      </c>
      <c r="D356" s="188" t="s">
        <v>40</v>
      </c>
      <c r="E356" s="188" t="s">
        <v>29</v>
      </c>
      <c r="F356" s="188" t="s">
        <v>35</v>
      </c>
      <c r="G356" s="188" t="s">
        <v>33</v>
      </c>
      <c r="H356" s="188">
        <v>2</v>
      </c>
      <c r="I356" s="188">
        <f t="shared" si="40"/>
        <v>-5.132802928070463</v>
      </c>
      <c r="J356" s="442">
        <v>0.22516660498395411</v>
      </c>
      <c r="K356" s="188" t="s">
        <v>31</v>
      </c>
      <c r="L356" s="188" t="s">
        <v>31</v>
      </c>
      <c r="M356" s="188" t="s">
        <v>31</v>
      </c>
      <c r="O356" s="379" t="s">
        <v>275</v>
      </c>
      <c r="P356" s="430">
        <v>5.8999999999999999E-3</v>
      </c>
    </row>
    <row r="357" spans="1:18">
      <c r="A357" s="84" t="s">
        <v>1021</v>
      </c>
      <c r="B357" s="393">
        <f>P357</f>
        <v>5.1999999999999998E-2</v>
      </c>
      <c r="C357" s="188" t="s">
        <v>37</v>
      </c>
      <c r="D357" s="188" t="s">
        <v>40</v>
      </c>
      <c r="E357" s="188" t="s">
        <v>29</v>
      </c>
      <c r="F357" s="188" t="s">
        <v>35</v>
      </c>
      <c r="G357" s="188" t="s">
        <v>33</v>
      </c>
      <c r="H357" s="188">
        <v>2</v>
      </c>
      <c r="I357" s="188">
        <f t="shared" si="40"/>
        <v>-2.9565115604007097</v>
      </c>
      <c r="J357" s="442">
        <v>0.22516660498395411</v>
      </c>
      <c r="K357" s="188" t="s">
        <v>31</v>
      </c>
      <c r="L357" s="188" t="s">
        <v>31</v>
      </c>
      <c r="M357" s="188" t="s">
        <v>31</v>
      </c>
      <c r="O357" s="379" t="s">
        <v>275</v>
      </c>
      <c r="P357" s="392">
        <v>5.1999999999999998E-2</v>
      </c>
    </row>
    <row r="358" spans="1:18">
      <c r="A358" s="84" t="s">
        <v>1022</v>
      </c>
      <c r="B358" s="393">
        <f>R358</f>
        <v>2.9999999999999997E-4</v>
      </c>
      <c r="C358" s="188" t="s">
        <v>37</v>
      </c>
      <c r="D358" s="188" t="s">
        <v>43</v>
      </c>
      <c r="E358" s="188" t="s">
        <v>44</v>
      </c>
      <c r="F358" s="188" t="s">
        <v>29</v>
      </c>
      <c r="G358" s="188" t="s">
        <v>45</v>
      </c>
      <c r="H358" s="188">
        <v>2</v>
      </c>
      <c r="I358" s="188">
        <f t="shared" si="40"/>
        <v>-8.1117280833080727</v>
      </c>
      <c r="J358" s="442">
        <v>0.10344080432788608</v>
      </c>
      <c r="K358" s="188" t="s">
        <v>31</v>
      </c>
      <c r="L358" s="188" t="s">
        <v>31</v>
      </c>
      <c r="M358" s="188" t="s">
        <v>31</v>
      </c>
      <c r="O358" s="394" t="s">
        <v>857</v>
      </c>
      <c r="P358" s="395">
        <v>0.3</v>
      </c>
      <c r="Q358" s="188" t="s">
        <v>275</v>
      </c>
      <c r="R358" s="393">
        <f>0.001*P358</f>
        <v>2.9999999999999997E-4</v>
      </c>
    </row>
    <row r="359" spans="1:18">
      <c r="A359" s="84" t="s">
        <v>77</v>
      </c>
      <c r="B359" s="393">
        <f t="shared" ref="B359:B361" si="41">R359</f>
        <v>3.0000000000000001E-3</v>
      </c>
      <c r="C359" s="188" t="s">
        <v>37</v>
      </c>
      <c r="D359" s="188" t="s">
        <v>43</v>
      </c>
      <c r="E359" s="188" t="s">
        <v>44</v>
      </c>
      <c r="F359" s="188" t="s">
        <v>29</v>
      </c>
      <c r="G359" s="188" t="s">
        <v>45</v>
      </c>
      <c r="H359" s="188">
        <v>2</v>
      </c>
      <c r="I359" s="188">
        <f t="shared" si="40"/>
        <v>-5.8091429903140277</v>
      </c>
      <c r="J359" s="442">
        <v>0.10344080432788608</v>
      </c>
      <c r="K359" s="188" t="s">
        <v>31</v>
      </c>
      <c r="L359" s="188" t="s">
        <v>31</v>
      </c>
      <c r="M359" s="188" t="s">
        <v>31</v>
      </c>
      <c r="O359" s="394" t="s">
        <v>857</v>
      </c>
      <c r="P359" s="395">
        <v>3</v>
      </c>
      <c r="Q359" s="188" t="s">
        <v>275</v>
      </c>
      <c r="R359" s="393">
        <f>0.001*P359</f>
        <v>3.0000000000000001E-3</v>
      </c>
    </row>
    <row r="360" spans="1:18">
      <c r="A360" s="84" t="s">
        <v>1023</v>
      </c>
      <c r="B360" s="393">
        <f t="shared" si="41"/>
        <v>2E-3</v>
      </c>
      <c r="C360" s="188" t="s">
        <v>37</v>
      </c>
      <c r="D360" s="188" t="s">
        <v>43</v>
      </c>
      <c r="E360" s="188" t="s">
        <v>44</v>
      </c>
      <c r="F360" s="188" t="s">
        <v>29</v>
      </c>
      <c r="G360" s="188" t="s">
        <v>45</v>
      </c>
      <c r="H360" s="188">
        <v>2</v>
      </c>
      <c r="I360" s="188">
        <f t="shared" si="40"/>
        <v>-6.2146080984221914</v>
      </c>
      <c r="J360" s="442">
        <v>0.10344080432788608</v>
      </c>
      <c r="K360" s="188" t="s">
        <v>31</v>
      </c>
      <c r="L360" s="188" t="s">
        <v>31</v>
      </c>
      <c r="M360" s="188" t="s">
        <v>31</v>
      </c>
      <c r="O360" s="394" t="s">
        <v>857</v>
      </c>
      <c r="P360" s="395">
        <v>2</v>
      </c>
      <c r="Q360" s="188" t="s">
        <v>275</v>
      </c>
      <c r="R360" s="393">
        <f>0.001*P360</f>
        <v>2E-3</v>
      </c>
    </row>
    <row r="361" spans="1:18">
      <c r="A361" s="84" t="s">
        <v>807</v>
      </c>
      <c r="B361" s="393">
        <f t="shared" si="41"/>
        <v>1E-3</v>
      </c>
      <c r="C361" s="188" t="s">
        <v>37</v>
      </c>
      <c r="D361" s="188" t="s">
        <v>43</v>
      </c>
      <c r="E361" s="188" t="s">
        <v>44</v>
      </c>
      <c r="F361" s="188" t="s">
        <v>29</v>
      </c>
      <c r="G361" s="188" t="s">
        <v>45</v>
      </c>
      <c r="H361" s="188">
        <v>2</v>
      </c>
      <c r="I361" s="188">
        <f t="shared" si="40"/>
        <v>-6.9077552789821368</v>
      </c>
      <c r="J361" s="442">
        <v>0.10344080432788608</v>
      </c>
      <c r="K361" s="188" t="s">
        <v>31</v>
      </c>
      <c r="L361" s="188" t="s">
        <v>31</v>
      </c>
      <c r="M361" s="188" t="s">
        <v>31</v>
      </c>
      <c r="O361" s="394" t="s">
        <v>857</v>
      </c>
      <c r="P361" s="395">
        <v>1</v>
      </c>
      <c r="Q361" s="188" t="s">
        <v>275</v>
      </c>
      <c r="R361" s="393">
        <f>0.001*P361</f>
        <v>1E-3</v>
      </c>
    </row>
    <row r="362" spans="1:18">
      <c r="A362" s="188" t="s">
        <v>835</v>
      </c>
      <c r="B362" s="393">
        <f>P362</f>
        <v>1.6E-2</v>
      </c>
      <c r="C362" s="188" t="s">
        <v>37</v>
      </c>
      <c r="D362" s="386" t="s">
        <v>2</v>
      </c>
      <c r="E362" s="188" t="s">
        <v>29</v>
      </c>
      <c r="F362" s="37" t="s">
        <v>74</v>
      </c>
      <c r="G362" s="188" t="s">
        <v>33</v>
      </c>
      <c r="H362" s="188">
        <v>2</v>
      </c>
      <c r="I362" s="188">
        <f t="shared" si="40"/>
        <v>-4.1351665567423561</v>
      </c>
      <c r="J362" s="188">
        <v>0.11269427669584645</v>
      </c>
      <c r="K362" s="188" t="s">
        <v>31</v>
      </c>
      <c r="L362" s="188" t="s">
        <v>31</v>
      </c>
      <c r="M362" s="188" t="s">
        <v>31</v>
      </c>
      <c r="O362" s="396" t="s">
        <v>275</v>
      </c>
      <c r="P362" s="431">
        <v>1.6E-2</v>
      </c>
    </row>
    <row r="363" spans="1:18">
      <c r="P363" s="447"/>
    </row>
  </sheetData>
  <pageMargins left="0.7" right="0.7"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51F10-2BE8-4CDE-9C89-A8F7631D4BE9}">
  <dimension ref="A1:O51"/>
  <sheetViews>
    <sheetView tabSelected="1" workbookViewId="0">
      <selection activeCell="H23" sqref="H23"/>
    </sheetView>
  </sheetViews>
  <sheetFormatPr defaultColWidth="8.85546875" defaultRowHeight="14.45"/>
  <cols>
    <col min="1" max="1" width="33" style="24" bestFit="1" customWidth="1"/>
    <col min="2" max="2" width="39" style="24" bestFit="1" customWidth="1"/>
    <col min="3" max="3" width="11.5703125" style="24" bestFit="1"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6E8CCF122C3C41D790E6F158C885A48D</v>
      </c>
    </row>
    <row r="2" spans="1:15" ht="15.6">
      <c r="A2" s="28" t="s">
        <v>5</v>
      </c>
      <c r="B2" s="28" t="s">
        <v>1352</v>
      </c>
      <c r="C2" s="29"/>
      <c r="D2" s="30"/>
      <c r="E2" s="30"/>
      <c r="F2" s="30"/>
      <c r="G2" s="30"/>
      <c r="H2" s="30"/>
      <c r="I2" s="30"/>
      <c r="J2" s="30"/>
      <c r="K2" s="30"/>
      <c r="L2" s="30"/>
      <c r="M2" s="30"/>
      <c r="N2" s="30"/>
    </row>
    <row r="3" spans="1:15" s="27" customFormat="1" ht="12.95">
      <c r="A3" s="27" t="s">
        <v>7</v>
      </c>
      <c r="B3" s="27" t="s">
        <v>1353</v>
      </c>
    </row>
    <row r="4" spans="1:15" s="27" customFormat="1" ht="12.95">
      <c r="A4" s="27" t="s">
        <v>9</v>
      </c>
      <c r="B4" s="27" t="s">
        <v>1354</v>
      </c>
    </row>
    <row r="5" spans="1:15" s="27" customFormat="1" ht="12.95">
      <c r="A5" s="27" t="s">
        <v>11</v>
      </c>
      <c r="B5" s="27" t="s">
        <v>1355</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37</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2.95">
      <c r="A12" s="27" t="s">
        <v>1352</v>
      </c>
      <c r="B12" s="27">
        <f>B7</f>
        <v>1</v>
      </c>
      <c r="C12" s="27" t="str">
        <f>B9</f>
        <v>kilogram</v>
      </c>
      <c r="D12" s="27" t="s">
        <v>2</v>
      </c>
      <c r="E12" s="27" t="s">
        <v>29</v>
      </c>
      <c r="F12" s="27" t="str">
        <f>B6</f>
        <v>EUR</v>
      </c>
      <c r="G12" s="27" t="s">
        <v>30</v>
      </c>
      <c r="H12" s="27">
        <v>0</v>
      </c>
      <c r="I12" s="27">
        <f t="shared" ref="I12:I17" si="0">B12</f>
        <v>1</v>
      </c>
      <c r="J12" s="27" t="s">
        <v>31</v>
      </c>
      <c r="K12" s="27" t="s">
        <v>31</v>
      </c>
      <c r="L12" s="27" t="s">
        <v>31</v>
      </c>
      <c r="M12" s="27" t="s">
        <v>31</v>
      </c>
    </row>
    <row r="13" spans="1:15" s="27" customFormat="1" ht="12.95">
      <c r="A13" s="37" t="s">
        <v>1356</v>
      </c>
      <c r="B13" s="193">
        <f>1/(((60000+90000)/2)*50000/24)</f>
        <v>6.4000000000000002E-9</v>
      </c>
      <c r="C13" s="27" t="s">
        <v>18</v>
      </c>
      <c r="D13" s="27" t="s">
        <v>2</v>
      </c>
      <c r="E13" s="27" t="s">
        <v>29</v>
      </c>
      <c r="F13" s="27" t="s">
        <v>14</v>
      </c>
      <c r="G13" s="27" t="s">
        <v>33</v>
      </c>
      <c r="H13" s="27">
        <v>0</v>
      </c>
      <c r="I13" s="27">
        <f t="shared" si="0"/>
        <v>6.4000000000000002E-9</v>
      </c>
      <c r="J13" s="27" t="s">
        <v>31</v>
      </c>
      <c r="K13" s="27" t="s">
        <v>31</v>
      </c>
      <c r="L13" s="27" t="s">
        <v>31</v>
      </c>
      <c r="M13" s="27" t="s">
        <v>31</v>
      </c>
      <c r="N13" s="27" t="s">
        <v>1357</v>
      </c>
    </row>
    <row r="14" spans="1:15" s="27" customFormat="1" ht="12.95">
      <c r="A14" s="27" t="s">
        <v>38</v>
      </c>
      <c r="B14" s="27">
        <v>47</v>
      </c>
      <c r="C14" s="42" t="s">
        <v>39</v>
      </c>
      <c r="D14" s="27" t="s">
        <v>40</v>
      </c>
      <c r="E14" s="27" t="s">
        <v>29</v>
      </c>
      <c r="F14" s="27" t="s">
        <v>14</v>
      </c>
      <c r="G14" s="27" t="s">
        <v>33</v>
      </c>
      <c r="H14" s="27">
        <v>0</v>
      </c>
      <c r="I14" s="27">
        <f t="shared" si="0"/>
        <v>47</v>
      </c>
      <c r="J14" s="27" t="s">
        <v>31</v>
      </c>
      <c r="K14" s="27" t="s">
        <v>31</v>
      </c>
      <c r="L14" s="27" t="s">
        <v>31</v>
      </c>
      <c r="M14" s="27" t="s">
        <v>31</v>
      </c>
      <c r="N14" s="37" t="s">
        <v>1358</v>
      </c>
    </row>
    <row r="15" spans="1:15" s="27" customFormat="1" ht="12.95">
      <c r="A15" s="37" t="s">
        <v>1021</v>
      </c>
      <c r="B15" s="42">
        <v>9</v>
      </c>
      <c r="C15" s="27" t="s">
        <v>37</v>
      </c>
      <c r="D15" s="27" t="s">
        <v>40</v>
      </c>
      <c r="E15" s="27" t="s">
        <v>29</v>
      </c>
      <c r="F15" s="27" t="s">
        <v>35</v>
      </c>
      <c r="G15" s="27" t="s">
        <v>33</v>
      </c>
      <c r="H15" s="27">
        <v>0</v>
      </c>
      <c r="I15" s="27">
        <f t="shared" si="0"/>
        <v>9</v>
      </c>
      <c r="J15" s="27" t="s">
        <v>31</v>
      </c>
      <c r="K15" s="27" t="s">
        <v>31</v>
      </c>
      <c r="L15" s="27" t="s">
        <v>31</v>
      </c>
      <c r="M15" s="27" t="s">
        <v>31</v>
      </c>
      <c r="N15" s="27" t="s">
        <v>1359</v>
      </c>
    </row>
    <row r="16" spans="1:15" s="27" customFormat="1" ht="12.95">
      <c r="A16" s="37" t="s">
        <v>1014</v>
      </c>
      <c r="B16" s="194">
        <f>1/1000</f>
        <v>1E-3</v>
      </c>
      <c r="C16" s="27" t="s">
        <v>37</v>
      </c>
      <c r="D16" s="27" t="s">
        <v>40</v>
      </c>
      <c r="E16" s="27" t="s">
        <v>29</v>
      </c>
      <c r="F16" s="27" t="s">
        <v>59</v>
      </c>
      <c r="G16" s="27" t="s">
        <v>33</v>
      </c>
      <c r="H16" s="27">
        <v>0</v>
      </c>
      <c r="I16" s="27">
        <f t="shared" si="0"/>
        <v>1E-3</v>
      </c>
      <c r="J16" s="27" t="s">
        <v>31</v>
      </c>
      <c r="K16" s="27" t="s">
        <v>31</v>
      </c>
      <c r="L16" s="27" t="s">
        <v>31</v>
      </c>
      <c r="M16" s="27" t="s">
        <v>31</v>
      </c>
      <c r="N16" s="27" t="s">
        <v>1360</v>
      </c>
    </row>
    <row r="17" spans="1:14" s="27" customFormat="1" ht="12.95">
      <c r="A17" s="37" t="s">
        <v>1361</v>
      </c>
      <c r="B17" s="42">
        <v>8</v>
      </c>
      <c r="C17" s="27" t="s">
        <v>37</v>
      </c>
      <c r="D17" s="27" t="s">
        <v>43</v>
      </c>
      <c r="E17" s="27" t="s">
        <v>44</v>
      </c>
      <c r="F17" s="27" t="s">
        <v>31</v>
      </c>
      <c r="G17" s="27" t="s">
        <v>45</v>
      </c>
      <c r="H17" s="27">
        <v>0</v>
      </c>
      <c r="I17" s="27">
        <f t="shared" si="0"/>
        <v>8</v>
      </c>
      <c r="J17" s="27" t="s">
        <v>31</v>
      </c>
      <c r="K17" s="27" t="s">
        <v>31</v>
      </c>
      <c r="L17" s="27" t="s">
        <v>31</v>
      </c>
      <c r="M17" s="27" t="s">
        <v>31</v>
      </c>
      <c r="N17" s="27" t="s">
        <v>1362</v>
      </c>
    </row>
    <row r="18" spans="1:14" s="27" customFormat="1" ht="15.6">
      <c r="A18" s="28" t="s">
        <v>5</v>
      </c>
      <c r="B18" s="28" t="s">
        <v>1363</v>
      </c>
      <c r="C18" s="29"/>
      <c r="D18" s="30"/>
      <c r="E18" s="30"/>
      <c r="F18" s="30"/>
      <c r="G18" s="30"/>
      <c r="H18" s="30"/>
      <c r="I18" s="30"/>
      <c r="J18" s="30"/>
      <c r="K18" s="30"/>
      <c r="L18" s="30"/>
      <c r="M18" s="30"/>
      <c r="N18" s="30"/>
    </row>
    <row r="19" spans="1:14" s="27" customFormat="1" ht="12.95">
      <c r="A19" s="27" t="s">
        <v>7</v>
      </c>
      <c r="B19" s="27" t="s">
        <v>1353</v>
      </c>
    </row>
    <row r="20" spans="1:14" s="27" customFormat="1" ht="12.95">
      <c r="A20" s="27" t="s">
        <v>9</v>
      </c>
      <c r="B20" s="27" t="s">
        <v>1364</v>
      </c>
    </row>
    <row r="21" spans="1:14" s="27" customFormat="1" ht="12.95">
      <c r="A21" s="27" t="s">
        <v>11</v>
      </c>
      <c r="B21" s="27" t="s">
        <v>1365</v>
      </c>
    </row>
    <row r="22" spans="1:14">
      <c r="A22" s="27" t="s">
        <v>13</v>
      </c>
      <c r="B22" s="27" t="s">
        <v>14</v>
      </c>
      <c r="C22" s="27"/>
      <c r="D22" s="27"/>
      <c r="E22" s="27"/>
      <c r="F22" s="27"/>
      <c r="G22" s="27"/>
      <c r="H22" s="27"/>
      <c r="I22" s="27"/>
      <c r="J22" s="27"/>
      <c r="K22" s="27"/>
      <c r="L22" s="27"/>
      <c r="M22" s="27"/>
      <c r="N22" s="27"/>
    </row>
    <row r="23" spans="1:14">
      <c r="A23" s="27" t="s">
        <v>15</v>
      </c>
      <c r="B23" s="37">
        <v>1</v>
      </c>
      <c r="C23" s="27"/>
      <c r="D23" s="27"/>
      <c r="E23" s="27"/>
      <c r="F23" s="27"/>
      <c r="G23" s="27"/>
      <c r="H23" s="27"/>
      <c r="I23" s="27"/>
      <c r="J23" s="27"/>
      <c r="K23" s="27"/>
      <c r="L23" s="27"/>
      <c r="M23" s="27"/>
      <c r="N23" s="27"/>
    </row>
    <row r="24" spans="1:14">
      <c r="A24" s="27" t="s">
        <v>16</v>
      </c>
      <c r="B24" s="27" t="s">
        <v>17</v>
      </c>
      <c r="C24" s="27"/>
      <c r="D24" s="27"/>
      <c r="E24" s="27"/>
      <c r="F24" s="27"/>
      <c r="G24" s="27"/>
      <c r="H24" s="27"/>
      <c r="I24" s="27"/>
      <c r="J24" s="27"/>
      <c r="K24" s="27"/>
      <c r="L24" s="27"/>
      <c r="M24" s="27"/>
      <c r="N24" s="27"/>
    </row>
    <row r="25" spans="1:14">
      <c r="A25" s="27" t="s">
        <v>18</v>
      </c>
      <c r="B25" s="27" t="s">
        <v>37</v>
      </c>
      <c r="C25" s="27"/>
      <c r="D25" s="27"/>
      <c r="E25" s="27"/>
      <c r="F25" s="27"/>
      <c r="G25" s="27"/>
      <c r="H25" s="27"/>
      <c r="I25" s="27"/>
      <c r="J25" s="27"/>
      <c r="K25" s="27"/>
      <c r="L25" s="27"/>
      <c r="M25" s="27"/>
      <c r="N25" s="27"/>
    </row>
    <row r="26" spans="1:14" ht="15.6">
      <c r="A26" s="26" t="s">
        <v>19</v>
      </c>
    </row>
    <row r="27" spans="1:14" ht="15.6">
      <c r="A27" s="26" t="s">
        <v>20</v>
      </c>
      <c r="B27" s="26" t="s">
        <v>21</v>
      </c>
      <c r="C27" s="26" t="s">
        <v>18</v>
      </c>
      <c r="D27" s="26" t="s">
        <v>22</v>
      </c>
      <c r="E27" s="26" t="s">
        <v>7</v>
      </c>
      <c r="F27" s="26" t="s">
        <v>13</v>
      </c>
      <c r="G27" s="26" t="s">
        <v>16</v>
      </c>
      <c r="H27" s="26" t="s">
        <v>23</v>
      </c>
      <c r="I27" s="26" t="s">
        <v>24</v>
      </c>
      <c r="J27" s="26" t="s">
        <v>25</v>
      </c>
      <c r="K27" s="26" t="s">
        <v>26</v>
      </c>
      <c r="L27" s="26" t="s">
        <v>27</v>
      </c>
      <c r="M27" s="26" t="s">
        <v>28</v>
      </c>
      <c r="N27" s="26" t="s">
        <v>723</v>
      </c>
    </row>
    <row r="28" spans="1:14">
      <c r="A28" s="27" t="s">
        <v>1363</v>
      </c>
      <c r="B28" s="195">
        <f>B23</f>
        <v>1</v>
      </c>
      <c r="C28" s="27" t="str">
        <f>B25</f>
        <v>kilogram</v>
      </c>
      <c r="D28" s="27" t="s">
        <v>2</v>
      </c>
      <c r="E28" s="27" t="s">
        <v>29</v>
      </c>
      <c r="F28" s="27" t="str">
        <f>B22</f>
        <v>EUR</v>
      </c>
      <c r="G28" s="27" t="s">
        <v>30</v>
      </c>
      <c r="H28" s="27">
        <v>0</v>
      </c>
      <c r="I28" s="27">
        <f>B28</f>
        <v>1</v>
      </c>
      <c r="J28" s="27" t="s">
        <v>31</v>
      </c>
      <c r="K28" s="27" t="s">
        <v>31</v>
      </c>
      <c r="L28" s="27" t="s">
        <v>31</v>
      </c>
      <c r="M28" s="27" t="s">
        <v>31</v>
      </c>
      <c r="N28" s="27"/>
    </row>
    <row r="29" spans="1:14">
      <c r="A29" s="27" t="s">
        <v>1366</v>
      </c>
      <c r="B29" s="193">
        <f>1/(16666667*30)</f>
        <v>1.9999999600000008E-9</v>
      </c>
      <c r="C29" s="27" t="s">
        <v>18</v>
      </c>
      <c r="D29" s="27" t="s">
        <v>2</v>
      </c>
      <c r="E29" s="27" t="s">
        <v>29</v>
      </c>
      <c r="F29" s="27" t="s">
        <v>14</v>
      </c>
      <c r="G29" s="27" t="s">
        <v>33</v>
      </c>
      <c r="H29" s="27">
        <v>0</v>
      </c>
      <c r="I29" s="27">
        <f>B29</f>
        <v>1.9999999600000008E-9</v>
      </c>
      <c r="J29" s="27" t="s">
        <v>31</v>
      </c>
      <c r="K29" s="27" t="s">
        <v>31</v>
      </c>
      <c r="L29" s="27" t="s">
        <v>31</v>
      </c>
      <c r="M29" s="27" t="s">
        <v>31</v>
      </c>
      <c r="N29" s="27" t="s">
        <v>1367</v>
      </c>
    </row>
    <row r="30" spans="1:14">
      <c r="A30" s="37" t="s">
        <v>1352</v>
      </c>
      <c r="B30" s="195">
        <v>1.0165</v>
      </c>
      <c r="C30" s="27" t="s">
        <v>37</v>
      </c>
      <c r="D30" s="27" t="s">
        <v>2</v>
      </c>
      <c r="E30" s="27" t="s">
        <v>29</v>
      </c>
      <c r="F30" s="27" t="s">
        <v>14</v>
      </c>
      <c r="G30" s="27" t="s">
        <v>33</v>
      </c>
      <c r="H30" s="27">
        <v>2</v>
      </c>
      <c r="I30" s="27">
        <f>LN(B30)</f>
        <v>1.636535408626423E-2</v>
      </c>
      <c r="J30" s="27">
        <v>0.22500000000000006</v>
      </c>
      <c r="K30" s="27" t="s">
        <v>31</v>
      </c>
      <c r="L30" s="27" t="s">
        <v>31</v>
      </c>
      <c r="M30" s="27" t="s">
        <v>31</v>
      </c>
      <c r="N30" s="27"/>
    </row>
    <row r="31" spans="1:14">
      <c r="A31" s="27" t="s">
        <v>845</v>
      </c>
      <c r="B31" s="193">
        <f>1.315568531/(16666667*30)</f>
        <v>2.6311370093772598E-9</v>
      </c>
      <c r="C31" s="42" t="s">
        <v>37</v>
      </c>
      <c r="D31" s="27" t="s">
        <v>40</v>
      </c>
      <c r="E31" s="27" t="s">
        <v>29</v>
      </c>
      <c r="F31" s="27" t="s">
        <v>82</v>
      </c>
      <c r="G31" s="27" t="s">
        <v>33</v>
      </c>
      <c r="H31" s="27">
        <v>2</v>
      </c>
      <c r="I31" s="27">
        <f t="shared" ref="I31:I37" si="1">LN(B31)</f>
        <v>-19.755849761224248</v>
      </c>
      <c r="J31" s="27">
        <v>0.22500000000000006</v>
      </c>
      <c r="K31" s="27" t="s">
        <v>31</v>
      </c>
      <c r="L31" s="27" t="s">
        <v>31</v>
      </c>
      <c r="M31" s="27" t="s">
        <v>31</v>
      </c>
      <c r="N31" s="37" t="s">
        <v>1368</v>
      </c>
    </row>
    <row r="32" spans="1:14">
      <c r="A32" s="37" t="s">
        <v>1369</v>
      </c>
      <c r="B32" s="193">
        <f>4.220239644/(16666667*30)</f>
        <v>8.4404791191904185E-9</v>
      </c>
      <c r="C32" s="27" t="s">
        <v>37</v>
      </c>
      <c r="D32" s="27" t="s">
        <v>40</v>
      </c>
      <c r="E32" s="27" t="s">
        <v>29</v>
      </c>
      <c r="F32" s="27" t="s">
        <v>59</v>
      </c>
      <c r="G32" s="27" t="s">
        <v>33</v>
      </c>
      <c r="H32" s="27">
        <v>2</v>
      </c>
      <c r="I32" s="27">
        <f t="shared" si="1"/>
        <v>-18.590226762273179</v>
      </c>
      <c r="J32" s="27">
        <v>0.22500000000000006</v>
      </c>
      <c r="K32" s="27" t="s">
        <v>31</v>
      </c>
      <c r="L32" s="27" t="s">
        <v>31</v>
      </c>
      <c r="M32" s="27" t="s">
        <v>31</v>
      </c>
      <c r="N32" s="37" t="s">
        <v>1368</v>
      </c>
    </row>
    <row r="33" spans="1:14">
      <c r="A33" s="37" t="s">
        <v>1370</v>
      </c>
      <c r="B33" s="193">
        <f>3.568968094/(16666667*30)</f>
        <v>7.137936045241279E-9</v>
      </c>
      <c r="C33" s="27" t="s">
        <v>37</v>
      </c>
      <c r="D33" s="27" t="s">
        <v>40</v>
      </c>
      <c r="E33" s="27" t="s">
        <v>29</v>
      </c>
      <c r="F33" s="27" t="s">
        <v>59</v>
      </c>
      <c r="G33" s="27" t="s">
        <v>33</v>
      </c>
      <c r="H33" s="27">
        <v>2</v>
      </c>
      <c r="I33" s="27">
        <f t="shared" si="1"/>
        <v>-18.757842171677439</v>
      </c>
      <c r="J33" s="27">
        <v>0.22500000000000006</v>
      </c>
      <c r="K33" s="27" t="s">
        <v>31</v>
      </c>
      <c r="L33" s="27" t="s">
        <v>31</v>
      </c>
      <c r="M33" s="27" t="s">
        <v>31</v>
      </c>
      <c r="N33" s="37" t="s">
        <v>1368</v>
      </c>
    </row>
    <row r="34" spans="1:14">
      <c r="A34" s="37" t="s">
        <v>1371</v>
      </c>
      <c r="B34" s="193">
        <f>0.403788361/(16666667*30)</f>
        <v>8.0757670584846585E-10</v>
      </c>
      <c r="C34" s="27" t="s">
        <v>37</v>
      </c>
      <c r="D34" s="27" t="s">
        <v>40</v>
      </c>
      <c r="E34" s="27" t="s">
        <v>29</v>
      </c>
      <c r="F34" s="27" t="s">
        <v>59</v>
      </c>
      <c r="G34" s="27" t="s">
        <v>33</v>
      </c>
      <c r="H34" s="27">
        <v>2</v>
      </c>
      <c r="I34" s="27">
        <f t="shared" si="1"/>
        <v>-20.936983073580361</v>
      </c>
      <c r="J34" s="27">
        <v>0.22500000000000006</v>
      </c>
      <c r="K34" s="27" t="s">
        <v>31</v>
      </c>
      <c r="L34" s="27" t="s">
        <v>31</v>
      </c>
      <c r="M34" s="27" t="s">
        <v>31</v>
      </c>
      <c r="N34" s="37" t="s">
        <v>1368</v>
      </c>
    </row>
    <row r="35" spans="1:14">
      <c r="A35" s="37" t="s">
        <v>1372</v>
      </c>
      <c r="B35" s="193">
        <f>3.51686637/(16666667*30)</f>
        <v>7.0337325993253476E-9</v>
      </c>
      <c r="C35" s="27" t="s">
        <v>37</v>
      </c>
      <c r="D35" s="27" t="s">
        <v>40</v>
      </c>
      <c r="E35" s="27" t="s">
        <v>29</v>
      </c>
      <c r="F35" s="27" t="s">
        <v>59</v>
      </c>
      <c r="G35" s="27" t="s">
        <v>33</v>
      </c>
      <c r="H35" s="27">
        <v>2</v>
      </c>
      <c r="I35" s="27">
        <f t="shared" si="1"/>
        <v>-18.772548319067134</v>
      </c>
      <c r="J35" s="27">
        <v>0.22500000000000006</v>
      </c>
      <c r="K35" s="27" t="s">
        <v>31</v>
      </c>
      <c r="L35" s="27" t="s">
        <v>31</v>
      </c>
      <c r="M35" s="27" t="s">
        <v>31</v>
      </c>
      <c r="N35" s="37" t="s">
        <v>1368</v>
      </c>
    </row>
    <row r="36" spans="1:14">
      <c r="A36" s="37" t="s">
        <v>38</v>
      </c>
      <c r="B36" s="195">
        <v>10.2049</v>
      </c>
      <c r="C36" s="27" t="s">
        <v>39</v>
      </c>
      <c r="D36" s="27" t="s">
        <v>40</v>
      </c>
      <c r="E36" s="27" t="s">
        <v>29</v>
      </c>
      <c r="F36" s="27" t="s">
        <v>14</v>
      </c>
      <c r="G36" s="27" t="s">
        <v>33</v>
      </c>
      <c r="H36" s="27">
        <v>2</v>
      </c>
      <c r="I36" s="27">
        <f t="shared" si="1"/>
        <v>2.3228679970957171</v>
      </c>
      <c r="J36" s="27">
        <v>0.22500000000000006</v>
      </c>
      <c r="K36" s="27" t="s">
        <v>31</v>
      </c>
      <c r="L36" s="27" t="s">
        <v>31</v>
      </c>
      <c r="M36" s="27" t="s">
        <v>31</v>
      </c>
      <c r="N36" s="37" t="s">
        <v>1368</v>
      </c>
    </row>
    <row r="37" spans="1:14">
      <c r="A37" s="37" t="s">
        <v>75</v>
      </c>
      <c r="B37" s="195">
        <f>0.015*1000</f>
        <v>15</v>
      </c>
      <c r="C37" s="27" t="s">
        <v>37</v>
      </c>
      <c r="D37" s="27" t="s">
        <v>40</v>
      </c>
      <c r="E37" s="27" t="s">
        <v>29</v>
      </c>
      <c r="F37" s="27" t="s">
        <v>59</v>
      </c>
      <c r="G37" s="27" t="s">
        <v>33</v>
      </c>
      <c r="H37" s="27">
        <v>2</v>
      </c>
      <c r="I37" s="27">
        <f t="shared" si="1"/>
        <v>2.7080502011022101</v>
      </c>
      <c r="J37" s="27">
        <v>0.22500000000000006</v>
      </c>
      <c r="K37" s="27" t="s">
        <v>31</v>
      </c>
      <c r="L37" s="27" t="s">
        <v>31</v>
      </c>
      <c r="M37" s="27" t="s">
        <v>31</v>
      </c>
      <c r="N37" s="37"/>
    </row>
    <row r="38" spans="1:14">
      <c r="A38" s="37" t="s">
        <v>1373</v>
      </c>
      <c r="B38" s="195">
        <v>1.6498815311874998E-2</v>
      </c>
      <c r="C38" s="27" t="s">
        <v>37</v>
      </c>
      <c r="D38" s="27" t="s">
        <v>43</v>
      </c>
      <c r="E38" s="27" t="s">
        <v>44</v>
      </c>
      <c r="F38" s="27" t="s">
        <v>31</v>
      </c>
      <c r="G38" s="27" t="s">
        <v>45</v>
      </c>
      <c r="H38" s="27">
        <v>2</v>
      </c>
      <c r="I38" s="27">
        <f>LN(B38)</f>
        <v>-4.1044666999335968</v>
      </c>
      <c r="J38" s="27">
        <v>0.22500000000000006</v>
      </c>
      <c r="K38" s="27" t="s">
        <v>31</v>
      </c>
      <c r="L38" s="27" t="s">
        <v>31</v>
      </c>
      <c r="M38" s="27" t="s">
        <v>31</v>
      </c>
      <c r="N38" s="37"/>
    </row>
    <row r="39" spans="1:14" ht="15.6">
      <c r="A39" s="28" t="s">
        <v>5</v>
      </c>
      <c r="B39" s="28" t="s">
        <v>36</v>
      </c>
      <c r="C39" s="29"/>
      <c r="D39" s="30"/>
      <c r="E39" s="30"/>
      <c r="F39" s="30"/>
      <c r="G39" s="30"/>
      <c r="H39" s="30"/>
      <c r="I39" s="30"/>
      <c r="J39" s="30"/>
      <c r="K39" s="30"/>
      <c r="L39" s="30"/>
      <c r="M39" s="30"/>
      <c r="N39" s="30"/>
    </row>
    <row r="40" spans="1:14">
      <c r="A40" s="27" t="s">
        <v>7</v>
      </c>
      <c r="B40" s="27" t="s">
        <v>1353</v>
      </c>
      <c r="C40" s="27"/>
      <c r="D40" s="27"/>
      <c r="E40" s="27"/>
      <c r="F40" s="27"/>
      <c r="G40" s="27"/>
      <c r="H40" s="27"/>
      <c r="I40" s="27"/>
      <c r="J40" s="27"/>
      <c r="K40" s="27"/>
      <c r="L40" s="27"/>
      <c r="M40" s="27"/>
      <c r="N40" s="27"/>
    </row>
    <row r="41" spans="1:14">
      <c r="A41" s="27" t="s">
        <v>9</v>
      </c>
      <c r="B41" s="27" t="s">
        <v>1374</v>
      </c>
      <c r="C41" s="27"/>
      <c r="D41" s="27"/>
      <c r="E41" s="27"/>
      <c r="F41" s="27"/>
      <c r="G41" s="27"/>
      <c r="H41" s="27"/>
      <c r="I41" s="27"/>
      <c r="J41" s="27"/>
      <c r="K41" s="27"/>
      <c r="L41" s="27"/>
      <c r="M41" s="27"/>
      <c r="N41" s="27"/>
    </row>
    <row r="42" spans="1:14">
      <c r="A42" s="27" t="s">
        <v>11</v>
      </c>
      <c r="B42" s="27" t="s">
        <v>1375</v>
      </c>
      <c r="C42" s="27"/>
      <c r="D42" s="27"/>
      <c r="E42" s="27"/>
      <c r="F42" s="27"/>
      <c r="G42" s="27"/>
      <c r="H42" s="27"/>
      <c r="I42" s="27"/>
      <c r="J42" s="27"/>
      <c r="K42" s="27"/>
      <c r="L42" s="27"/>
      <c r="M42" s="27"/>
      <c r="N42" s="27"/>
    </row>
    <row r="43" spans="1:14">
      <c r="A43" s="27" t="s">
        <v>13</v>
      </c>
      <c r="B43" s="27" t="s">
        <v>14</v>
      </c>
      <c r="C43" s="27"/>
      <c r="D43" s="27"/>
      <c r="E43" s="27"/>
      <c r="F43" s="27"/>
      <c r="G43" s="27"/>
      <c r="H43" s="27"/>
      <c r="I43" s="27"/>
      <c r="J43" s="27"/>
      <c r="K43" s="27"/>
      <c r="L43" s="27"/>
      <c r="M43" s="27"/>
      <c r="N43" s="27"/>
    </row>
    <row r="44" spans="1:14">
      <c r="A44" s="27" t="s">
        <v>15</v>
      </c>
      <c r="B44" s="37">
        <v>1</v>
      </c>
      <c r="C44" s="27"/>
      <c r="D44" s="27"/>
      <c r="E44" s="27"/>
      <c r="F44" s="27"/>
      <c r="G44" s="27"/>
      <c r="H44" s="27"/>
      <c r="I44" s="27"/>
      <c r="J44" s="27"/>
      <c r="K44" s="27"/>
      <c r="L44" s="27"/>
      <c r="M44" s="27"/>
      <c r="N44" s="27"/>
    </row>
    <row r="45" spans="1:14">
      <c r="A45" s="27" t="s">
        <v>16</v>
      </c>
      <c r="B45" s="27" t="s">
        <v>17</v>
      </c>
      <c r="C45" s="27"/>
      <c r="D45" s="27"/>
      <c r="E45" s="27"/>
      <c r="F45" s="27"/>
      <c r="G45" s="27"/>
      <c r="H45" s="27"/>
      <c r="I45" s="27"/>
      <c r="J45" s="27"/>
      <c r="K45" s="27"/>
      <c r="L45" s="27"/>
      <c r="M45" s="27"/>
      <c r="N45" s="27"/>
    </row>
    <row r="46" spans="1:14">
      <c r="A46" s="27" t="s">
        <v>18</v>
      </c>
      <c r="B46" s="27" t="s">
        <v>37</v>
      </c>
      <c r="C46" s="27"/>
      <c r="D46" s="27"/>
      <c r="E46" s="27"/>
      <c r="F46" s="27"/>
      <c r="G46" s="27"/>
      <c r="H46" s="27"/>
      <c r="I46" s="27"/>
      <c r="J46" s="27"/>
      <c r="K46" s="27"/>
      <c r="L46" s="27"/>
      <c r="M46" s="27"/>
      <c r="N46" s="27"/>
    </row>
    <row r="47" spans="1:14" ht="15.6">
      <c r="A47" s="26" t="s">
        <v>19</v>
      </c>
    </row>
    <row r="48" spans="1:14" ht="15.6">
      <c r="A48" s="26" t="s">
        <v>20</v>
      </c>
      <c r="B48" s="26" t="s">
        <v>21</v>
      </c>
      <c r="C48" s="26" t="s">
        <v>18</v>
      </c>
      <c r="D48" s="26" t="s">
        <v>22</v>
      </c>
      <c r="E48" s="26" t="s">
        <v>7</v>
      </c>
      <c r="F48" s="26" t="s">
        <v>13</v>
      </c>
      <c r="G48" s="26" t="s">
        <v>16</v>
      </c>
      <c r="H48" s="26" t="s">
        <v>23</v>
      </c>
      <c r="I48" s="26" t="s">
        <v>24</v>
      </c>
      <c r="J48" s="26" t="s">
        <v>25</v>
      </c>
      <c r="K48" s="26" t="s">
        <v>26</v>
      </c>
      <c r="L48" s="26" t="s">
        <v>27</v>
      </c>
      <c r="M48" s="26" t="s">
        <v>28</v>
      </c>
      <c r="N48" s="26" t="s">
        <v>723</v>
      </c>
    </row>
    <row r="49" spans="1:14">
      <c r="A49" s="27" t="s">
        <v>36</v>
      </c>
      <c r="B49" s="195">
        <f>B44</f>
        <v>1</v>
      </c>
      <c r="C49" s="27" t="str">
        <f>B46</f>
        <v>kilogram</v>
      </c>
      <c r="D49" s="27" t="s">
        <v>2</v>
      </c>
      <c r="E49" s="27" t="s">
        <v>29</v>
      </c>
      <c r="F49" s="27" t="str">
        <f>B43</f>
        <v>EUR</v>
      </c>
      <c r="G49" s="27" t="s">
        <v>30</v>
      </c>
      <c r="H49" s="27">
        <v>0</v>
      </c>
      <c r="I49" s="27">
        <f>B49</f>
        <v>1</v>
      </c>
      <c r="J49" s="27" t="s">
        <v>31</v>
      </c>
      <c r="K49" s="27" t="s">
        <v>31</v>
      </c>
      <c r="L49" s="27" t="s">
        <v>31</v>
      </c>
      <c r="M49" s="27" t="s">
        <v>31</v>
      </c>
      <c r="N49" s="27"/>
    </row>
    <row r="50" spans="1:14" s="27" customFormat="1" ht="12.95">
      <c r="A50" s="27" t="s">
        <v>1363</v>
      </c>
      <c r="B50" s="27">
        <f>1*1.0042</f>
        <v>1.0042</v>
      </c>
      <c r="C50" s="27" t="s">
        <v>37</v>
      </c>
      <c r="D50" s="27" t="s">
        <v>2</v>
      </c>
      <c r="E50" s="27" t="s">
        <v>29</v>
      </c>
      <c r="F50" s="27" t="s">
        <v>14</v>
      </c>
      <c r="G50" s="27" t="s">
        <v>33</v>
      </c>
      <c r="H50" s="27">
        <v>0</v>
      </c>
      <c r="I50" s="27">
        <f>B50</f>
        <v>1.0042</v>
      </c>
      <c r="J50" s="27" t="s">
        <v>31</v>
      </c>
      <c r="K50" s="27" t="s">
        <v>31</v>
      </c>
      <c r="L50" s="27" t="s">
        <v>31</v>
      </c>
      <c r="M50" s="27" t="s">
        <v>31</v>
      </c>
    </row>
    <row r="51" spans="1:14" s="27" customFormat="1" ht="12.95">
      <c r="A51" s="27" t="s">
        <v>1376</v>
      </c>
      <c r="B51" s="27">
        <v>1</v>
      </c>
      <c r="C51" s="27" t="s">
        <v>18</v>
      </c>
      <c r="D51" s="27" t="s">
        <v>2</v>
      </c>
      <c r="E51" s="27" t="s">
        <v>29</v>
      </c>
      <c r="F51" s="27" t="s">
        <v>14</v>
      </c>
      <c r="G51" s="27" t="s">
        <v>33</v>
      </c>
      <c r="H51" s="27">
        <v>0</v>
      </c>
      <c r="I51" s="27">
        <f>B51</f>
        <v>1</v>
      </c>
      <c r="J51" s="27" t="s">
        <v>31</v>
      </c>
      <c r="K51" s="27" t="s">
        <v>31</v>
      </c>
      <c r="L51" s="27" t="s">
        <v>31</v>
      </c>
      <c r="M51" s="27" t="s">
        <v>31</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A2CC-0D8C-4EAC-AE34-2ADE77695115}">
  <dimension ref="A1:O266"/>
  <sheetViews>
    <sheetView topLeftCell="A242" zoomScale="70" zoomScaleNormal="70" workbookViewId="0">
      <selection activeCell="K26" sqref="K26"/>
    </sheetView>
  </sheetViews>
  <sheetFormatPr defaultColWidth="8.85546875" defaultRowHeight="14.45"/>
  <cols>
    <col min="1" max="1" width="48.5703125" style="24" bestFit="1" customWidth="1"/>
    <col min="2" max="2" width="43.42578125" style="24" bestFit="1" customWidth="1"/>
    <col min="3" max="3" width="10.140625" style="24"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4D13E7AFF2C34962A6407A8D885DBEBE</v>
      </c>
    </row>
    <row r="2" spans="1:15" ht="15.6">
      <c r="A2" s="28" t="s">
        <v>5</v>
      </c>
      <c r="B2" s="28" t="s">
        <v>1356</v>
      </c>
      <c r="C2" s="29"/>
      <c r="D2" s="30"/>
      <c r="E2" s="30"/>
      <c r="F2" s="30"/>
      <c r="G2" s="30"/>
      <c r="H2" s="30"/>
      <c r="I2" s="30"/>
      <c r="J2" s="30"/>
      <c r="K2" s="30"/>
      <c r="L2" s="30"/>
      <c r="M2" s="30"/>
      <c r="N2" s="30"/>
    </row>
    <row r="3" spans="1:15" s="27" customFormat="1" ht="12.95">
      <c r="A3" s="27" t="s">
        <v>7</v>
      </c>
      <c r="B3" s="27" t="s">
        <v>1353</v>
      </c>
    </row>
    <row r="4" spans="1:15" s="27" customFormat="1" ht="12.95">
      <c r="A4" s="27" t="s">
        <v>9</v>
      </c>
      <c r="B4" s="27" t="s">
        <v>1377</v>
      </c>
    </row>
    <row r="5" spans="1:15" s="27" customFormat="1" ht="12.95">
      <c r="A5" s="27" t="s">
        <v>11</v>
      </c>
      <c r="B5" s="27" t="s">
        <v>1378</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2.95">
      <c r="A12" s="27" t="s">
        <v>1356</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37" t="s">
        <v>1379</v>
      </c>
      <c r="B13" s="42">
        <v>10</v>
      </c>
      <c r="C13" s="27" t="s">
        <v>18</v>
      </c>
      <c r="D13" s="27" t="s">
        <v>2</v>
      </c>
      <c r="E13" s="27" t="s">
        <v>29</v>
      </c>
      <c r="F13" s="27" t="s">
        <v>14</v>
      </c>
      <c r="G13" s="27" t="s">
        <v>33</v>
      </c>
      <c r="H13" s="27">
        <v>0</v>
      </c>
      <c r="I13" s="27">
        <f t="shared" ref="I13:I14" si="0">B13</f>
        <v>10</v>
      </c>
      <c r="J13" s="27" t="s">
        <v>31</v>
      </c>
      <c r="K13" s="27" t="s">
        <v>31</v>
      </c>
      <c r="L13" s="27" t="s">
        <v>31</v>
      </c>
      <c r="M13" s="27" t="s">
        <v>31</v>
      </c>
    </row>
    <row r="14" spans="1:15">
      <c r="A14" s="37" t="s">
        <v>1380</v>
      </c>
      <c r="B14" s="42">
        <v>10</v>
      </c>
      <c r="C14" s="27" t="s">
        <v>18</v>
      </c>
      <c r="D14" s="27" t="s">
        <v>2</v>
      </c>
      <c r="E14" s="27" t="s">
        <v>29</v>
      </c>
      <c r="F14" s="24" t="s">
        <v>59</v>
      </c>
      <c r="G14" s="24" t="s">
        <v>33</v>
      </c>
      <c r="H14" s="27">
        <v>0</v>
      </c>
      <c r="I14" s="27">
        <f t="shared" si="0"/>
        <v>10</v>
      </c>
      <c r="J14" s="27" t="s">
        <v>31</v>
      </c>
      <c r="K14" s="27" t="s">
        <v>31</v>
      </c>
      <c r="L14" s="27" t="s">
        <v>31</v>
      </c>
      <c r="M14" s="27" t="s">
        <v>31</v>
      </c>
    </row>
    <row r="15" spans="1:15" ht="15.6">
      <c r="A15" s="28" t="s">
        <v>5</v>
      </c>
      <c r="B15" s="28" t="s">
        <v>1379</v>
      </c>
      <c r="C15" s="29"/>
      <c r="D15" s="30"/>
      <c r="E15" s="30"/>
      <c r="F15" s="30"/>
      <c r="G15" s="30"/>
      <c r="H15" s="30"/>
      <c r="I15" s="30"/>
      <c r="J15" s="30"/>
      <c r="K15" s="30"/>
      <c r="L15" s="30"/>
      <c r="M15" s="30"/>
      <c r="N15" s="30"/>
    </row>
    <row r="16" spans="1:15" s="27" customFormat="1" ht="12.95">
      <c r="A16" s="27" t="s">
        <v>7</v>
      </c>
      <c r="B16" s="27" t="s">
        <v>1353</v>
      </c>
    </row>
    <row r="17" spans="1:14" s="27" customFormat="1" ht="12.95">
      <c r="A17" s="27" t="s">
        <v>9</v>
      </c>
      <c r="B17" s="27" t="s">
        <v>1381</v>
      </c>
    </row>
    <row r="18" spans="1:14" s="27" customFormat="1" ht="12.95">
      <c r="A18" s="27" t="s">
        <v>11</v>
      </c>
      <c r="B18" s="27" t="s">
        <v>1382</v>
      </c>
    </row>
    <row r="19" spans="1:14" s="27" customFormat="1" ht="12.95">
      <c r="A19" s="27" t="s">
        <v>13</v>
      </c>
      <c r="B19" s="27" t="s">
        <v>14</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2.95">
      <c r="A25" s="27" t="s">
        <v>1379</v>
      </c>
      <c r="B25" s="27">
        <f>B20</f>
        <v>1</v>
      </c>
      <c r="C25" s="27" t="str">
        <f>B22</f>
        <v>unit</v>
      </c>
      <c r="D25" s="27" t="s">
        <v>2</v>
      </c>
      <c r="E25" s="27" t="s">
        <v>29</v>
      </c>
      <c r="F25" s="27" t="str">
        <f>B19</f>
        <v>EUR</v>
      </c>
      <c r="G25" s="27" t="s">
        <v>30</v>
      </c>
      <c r="H25" s="27">
        <v>0</v>
      </c>
      <c r="I25" s="27">
        <f>B25</f>
        <v>1</v>
      </c>
      <c r="J25" s="27" t="s">
        <v>31</v>
      </c>
      <c r="K25" s="27" t="s">
        <v>31</v>
      </c>
      <c r="L25" s="27" t="s">
        <v>31</v>
      </c>
      <c r="M25" s="27" t="s">
        <v>31</v>
      </c>
    </row>
    <row r="26" spans="1:14" s="27" customFormat="1" ht="12.95">
      <c r="A26" s="37" t="s">
        <v>1383</v>
      </c>
      <c r="B26" s="194">
        <v>0.17655925778457376</v>
      </c>
      <c r="C26" s="27" t="s">
        <v>18</v>
      </c>
      <c r="D26" s="27" t="s">
        <v>2</v>
      </c>
      <c r="E26" s="27" t="s">
        <v>29</v>
      </c>
      <c r="F26" s="27" t="s">
        <v>14</v>
      </c>
      <c r="G26" s="27" t="s">
        <v>33</v>
      </c>
      <c r="H26" s="27">
        <v>2</v>
      </c>
      <c r="I26" s="27">
        <f>LN(B26)</f>
        <v>-1.7340987208000034</v>
      </c>
      <c r="J26" s="27">
        <v>1</v>
      </c>
      <c r="K26" s="27" t="s">
        <v>31</v>
      </c>
      <c r="L26" s="27" t="s">
        <v>31</v>
      </c>
      <c r="M26" s="27" t="s">
        <v>31</v>
      </c>
    </row>
    <row r="27" spans="1:14" s="27" customFormat="1" ht="12.95">
      <c r="A27" s="37" t="s">
        <v>1384</v>
      </c>
      <c r="B27" s="194">
        <v>0.2467047044393175</v>
      </c>
      <c r="C27" s="27" t="s">
        <v>18</v>
      </c>
      <c r="D27" s="27" t="s">
        <v>2</v>
      </c>
      <c r="E27" s="27" t="s">
        <v>29</v>
      </c>
      <c r="F27" s="27" t="s">
        <v>14</v>
      </c>
      <c r="G27" s="27" t="s">
        <v>33</v>
      </c>
      <c r="H27" s="27">
        <v>2</v>
      </c>
      <c r="I27" s="27">
        <f>LN(B27)</f>
        <v>-1.399563186154315</v>
      </c>
      <c r="J27" s="27">
        <v>1</v>
      </c>
      <c r="K27" s="27" t="s">
        <v>31</v>
      </c>
      <c r="L27" s="27" t="s">
        <v>31</v>
      </c>
      <c r="M27" s="27" t="s">
        <v>31</v>
      </c>
    </row>
    <row r="28" spans="1:14" s="27" customFormat="1" ht="12.95">
      <c r="A28" s="37" t="s">
        <v>1385</v>
      </c>
      <c r="B28" s="194">
        <v>0.57673603777610871</v>
      </c>
      <c r="C28" s="27" t="s">
        <v>18</v>
      </c>
      <c r="D28" s="27" t="s">
        <v>2</v>
      </c>
      <c r="E28" s="27" t="s">
        <v>29</v>
      </c>
      <c r="F28" s="27" t="s">
        <v>14</v>
      </c>
      <c r="G28" s="27" t="s">
        <v>33</v>
      </c>
      <c r="H28" s="27">
        <v>2</v>
      </c>
      <c r="I28" s="27">
        <f>LN(B28)</f>
        <v>-0.55037059067191674</v>
      </c>
      <c r="J28" s="27">
        <v>1</v>
      </c>
      <c r="K28" s="27" t="s">
        <v>31</v>
      </c>
      <c r="L28" s="27" t="s">
        <v>31</v>
      </c>
      <c r="M28" s="27" t="s">
        <v>31</v>
      </c>
    </row>
    <row r="29" spans="1:14" ht="15.6">
      <c r="A29" s="28" t="s">
        <v>5</v>
      </c>
      <c r="B29" s="28" t="s">
        <v>1383</v>
      </c>
      <c r="C29" s="29"/>
      <c r="D29" s="30"/>
      <c r="E29" s="30"/>
      <c r="F29" s="30"/>
      <c r="G29" s="30"/>
      <c r="H29" s="30"/>
      <c r="I29" s="30"/>
      <c r="J29" s="30"/>
      <c r="K29" s="30"/>
      <c r="L29" s="30"/>
      <c r="M29" s="30"/>
      <c r="N29" s="30"/>
    </row>
    <row r="30" spans="1:14" s="27" customFormat="1" ht="12.95">
      <c r="A30" s="27" t="s">
        <v>7</v>
      </c>
      <c r="B30" s="27" t="s">
        <v>1353</v>
      </c>
    </row>
    <row r="31" spans="1:14" s="27" customFormat="1" ht="12.95">
      <c r="A31" s="27" t="s">
        <v>9</v>
      </c>
      <c r="B31" s="27" t="s">
        <v>1386</v>
      </c>
    </row>
    <row r="32" spans="1:14" s="27" customFormat="1" ht="12.95">
      <c r="A32" s="27" t="s">
        <v>11</v>
      </c>
      <c r="B32" s="27" t="s">
        <v>1387</v>
      </c>
    </row>
    <row r="33" spans="1:14" s="27" customFormat="1" ht="12.95">
      <c r="A33" s="27" t="s">
        <v>13</v>
      </c>
      <c r="B33" s="27" t="s">
        <v>14</v>
      </c>
    </row>
    <row r="34" spans="1:14" s="27" customFormat="1" ht="12.95">
      <c r="A34" s="27" t="s">
        <v>15</v>
      </c>
      <c r="B34" s="37">
        <v>1</v>
      </c>
    </row>
    <row r="35" spans="1:14" s="27" customFormat="1" ht="12.95">
      <c r="A35" s="27" t="s">
        <v>16</v>
      </c>
      <c r="B35" s="27" t="s">
        <v>17</v>
      </c>
    </row>
    <row r="36" spans="1:14" s="27" customFormat="1" ht="12.95">
      <c r="A36" s="27" t="s">
        <v>18</v>
      </c>
      <c r="B36" s="27" t="s">
        <v>18</v>
      </c>
    </row>
    <row r="37" spans="1:14" ht="15.6">
      <c r="A37" s="26" t="s">
        <v>19</v>
      </c>
    </row>
    <row r="38" spans="1:14"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4" s="27" customFormat="1" ht="12.95">
      <c r="A39" s="27" t="s">
        <v>1383</v>
      </c>
      <c r="B39" s="27">
        <f>B34</f>
        <v>1</v>
      </c>
      <c r="C39" s="27" t="str">
        <f>B36</f>
        <v>unit</v>
      </c>
      <c r="D39" s="27" t="s">
        <v>2</v>
      </c>
      <c r="E39" s="27" t="s">
        <v>29</v>
      </c>
      <c r="F39" s="27" t="str">
        <f>B33</f>
        <v>EUR</v>
      </c>
      <c r="G39" s="27" t="s">
        <v>30</v>
      </c>
      <c r="H39" s="27">
        <v>0</v>
      </c>
      <c r="I39" s="27">
        <f>B39</f>
        <v>1</v>
      </c>
      <c r="J39" s="27" t="s">
        <v>31</v>
      </c>
      <c r="K39" s="27" t="s">
        <v>31</v>
      </c>
      <c r="L39" s="27" t="s">
        <v>31</v>
      </c>
      <c r="M39" s="27" t="s">
        <v>31</v>
      </c>
    </row>
    <row r="40" spans="1:14" s="27" customFormat="1" ht="12.95">
      <c r="A40" s="27" t="s">
        <v>237</v>
      </c>
      <c r="B40" s="27">
        <v>164429.23565969538</v>
      </c>
      <c r="C40" s="27" t="s">
        <v>37</v>
      </c>
      <c r="D40" s="27" t="s">
        <v>40</v>
      </c>
      <c r="E40" s="27" t="s">
        <v>29</v>
      </c>
      <c r="F40" s="27" t="s">
        <v>59</v>
      </c>
      <c r="G40" s="27" t="s">
        <v>33</v>
      </c>
      <c r="H40" s="27">
        <v>2</v>
      </c>
      <c r="I40" s="27">
        <f>LN(B40)</f>
        <v>12.010235578273795</v>
      </c>
      <c r="J40" s="27">
        <v>1</v>
      </c>
      <c r="K40" s="27" t="s">
        <v>31</v>
      </c>
      <c r="L40" s="27" t="s">
        <v>31</v>
      </c>
      <c r="M40" s="27" t="s">
        <v>31</v>
      </c>
    </row>
    <row r="41" spans="1:14" s="27" customFormat="1" ht="12.95">
      <c r="A41" s="27" t="s">
        <v>738</v>
      </c>
      <c r="B41" s="27">
        <v>24.000180357558872</v>
      </c>
      <c r="C41" s="27" t="s">
        <v>37</v>
      </c>
      <c r="D41" s="27" t="s">
        <v>40</v>
      </c>
      <c r="E41" s="27" t="s">
        <v>29</v>
      </c>
      <c r="F41" s="27" t="s">
        <v>59</v>
      </c>
      <c r="G41" s="27" t="s">
        <v>33</v>
      </c>
      <c r="H41" s="27">
        <v>2</v>
      </c>
      <c r="I41" s="27">
        <f t="shared" ref="I41:I57" si="1">LN(B41)</f>
        <v>3.1780613452179951</v>
      </c>
      <c r="J41" s="27">
        <v>1</v>
      </c>
      <c r="K41" s="27" t="s">
        <v>31</v>
      </c>
      <c r="L41" s="27" t="s">
        <v>31</v>
      </c>
      <c r="M41" s="27" t="s">
        <v>31</v>
      </c>
    </row>
    <row r="42" spans="1:14" s="27" customFormat="1" ht="12.95">
      <c r="A42" s="37" t="s">
        <v>567</v>
      </c>
      <c r="B42" s="42">
        <v>24.000180357558872</v>
      </c>
      <c r="C42" s="27" t="s">
        <v>37</v>
      </c>
      <c r="D42" s="27" t="s">
        <v>40</v>
      </c>
      <c r="E42" s="27" t="s">
        <v>29</v>
      </c>
      <c r="F42" s="27" t="s">
        <v>59</v>
      </c>
      <c r="G42" s="27" t="s">
        <v>33</v>
      </c>
      <c r="H42" s="27">
        <v>2</v>
      </c>
      <c r="I42" s="27">
        <f t="shared" si="1"/>
        <v>3.1780613452179951</v>
      </c>
      <c r="J42" s="27">
        <v>1</v>
      </c>
      <c r="K42" s="27" t="s">
        <v>31</v>
      </c>
      <c r="L42" s="27" t="s">
        <v>31</v>
      </c>
      <c r="M42" s="27" t="s">
        <v>31</v>
      </c>
    </row>
    <row r="43" spans="1:14" s="27" customFormat="1" ht="12.95">
      <c r="A43" s="27" t="s">
        <v>738</v>
      </c>
      <c r="B43" s="42">
        <v>331278.48950544471</v>
      </c>
      <c r="C43" s="27" t="s">
        <v>37</v>
      </c>
      <c r="D43" s="27" t="s">
        <v>40</v>
      </c>
      <c r="E43" s="27" t="s">
        <v>29</v>
      </c>
      <c r="F43" s="27" t="s">
        <v>59</v>
      </c>
      <c r="G43" s="27" t="s">
        <v>33</v>
      </c>
      <c r="H43" s="27">
        <v>2</v>
      </c>
      <c r="I43" s="27">
        <f t="shared" si="1"/>
        <v>12.710714658638434</v>
      </c>
      <c r="J43" s="27">
        <v>1</v>
      </c>
      <c r="K43" s="27" t="s">
        <v>31</v>
      </c>
      <c r="L43" s="27" t="s">
        <v>31</v>
      </c>
      <c r="M43" s="27" t="s">
        <v>31</v>
      </c>
    </row>
    <row r="44" spans="1:14" s="27" customFormat="1" ht="12.95">
      <c r="A44" s="27" t="s">
        <v>1388</v>
      </c>
      <c r="B44" s="42">
        <v>5170.4388550300991</v>
      </c>
      <c r="C44" s="27" t="s">
        <v>37</v>
      </c>
      <c r="D44" s="27" t="s">
        <v>40</v>
      </c>
      <c r="E44" s="27" t="s">
        <v>29</v>
      </c>
      <c r="F44" s="27" t="s">
        <v>1389</v>
      </c>
      <c r="G44" s="27" t="s">
        <v>33</v>
      </c>
      <c r="H44" s="27">
        <v>2</v>
      </c>
      <c r="I44" s="27">
        <f t="shared" si="1"/>
        <v>8.5507128488187352</v>
      </c>
      <c r="J44" s="27">
        <v>1</v>
      </c>
      <c r="K44" s="27" t="s">
        <v>31</v>
      </c>
      <c r="L44" s="27" t="s">
        <v>31</v>
      </c>
      <c r="M44" s="27" t="s">
        <v>31</v>
      </c>
    </row>
    <row r="45" spans="1:14" s="27" customFormat="1" ht="12.95">
      <c r="A45" s="27" t="s">
        <v>1390</v>
      </c>
      <c r="B45" s="42">
        <v>4672.0351096047934</v>
      </c>
      <c r="C45" s="27" t="s">
        <v>37</v>
      </c>
      <c r="D45" s="27" t="s">
        <v>40</v>
      </c>
      <c r="E45" s="27" t="s">
        <v>29</v>
      </c>
      <c r="F45" s="27" t="s">
        <v>59</v>
      </c>
      <c r="G45" s="27" t="s">
        <v>33</v>
      </c>
      <c r="H45" s="27">
        <v>2</v>
      </c>
      <c r="I45" s="27">
        <f t="shared" si="1"/>
        <v>8.4493500393781122</v>
      </c>
      <c r="J45" s="27">
        <v>1</v>
      </c>
      <c r="K45" s="27" t="s">
        <v>31</v>
      </c>
      <c r="L45" s="27" t="s">
        <v>31</v>
      </c>
      <c r="M45" s="27" t="s">
        <v>31</v>
      </c>
    </row>
    <row r="46" spans="1:14" s="27" customFormat="1" ht="12.95">
      <c r="A46" s="27" t="s">
        <v>1391</v>
      </c>
      <c r="B46" s="42">
        <v>152.00114226453951</v>
      </c>
      <c r="C46" s="27" t="s">
        <v>37</v>
      </c>
      <c r="D46" s="27" t="s">
        <v>40</v>
      </c>
      <c r="E46" s="27" t="s">
        <v>29</v>
      </c>
      <c r="F46" s="27" t="s">
        <v>35</v>
      </c>
      <c r="G46" s="27" t="s">
        <v>33</v>
      </c>
      <c r="H46" s="27">
        <v>2</v>
      </c>
      <c r="I46" s="27">
        <f t="shared" si="1"/>
        <v>5.0238880357163263</v>
      </c>
      <c r="J46" s="27">
        <v>1</v>
      </c>
      <c r="K46" s="27" t="s">
        <v>31</v>
      </c>
      <c r="L46" s="27" t="s">
        <v>31</v>
      </c>
      <c r="M46" s="27" t="s">
        <v>31</v>
      </c>
    </row>
    <row r="47" spans="1:14" s="27" customFormat="1" ht="12.95">
      <c r="A47" s="27" t="s">
        <v>1390</v>
      </c>
      <c r="B47" s="42">
        <v>24000.180357558871</v>
      </c>
      <c r="C47" s="27" t="s">
        <v>37</v>
      </c>
      <c r="D47" s="27" t="s">
        <v>40</v>
      </c>
      <c r="E47" s="27" t="s">
        <v>29</v>
      </c>
      <c r="F47" s="27" t="s">
        <v>59</v>
      </c>
      <c r="G47" s="27" t="s">
        <v>33</v>
      </c>
      <c r="H47" s="27">
        <v>2</v>
      </c>
      <c r="I47" s="27">
        <f t="shared" si="1"/>
        <v>10.085816624200133</v>
      </c>
      <c r="J47" s="27">
        <v>1</v>
      </c>
      <c r="K47" s="27" t="s">
        <v>31</v>
      </c>
      <c r="L47" s="27" t="s">
        <v>31</v>
      </c>
      <c r="M47" s="27" t="s">
        <v>31</v>
      </c>
    </row>
    <row r="48" spans="1:14" s="27" customFormat="1" ht="12.95">
      <c r="A48" s="27" t="s">
        <v>1392</v>
      </c>
      <c r="B48" s="42">
        <v>17.333463591570297</v>
      </c>
      <c r="C48" s="27" t="s">
        <v>37</v>
      </c>
      <c r="D48" s="27" t="s">
        <v>40</v>
      </c>
      <c r="E48" s="27" t="s">
        <v>29</v>
      </c>
      <c r="F48" s="27" t="s">
        <v>59</v>
      </c>
      <c r="G48" s="27" t="s">
        <v>33</v>
      </c>
      <c r="H48" s="27">
        <v>2</v>
      </c>
      <c r="I48" s="27">
        <f t="shared" si="1"/>
        <v>2.8526389447833673</v>
      </c>
      <c r="J48" s="27">
        <v>1</v>
      </c>
      <c r="K48" s="27" t="s">
        <v>31</v>
      </c>
      <c r="L48" s="27" t="s">
        <v>31</v>
      </c>
      <c r="M48" s="27" t="s">
        <v>31</v>
      </c>
    </row>
    <row r="49" spans="1:14" s="27" customFormat="1" ht="12.95">
      <c r="A49" s="27" t="s">
        <v>1393</v>
      </c>
      <c r="B49" s="42">
        <v>17.333463591570297</v>
      </c>
      <c r="C49" s="27" t="s">
        <v>37</v>
      </c>
      <c r="D49" s="27" t="s">
        <v>40</v>
      </c>
      <c r="E49" s="27" t="s">
        <v>29</v>
      </c>
      <c r="F49" s="27" t="s">
        <v>59</v>
      </c>
      <c r="G49" s="27" t="s">
        <v>33</v>
      </c>
      <c r="H49" s="27">
        <v>2</v>
      </c>
      <c r="I49" s="27">
        <f t="shared" si="1"/>
        <v>2.8526389447833673</v>
      </c>
      <c r="J49" s="27">
        <v>1</v>
      </c>
      <c r="K49" s="27" t="s">
        <v>31</v>
      </c>
      <c r="L49" s="27" t="s">
        <v>31</v>
      </c>
      <c r="M49" s="27" t="s">
        <v>31</v>
      </c>
    </row>
    <row r="50" spans="1:14" s="27" customFormat="1" ht="12.95">
      <c r="A50" s="27" t="s">
        <v>1394</v>
      </c>
      <c r="B50" s="42">
        <v>17.333463591570297</v>
      </c>
      <c r="C50" s="27" t="s">
        <v>37</v>
      </c>
      <c r="D50" s="27" t="s">
        <v>40</v>
      </c>
      <c r="E50" s="27" t="s">
        <v>29</v>
      </c>
      <c r="F50" s="27" t="s">
        <v>59</v>
      </c>
      <c r="G50" s="27" t="s">
        <v>33</v>
      </c>
      <c r="H50" s="27">
        <v>2</v>
      </c>
      <c r="I50" s="27">
        <f t="shared" si="1"/>
        <v>2.8526389447833673</v>
      </c>
      <c r="J50" s="27">
        <v>1</v>
      </c>
      <c r="K50" s="27" t="s">
        <v>31</v>
      </c>
      <c r="L50" s="27" t="s">
        <v>31</v>
      </c>
      <c r="M50" s="27" t="s">
        <v>31</v>
      </c>
    </row>
    <row r="51" spans="1:14" s="27" customFormat="1" ht="12.95">
      <c r="A51" s="27" t="s">
        <v>1395</v>
      </c>
      <c r="B51" s="42">
        <v>392.20294734310784</v>
      </c>
      <c r="C51" s="27" t="s">
        <v>37</v>
      </c>
      <c r="D51" s="27" t="s">
        <v>40</v>
      </c>
      <c r="E51" s="27" t="s">
        <v>29</v>
      </c>
      <c r="F51" s="27" t="s">
        <v>35</v>
      </c>
      <c r="G51" s="27" t="s">
        <v>33</v>
      </c>
      <c r="H51" s="27">
        <v>2</v>
      </c>
      <c r="I51" s="27">
        <f t="shared" si="1"/>
        <v>5.9717794286322956</v>
      </c>
      <c r="J51" s="27">
        <v>1</v>
      </c>
      <c r="K51" s="27" t="s">
        <v>31</v>
      </c>
      <c r="L51" s="27" t="s">
        <v>31</v>
      </c>
      <c r="M51" s="27" t="s">
        <v>31</v>
      </c>
    </row>
    <row r="52" spans="1:14" s="27" customFormat="1" ht="12.95">
      <c r="A52" s="27" t="s">
        <v>1396</v>
      </c>
      <c r="B52" s="42">
        <v>47936.360234164255</v>
      </c>
      <c r="C52" s="27" t="s">
        <v>37</v>
      </c>
      <c r="D52" s="27" t="s">
        <v>40</v>
      </c>
      <c r="E52" s="27" t="s">
        <v>29</v>
      </c>
      <c r="F52" s="27" t="s">
        <v>35</v>
      </c>
      <c r="G52" s="27" t="s">
        <v>33</v>
      </c>
      <c r="H52" s="27">
        <v>2</v>
      </c>
      <c r="I52" s="27">
        <f t="shared" si="1"/>
        <v>10.777629581746941</v>
      </c>
      <c r="J52" s="27">
        <v>1</v>
      </c>
      <c r="K52" s="27" t="s">
        <v>31</v>
      </c>
      <c r="L52" s="27" t="s">
        <v>31</v>
      </c>
      <c r="M52" s="27" t="s">
        <v>31</v>
      </c>
    </row>
    <row r="53" spans="1:14" s="27" customFormat="1" ht="12.95">
      <c r="A53" s="27" t="s">
        <v>1397</v>
      </c>
      <c r="B53" s="42">
        <v>5156.4387498215228</v>
      </c>
      <c r="C53" s="27" t="s">
        <v>37</v>
      </c>
      <c r="D53" s="27" t="s">
        <v>40</v>
      </c>
      <c r="E53" s="27" t="s">
        <v>29</v>
      </c>
      <c r="F53" s="27" t="s">
        <v>59</v>
      </c>
      <c r="G53" s="27" t="s">
        <v>33</v>
      </c>
      <c r="H53" s="27">
        <v>2</v>
      </c>
      <c r="I53" s="27">
        <f t="shared" si="1"/>
        <v>8.5480014554389996</v>
      </c>
      <c r="J53" s="27">
        <v>1</v>
      </c>
      <c r="K53" s="27" t="s">
        <v>31</v>
      </c>
      <c r="L53" s="27" t="s">
        <v>31</v>
      </c>
      <c r="M53" s="27" t="s">
        <v>31</v>
      </c>
    </row>
    <row r="54" spans="1:14" s="27" customFormat="1" ht="12.95">
      <c r="A54" s="27" t="s">
        <v>966</v>
      </c>
      <c r="B54" s="42">
        <v>5156.4387498215228</v>
      </c>
      <c r="C54" s="27" t="s">
        <v>37</v>
      </c>
      <c r="D54" s="27" t="s">
        <v>40</v>
      </c>
      <c r="E54" s="27" t="s">
        <v>29</v>
      </c>
      <c r="F54" s="27" t="s">
        <v>59</v>
      </c>
      <c r="G54" s="27" t="s">
        <v>33</v>
      </c>
      <c r="H54" s="27">
        <v>2</v>
      </c>
      <c r="I54" s="27">
        <f t="shared" si="1"/>
        <v>8.5480014554389996</v>
      </c>
      <c r="J54" s="27">
        <v>1</v>
      </c>
      <c r="K54" s="27" t="s">
        <v>31</v>
      </c>
      <c r="L54" s="27" t="s">
        <v>31</v>
      </c>
      <c r="M54" s="27" t="s">
        <v>31</v>
      </c>
    </row>
    <row r="55" spans="1:14" s="27" customFormat="1" ht="12.95">
      <c r="A55" s="27" t="s">
        <v>1398</v>
      </c>
      <c r="B55" s="42">
        <v>2063.6155077441035</v>
      </c>
      <c r="C55" s="27" t="s">
        <v>37</v>
      </c>
      <c r="D55" s="27" t="s">
        <v>40</v>
      </c>
      <c r="E55" s="27" t="s">
        <v>29</v>
      </c>
      <c r="F55" s="27" t="s">
        <v>59</v>
      </c>
      <c r="G55" s="27" t="s">
        <v>33</v>
      </c>
      <c r="H55" s="27">
        <v>2</v>
      </c>
      <c r="I55" s="27">
        <f t="shared" si="1"/>
        <v>7.6322148242405445</v>
      </c>
      <c r="J55" s="27">
        <v>1</v>
      </c>
      <c r="K55" s="27" t="s">
        <v>31</v>
      </c>
      <c r="L55" s="27" t="s">
        <v>31</v>
      </c>
      <c r="M55" s="27" t="s">
        <v>31</v>
      </c>
    </row>
    <row r="56" spans="1:14" s="27" customFormat="1" ht="12.95">
      <c r="A56" s="27" t="s">
        <v>145</v>
      </c>
      <c r="B56" s="42">
        <v>14.200106711555664</v>
      </c>
      <c r="C56" s="27" t="s">
        <v>37</v>
      </c>
      <c r="D56" s="27" t="s">
        <v>40</v>
      </c>
      <c r="E56" s="27" t="s">
        <v>29</v>
      </c>
      <c r="F56" s="27" t="s">
        <v>59</v>
      </c>
      <c r="G56" s="27" t="s">
        <v>33</v>
      </c>
      <c r="H56" s="27">
        <v>2</v>
      </c>
      <c r="I56" s="27">
        <f t="shared" si="1"/>
        <v>2.6532494794772647</v>
      </c>
      <c r="J56" s="27">
        <v>1</v>
      </c>
      <c r="K56" s="27" t="s">
        <v>31</v>
      </c>
      <c r="L56" s="27" t="s">
        <v>31</v>
      </c>
      <c r="M56" s="27" t="s">
        <v>31</v>
      </c>
    </row>
    <row r="57" spans="1:14" s="27" customFormat="1" ht="12.95">
      <c r="A57" s="27" t="s">
        <v>1399</v>
      </c>
      <c r="B57" s="42">
        <v>166.80125348503415</v>
      </c>
      <c r="C57" s="27" t="s">
        <v>37</v>
      </c>
      <c r="D57" s="27" t="s">
        <v>40</v>
      </c>
      <c r="E57" s="27" t="s">
        <v>29</v>
      </c>
      <c r="F57" s="27" t="s">
        <v>59</v>
      </c>
      <c r="G57" s="27" t="s">
        <v>33</v>
      </c>
      <c r="H57" s="27">
        <v>2</v>
      </c>
      <c r="I57" s="27">
        <f t="shared" si="1"/>
        <v>5.1168030047946962</v>
      </c>
      <c r="J57" s="27">
        <v>1</v>
      </c>
      <c r="K57" s="27" t="s">
        <v>31</v>
      </c>
      <c r="L57" s="27" t="s">
        <v>31</v>
      </c>
      <c r="M57" s="27" t="s">
        <v>31</v>
      </c>
    </row>
    <row r="58" spans="1:14" ht="15.6">
      <c r="A58" s="28" t="s">
        <v>5</v>
      </c>
      <c r="B58" s="28" t="s">
        <v>1384</v>
      </c>
      <c r="C58" s="29"/>
      <c r="D58" s="30"/>
      <c r="E58" s="30"/>
      <c r="F58" s="30"/>
      <c r="G58" s="30"/>
      <c r="H58" s="30"/>
      <c r="I58" s="30"/>
      <c r="J58" s="30"/>
      <c r="K58" s="30"/>
      <c r="L58" s="30"/>
      <c r="M58" s="30"/>
      <c r="N58" s="30"/>
    </row>
    <row r="59" spans="1:14" s="27" customFormat="1" ht="12.95">
      <c r="A59" s="27" t="s">
        <v>7</v>
      </c>
      <c r="B59" s="27" t="s">
        <v>1353</v>
      </c>
    </row>
    <row r="60" spans="1:14" s="27" customFormat="1" ht="12.95">
      <c r="A60" s="27" t="s">
        <v>9</v>
      </c>
      <c r="B60" s="27" t="s">
        <v>1400</v>
      </c>
    </row>
    <row r="61" spans="1:14" s="27" customFormat="1" ht="39">
      <c r="A61" s="27" t="s">
        <v>11</v>
      </c>
      <c r="B61" s="196" t="s">
        <v>1401</v>
      </c>
    </row>
    <row r="62" spans="1:14" s="27" customFormat="1" ht="12.95">
      <c r="A62" s="27" t="s">
        <v>13</v>
      </c>
      <c r="B62" s="27" t="s">
        <v>14</v>
      </c>
    </row>
    <row r="63" spans="1:14" s="27" customFormat="1" ht="12.95">
      <c r="A63" s="27" t="s">
        <v>15</v>
      </c>
      <c r="B63" s="37">
        <v>1</v>
      </c>
    </row>
    <row r="64" spans="1:14" s="27" customFormat="1" ht="12.95">
      <c r="A64" s="27" t="s">
        <v>16</v>
      </c>
      <c r="B64" s="27" t="s">
        <v>17</v>
      </c>
    </row>
    <row r="65" spans="1:14" s="27" customFormat="1" ht="12.95">
      <c r="A65" s="27" t="s">
        <v>18</v>
      </c>
      <c r="B65" s="27" t="s">
        <v>18</v>
      </c>
    </row>
    <row r="66" spans="1:14" ht="15.6">
      <c r="A66" s="26" t="s">
        <v>19</v>
      </c>
    </row>
    <row r="67" spans="1:14" ht="15.6">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723</v>
      </c>
    </row>
    <row r="68" spans="1:14" s="27" customFormat="1" ht="12.95">
      <c r="A68" s="27" t="s">
        <v>1384</v>
      </c>
      <c r="B68" s="27">
        <f>B63</f>
        <v>1</v>
      </c>
      <c r="C68" s="27" t="str">
        <f>B65</f>
        <v>unit</v>
      </c>
      <c r="D68" s="27" t="s">
        <v>2</v>
      </c>
      <c r="E68" s="27" t="s">
        <v>29</v>
      </c>
      <c r="F68" s="27" t="str">
        <f>B62</f>
        <v>EUR</v>
      </c>
      <c r="G68" s="27" t="s">
        <v>30</v>
      </c>
      <c r="H68" s="27">
        <v>0</v>
      </c>
      <c r="I68" s="27">
        <f>B68</f>
        <v>1</v>
      </c>
      <c r="J68" s="27" t="s">
        <v>31</v>
      </c>
      <c r="K68" s="27" t="s">
        <v>31</v>
      </c>
      <c r="L68" s="27" t="s">
        <v>31</v>
      </c>
      <c r="M68" s="27" t="s">
        <v>31</v>
      </c>
    </row>
    <row r="69" spans="1:14" s="27" customFormat="1" ht="12.95">
      <c r="A69" s="37" t="s">
        <v>1402</v>
      </c>
      <c r="B69" s="27">
        <v>1</v>
      </c>
      <c r="C69" s="27" t="s">
        <v>18</v>
      </c>
      <c r="D69" s="27" t="s">
        <v>2</v>
      </c>
      <c r="E69" s="27" t="s">
        <v>29</v>
      </c>
      <c r="F69" s="27" t="s">
        <v>14</v>
      </c>
      <c r="G69" s="27" t="s">
        <v>33</v>
      </c>
      <c r="H69" s="27">
        <v>2</v>
      </c>
      <c r="I69" s="27">
        <f>LN(B69)</f>
        <v>0</v>
      </c>
      <c r="J69" s="27">
        <v>1</v>
      </c>
      <c r="K69" s="27" t="s">
        <v>31</v>
      </c>
      <c r="L69" s="27" t="s">
        <v>31</v>
      </c>
      <c r="M69" s="27" t="s">
        <v>31</v>
      </c>
    </row>
    <row r="70" spans="1:14" s="27" customFormat="1" ht="12.95">
      <c r="A70" s="27" t="s">
        <v>1403</v>
      </c>
      <c r="B70" s="27">
        <v>1</v>
      </c>
      <c r="C70" s="27" t="s">
        <v>18</v>
      </c>
      <c r="D70" s="27" t="s">
        <v>2</v>
      </c>
      <c r="E70" s="27" t="s">
        <v>29</v>
      </c>
      <c r="F70" s="27" t="s">
        <v>14</v>
      </c>
      <c r="G70" s="27" t="s">
        <v>33</v>
      </c>
      <c r="H70" s="27">
        <v>2</v>
      </c>
      <c r="I70" s="27">
        <f t="shared" ref="I70:I75" si="2">LN(B70)</f>
        <v>0</v>
      </c>
      <c r="J70" s="27">
        <v>1</v>
      </c>
      <c r="K70" s="27" t="s">
        <v>31</v>
      </c>
      <c r="L70" s="27" t="s">
        <v>31</v>
      </c>
      <c r="M70" s="27" t="s">
        <v>31</v>
      </c>
    </row>
    <row r="71" spans="1:14" s="27" customFormat="1" ht="12.95">
      <c r="A71" s="27" t="s">
        <v>1404</v>
      </c>
      <c r="B71" s="27">
        <v>1</v>
      </c>
      <c r="C71" s="27" t="s">
        <v>18</v>
      </c>
      <c r="D71" s="27" t="s">
        <v>2</v>
      </c>
      <c r="E71" s="27" t="s">
        <v>29</v>
      </c>
      <c r="F71" s="27" t="s">
        <v>14</v>
      </c>
      <c r="G71" s="27" t="s">
        <v>33</v>
      </c>
      <c r="H71" s="27">
        <v>2</v>
      </c>
      <c r="I71" s="27">
        <f t="shared" si="2"/>
        <v>0</v>
      </c>
      <c r="J71" s="27">
        <v>1</v>
      </c>
      <c r="K71" s="27" t="s">
        <v>31</v>
      </c>
      <c r="L71" s="27" t="s">
        <v>31</v>
      </c>
      <c r="M71" s="27" t="s">
        <v>31</v>
      </c>
    </row>
    <row r="72" spans="1:14" s="27" customFormat="1" ht="12.95">
      <c r="A72" s="27" t="s">
        <v>1405</v>
      </c>
      <c r="B72" s="27">
        <v>1</v>
      </c>
      <c r="C72" s="27" t="s">
        <v>18</v>
      </c>
      <c r="D72" s="27" t="s">
        <v>2</v>
      </c>
      <c r="E72" s="27" t="s">
        <v>29</v>
      </c>
      <c r="F72" s="27" t="s">
        <v>14</v>
      </c>
      <c r="G72" s="27" t="s">
        <v>33</v>
      </c>
      <c r="H72" s="27">
        <v>2</v>
      </c>
      <c r="I72" s="27">
        <f t="shared" si="2"/>
        <v>0</v>
      </c>
      <c r="J72" s="27">
        <v>1</v>
      </c>
      <c r="K72" s="27" t="s">
        <v>31</v>
      </c>
      <c r="L72" s="27" t="s">
        <v>31</v>
      </c>
      <c r="M72" s="27" t="s">
        <v>31</v>
      </c>
    </row>
    <row r="73" spans="1:14" s="27" customFormat="1" ht="12.95">
      <c r="A73" s="27" t="s">
        <v>1406</v>
      </c>
      <c r="B73" s="27">
        <v>1</v>
      </c>
      <c r="C73" s="27" t="s">
        <v>18</v>
      </c>
      <c r="D73" s="27" t="s">
        <v>2</v>
      </c>
      <c r="E73" s="27" t="s">
        <v>29</v>
      </c>
      <c r="F73" s="27" t="s">
        <v>14</v>
      </c>
      <c r="G73" s="27" t="s">
        <v>33</v>
      </c>
      <c r="H73" s="27">
        <v>2</v>
      </c>
      <c r="I73" s="27">
        <f t="shared" si="2"/>
        <v>0</v>
      </c>
      <c r="J73" s="27">
        <v>1</v>
      </c>
      <c r="K73" s="27" t="s">
        <v>31</v>
      </c>
      <c r="L73" s="27" t="s">
        <v>31</v>
      </c>
      <c r="M73" s="27" t="s">
        <v>31</v>
      </c>
    </row>
    <row r="74" spans="1:14" s="27" customFormat="1" ht="12.95">
      <c r="A74" s="27" t="s">
        <v>1407</v>
      </c>
      <c r="B74" s="27">
        <v>1</v>
      </c>
      <c r="C74" s="27" t="s">
        <v>18</v>
      </c>
      <c r="D74" s="27" t="s">
        <v>2</v>
      </c>
      <c r="E74" s="27" t="s">
        <v>29</v>
      </c>
      <c r="F74" s="27" t="s">
        <v>14</v>
      </c>
      <c r="G74" s="27" t="s">
        <v>33</v>
      </c>
      <c r="H74" s="27">
        <v>2</v>
      </c>
      <c r="I74" s="27">
        <f t="shared" si="2"/>
        <v>0</v>
      </c>
      <c r="J74" s="27">
        <v>1</v>
      </c>
      <c r="K74" s="27" t="s">
        <v>31</v>
      </c>
      <c r="L74" s="27" t="s">
        <v>31</v>
      </c>
      <c r="M74" s="27" t="s">
        <v>31</v>
      </c>
    </row>
    <row r="75" spans="1:14" s="27" customFormat="1" ht="12.95">
      <c r="A75" s="27" t="s">
        <v>1408</v>
      </c>
      <c r="B75" s="27">
        <v>1</v>
      </c>
      <c r="C75" s="27" t="s">
        <v>18</v>
      </c>
      <c r="D75" s="27" t="s">
        <v>2</v>
      </c>
      <c r="E75" s="27" t="s">
        <v>29</v>
      </c>
      <c r="F75" s="27" t="s">
        <v>14</v>
      </c>
      <c r="G75" s="27" t="s">
        <v>33</v>
      </c>
      <c r="H75" s="27">
        <v>2</v>
      </c>
      <c r="I75" s="27">
        <f t="shared" si="2"/>
        <v>0</v>
      </c>
      <c r="J75" s="27">
        <v>1</v>
      </c>
      <c r="K75" s="27" t="s">
        <v>31</v>
      </c>
      <c r="L75" s="27" t="s">
        <v>31</v>
      </c>
      <c r="M75" s="27" t="s">
        <v>31</v>
      </c>
    </row>
    <row r="76" spans="1:14" ht="15.6">
      <c r="A76" s="28" t="s">
        <v>5</v>
      </c>
      <c r="B76" s="28" t="s">
        <v>1402</v>
      </c>
      <c r="C76" s="29"/>
      <c r="D76" s="30"/>
      <c r="E76" s="30"/>
      <c r="F76" s="30"/>
      <c r="G76" s="30"/>
      <c r="H76" s="30"/>
      <c r="I76" s="30"/>
      <c r="J76" s="30"/>
      <c r="K76" s="30"/>
      <c r="L76" s="30"/>
      <c r="M76" s="30"/>
      <c r="N76" s="30"/>
    </row>
    <row r="77" spans="1:14" s="27" customFormat="1" ht="12.95">
      <c r="A77" s="27" t="s">
        <v>7</v>
      </c>
      <c r="B77" s="27" t="s">
        <v>1353</v>
      </c>
    </row>
    <row r="78" spans="1:14" s="27" customFormat="1" ht="12.95">
      <c r="A78" s="27" t="s">
        <v>9</v>
      </c>
      <c r="B78" s="27" t="s">
        <v>1409</v>
      </c>
    </row>
    <row r="79" spans="1:14" s="27" customFormat="1" ht="39">
      <c r="A79" s="27" t="s">
        <v>11</v>
      </c>
      <c r="B79" s="196" t="s">
        <v>1410</v>
      </c>
    </row>
    <row r="80" spans="1:14" s="27" customFormat="1" ht="12.95">
      <c r="A80" s="27" t="s">
        <v>13</v>
      </c>
      <c r="B80" s="27" t="s">
        <v>14</v>
      </c>
    </row>
    <row r="81" spans="1:14" s="27" customFormat="1" ht="12.95">
      <c r="A81" s="27" t="s">
        <v>15</v>
      </c>
      <c r="B81" s="37">
        <v>1</v>
      </c>
    </row>
    <row r="82" spans="1:14" s="27" customFormat="1" ht="12.95">
      <c r="A82" s="27" t="s">
        <v>16</v>
      </c>
      <c r="B82" s="27" t="s">
        <v>17</v>
      </c>
    </row>
    <row r="83" spans="1:14" s="27" customFormat="1" ht="12.95">
      <c r="A83" s="27" t="s">
        <v>18</v>
      </c>
      <c r="B83" s="27" t="s">
        <v>18</v>
      </c>
    </row>
    <row r="84" spans="1:14" ht="15.6">
      <c r="A84" s="26" t="s">
        <v>19</v>
      </c>
    </row>
    <row r="85" spans="1:14" ht="15.6">
      <c r="A85" s="26" t="s">
        <v>20</v>
      </c>
      <c r="B85" s="26" t="s">
        <v>21</v>
      </c>
      <c r="C85" s="26" t="s">
        <v>18</v>
      </c>
      <c r="D85" s="26" t="s">
        <v>22</v>
      </c>
      <c r="E85" s="26" t="s">
        <v>7</v>
      </c>
      <c r="F85" s="26" t="s">
        <v>13</v>
      </c>
      <c r="G85" s="26" t="s">
        <v>16</v>
      </c>
      <c r="H85" s="26" t="s">
        <v>23</v>
      </c>
      <c r="I85" s="26" t="s">
        <v>24</v>
      </c>
      <c r="J85" s="26" t="s">
        <v>25</v>
      </c>
      <c r="K85" s="26" t="s">
        <v>26</v>
      </c>
      <c r="L85" s="26" t="s">
        <v>27</v>
      </c>
      <c r="M85" s="26" t="s">
        <v>28</v>
      </c>
      <c r="N85" s="26" t="s">
        <v>723</v>
      </c>
    </row>
    <row r="86" spans="1:14" s="27" customFormat="1" ht="12.95">
      <c r="A86" s="27" t="s">
        <v>1402</v>
      </c>
      <c r="B86" s="27">
        <f>B81</f>
        <v>1</v>
      </c>
      <c r="C86" s="27" t="str">
        <f>B83</f>
        <v>unit</v>
      </c>
      <c r="D86" s="27" t="s">
        <v>2</v>
      </c>
      <c r="E86" s="27" t="s">
        <v>29</v>
      </c>
      <c r="F86" s="27" t="str">
        <f>B80</f>
        <v>EUR</v>
      </c>
      <c r="G86" s="27" t="s">
        <v>30</v>
      </c>
      <c r="H86" s="27">
        <v>0</v>
      </c>
      <c r="I86" s="27">
        <f>B86</f>
        <v>1</v>
      </c>
      <c r="J86" s="27" t="s">
        <v>31</v>
      </c>
      <c r="K86" s="27" t="s">
        <v>31</v>
      </c>
      <c r="L86" s="27" t="s">
        <v>31</v>
      </c>
      <c r="M86" s="27" t="s">
        <v>31</v>
      </c>
    </row>
    <row r="87" spans="1:14" s="27" customFormat="1" ht="12.95">
      <c r="A87" s="27" t="s">
        <v>1411</v>
      </c>
      <c r="B87" s="27">
        <v>21420</v>
      </c>
      <c r="C87" s="27" t="s">
        <v>37</v>
      </c>
      <c r="D87" s="27" t="s">
        <v>40</v>
      </c>
      <c r="E87" s="27" t="s">
        <v>29</v>
      </c>
      <c r="F87" s="27" t="s">
        <v>59</v>
      </c>
      <c r="G87" s="27" t="s">
        <v>33</v>
      </c>
      <c r="H87" s="27">
        <v>2</v>
      </c>
      <c r="I87" s="27">
        <f>LN(B87)</f>
        <v>9.9720803440017391</v>
      </c>
      <c r="J87" s="27">
        <v>1</v>
      </c>
      <c r="K87" s="27" t="s">
        <v>31</v>
      </c>
      <c r="L87" s="27" t="s">
        <v>31</v>
      </c>
      <c r="M87" s="27" t="s">
        <v>31</v>
      </c>
    </row>
    <row r="88" spans="1:14" s="27" customFormat="1" ht="12.95">
      <c r="A88" s="27" t="s">
        <v>738</v>
      </c>
      <c r="B88" s="27">
        <v>50.400000000000006</v>
      </c>
      <c r="C88" s="27" t="s">
        <v>37</v>
      </c>
      <c r="D88" s="27" t="s">
        <v>40</v>
      </c>
      <c r="E88" s="27" t="s">
        <v>29</v>
      </c>
      <c r="F88" s="27" t="s">
        <v>59</v>
      </c>
      <c r="G88" s="27" t="s">
        <v>33</v>
      </c>
      <c r="H88" s="27">
        <v>2</v>
      </c>
      <c r="I88" s="27">
        <f t="shared" ref="I88:I96" si="3">LN(B88)</f>
        <v>3.9199911750773229</v>
      </c>
      <c r="J88" s="27">
        <v>1</v>
      </c>
      <c r="K88" s="27" t="s">
        <v>31</v>
      </c>
      <c r="L88" s="27" t="s">
        <v>31</v>
      </c>
      <c r="M88" s="27" t="s">
        <v>31</v>
      </c>
    </row>
    <row r="89" spans="1:14" s="27" customFormat="1" ht="12.95">
      <c r="A89" s="27" t="s">
        <v>567</v>
      </c>
      <c r="B89" s="27">
        <v>50.400000000000006</v>
      </c>
      <c r="C89" s="27" t="s">
        <v>37</v>
      </c>
      <c r="D89" s="27" t="s">
        <v>40</v>
      </c>
      <c r="E89" s="27" t="s">
        <v>29</v>
      </c>
      <c r="F89" s="27" t="s">
        <v>59</v>
      </c>
      <c r="G89" s="27" t="s">
        <v>33</v>
      </c>
      <c r="H89" s="27">
        <v>2</v>
      </c>
      <c r="I89" s="27">
        <f t="shared" si="3"/>
        <v>3.9199911750773229</v>
      </c>
      <c r="J89" s="27">
        <v>1</v>
      </c>
      <c r="K89" s="27" t="s">
        <v>31</v>
      </c>
      <c r="L89" s="27" t="s">
        <v>31</v>
      </c>
      <c r="M89" s="27" t="s">
        <v>31</v>
      </c>
    </row>
    <row r="90" spans="1:14" s="27" customFormat="1" ht="12.95">
      <c r="A90" s="27" t="s">
        <v>738</v>
      </c>
      <c r="B90" s="27">
        <v>18684</v>
      </c>
      <c r="C90" s="27" t="s">
        <v>37</v>
      </c>
      <c r="D90" s="27" t="s">
        <v>40</v>
      </c>
      <c r="E90" s="27" t="s">
        <v>29</v>
      </c>
      <c r="F90" s="27" t="s">
        <v>59</v>
      </c>
      <c r="G90" s="27" t="s">
        <v>33</v>
      </c>
      <c r="H90" s="27">
        <v>2</v>
      </c>
      <c r="I90" s="27">
        <f t="shared" si="3"/>
        <v>9.8354228216219983</v>
      </c>
      <c r="J90" s="27">
        <v>1</v>
      </c>
      <c r="K90" s="27" t="s">
        <v>31</v>
      </c>
      <c r="L90" s="27" t="s">
        <v>31</v>
      </c>
      <c r="M90" s="27" t="s">
        <v>31</v>
      </c>
    </row>
    <row r="91" spans="1:14" s="27" customFormat="1" ht="12.95">
      <c r="A91" s="27" t="s">
        <v>85</v>
      </c>
      <c r="B91" s="27">
        <v>1530</v>
      </c>
      <c r="C91" s="27" t="s">
        <v>37</v>
      </c>
      <c r="D91" s="27" t="s">
        <v>40</v>
      </c>
      <c r="E91" s="27" t="s">
        <v>29</v>
      </c>
      <c r="F91" s="27" t="s">
        <v>59</v>
      </c>
      <c r="G91" s="27" t="s">
        <v>33</v>
      </c>
      <c r="H91" s="27">
        <v>2</v>
      </c>
      <c r="I91" s="27">
        <f t="shared" si="3"/>
        <v>7.3330230143864812</v>
      </c>
      <c r="J91" s="27">
        <v>1</v>
      </c>
      <c r="K91" s="27" t="s">
        <v>31</v>
      </c>
      <c r="L91" s="27" t="s">
        <v>31</v>
      </c>
      <c r="M91" s="27" t="s">
        <v>31</v>
      </c>
    </row>
    <row r="92" spans="1:14" s="27" customFormat="1" ht="12.95">
      <c r="A92" s="27" t="s">
        <v>120</v>
      </c>
      <c r="B92" s="27">
        <v>4590</v>
      </c>
      <c r="C92" s="27" t="s">
        <v>37</v>
      </c>
      <c r="D92" s="27" t="s">
        <v>40</v>
      </c>
      <c r="E92" s="27" t="s">
        <v>29</v>
      </c>
      <c r="F92" s="27" t="s">
        <v>59</v>
      </c>
      <c r="G92" s="27" t="s">
        <v>33</v>
      </c>
      <c r="H92" s="27">
        <v>2</v>
      </c>
      <c r="I92" s="27">
        <f t="shared" si="3"/>
        <v>8.4316353030545912</v>
      </c>
      <c r="J92" s="27">
        <v>1</v>
      </c>
      <c r="K92" s="27" t="s">
        <v>31</v>
      </c>
      <c r="L92" s="27" t="s">
        <v>31</v>
      </c>
      <c r="M92" s="27" t="s">
        <v>31</v>
      </c>
    </row>
    <row r="93" spans="1:14" s="27" customFormat="1" ht="12.95">
      <c r="A93" s="27" t="s">
        <v>1412</v>
      </c>
      <c r="B93" s="27">
        <v>18.000000000000004</v>
      </c>
      <c r="C93" s="27" t="s">
        <v>37</v>
      </c>
      <c r="D93" s="27" t="s">
        <v>40</v>
      </c>
      <c r="E93" s="27" t="s">
        <v>29</v>
      </c>
      <c r="F93" s="27" t="s">
        <v>59</v>
      </c>
      <c r="G93" s="27" t="s">
        <v>33</v>
      </c>
      <c r="H93" s="27">
        <v>2</v>
      </c>
      <c r="I93" s="27">
        <f t="shared" si="3"/>
        <v>2.890371757896165</v>
      </c>
      <c r="J93" s="27">
        <v>1</v>
      </c>
      <c r="K93" s="27" t="s">
        <v>31</v>
      </c>
      <c r="L93" s="27" t="s">
        <v>31</v>
      </c>
      <c r="M93" s="27" t="s">
        <v>31</v>
      </c>
    </row>
    <row r="94" spans="1:14" s="27" customFormat="1" ht="12.95">
      <c r="A94" s="27" t="s">
        <v>1413</v>
      </c>
      <c r="B94" s="27">
        <v>460.80000000000024</v>
      </c>
      <c r="C94" s="27" t="s">
        <v>37</v>
      </c>
      <c r="D94" s="27" t="s">
        <v>40</v>
      </c>
      <c r="E94" s="27" t="s">
        <v>29</v>
      </c>
      <c r="F94" s="27" t="s">
        <v>82</v>
      </c>
      <c r="G94" s="27" t="s">
        <v>33</v>
      </c>
      <c r="H94" s="27">
        <v>2</v>
      </c>
      <c r="I94" s="27">
        <f t="shared" si="3"/>
        <v>6.1329641093816818</v>
      </c>
      <c r="J94" s="27">
        <v>1</v>
      </c>
      <c r="K94" s="27" t="s">
        <v>31</v>
      </c>
      <c r="L94" s="27" t="s">
        <v>31</v>
      </c>
      <c r="M94" s="27" t="s">
        <v>31</v>
      </c>
    </row>
    <row r="95" spans="1:14" s="27" customFormat="1" ht="12.95">
      <c r="A95" s="27" t="s">
        <v>524</v>
      </c>
      <c r="B95" s="27">
        <v>3855.6000000000008</v>
      </c>
      <c r="C95" s="27" t="s">
        <v>37</v>
      </c>
      <c r="D95" s="27" t="s">
        <v>40</v>
      </c>
      <c r="E95" s="27" t="s">
        <v>29</v>
      </c>
      <c r="F95" s="27" t="s">
        <v>59</v>
      </c>
      <c r="G95" s="27" t="s">
        <v>33</v>
      </c>
      <c r="H95" s="27">
        <v>2</v>
      </c>
      <c r="I95" s="27">
        <f t="shared" si="3"/>
        <v>8.2572819159098128</v>
      </c>
      <c r="J95" s="27">
        <v>1</v>
      </c>
      <c r="K95" s="27" t="s">
        <v>31</v>
      </c>
      <c r="L95" s="27" t="s">
        <v>31</v>
      </c>
      <c r="M95" s="27" t="s">
        <v>31</v>
      </c>
    </row>
    <row r="96" spans="1:14" s="27" customFormat="1" ht="12.95">
      <c r="A96" s="27" t="s">
        <v>121</v>
      </c>
      <c r="B96" s="27">
        <v>144.00000000000003</v>
      </c>
      <c r="C96" s="27" t="s">
        <v>37</v>
      </c>
      <c r="D96" s="27" t="s">
        <v>40</v>
      </c>
      <c r="E96" s="27" t="s">
        <v>29</v>
      </c>
      <c r="F96" s="27" t="s">
        <v>59</v>
      </c>
      <c r="G96" s="27" t="s">
        <v>33</v>
      </c>
      <c r="H96" s="27">
        <v>2</v>
      </c>
      <c r="I96" s="27">
        <f t="shared" si="3"/>
        <v>4.9698132995760007</v>
      </c>
      <c r="J96" s="27">
        <v>1</v>
      </c>
      <c r="K96" s="27" t="s">
        <v>31</v>
      </c>
      <c r="L96" s="27" t="s">
        <v>31</v>
      </c>
      <c r="M96" s="27" t="s">
        <v>31</v>
      </c>
    </row>
    <row r="97" spans="1:14" s="27" customFormat="1" ht="15.6">
      <c r="A97" s="28" t="s">
        <v>5</v>
      </c>
      <c r="B97" s="28" t="s">
        <v>1403</v>
      </c>
      <c r="C97" s="29"/>
      <c r="D97" s="30"/>
      <c r="E97" s="30"/>
      <c r="F97" s="30"/>
      <c r="G97" s="30"/>
      <c r="H97" s="30"/>
      <c r="I97" s="30"/>
      <c r="J97" s="30"/>
      <c r="K97" s="30"/>
      <c r="L97" s="30"/>
      <c r="M97" s="30"/>
      <c r="N97" s="30"/>
    </row>
    <row r="98" spans="1:14" s="27" customFormat="1" ht="12.95">
      <c r="A98" s="27" t="s">
        <v>7</v>
      </c>
      <c r="B98" s="27" t="s">
        <v>1353</v>
      </c>
    </row>
    <row r="99" spans="1:14" s="27" customFormat="1" ht="12.95">
      <c r="A99" s="27" t="s">
        <v>9</v>
      </c>
      <c r="B99" s="27" t="s">
        <v>1414</v>
      </c>
    </row>
    <row r="100" spans="1:14" ht="39">
      <c r="A100" s="27" t="s">
        <v>11</v>
      </c>
      <c r="B100" s="196" t="s">
        <v>1415</v>
      </c>
      <c r="C100" s="27"/>
      <c r="D100" s="27"/>
      <c r="E100" s="27"/>
      <c r="F100" s="27"/>
      <c r="G100" s="27"/>
      <c r="H100" s="27"/>
      <c r="I100" s="27"/>
      <c r="J100" s="27"/>
      <c r="K100" s="27"/>
      <c r="L100" s="27"/>
      <c r="M100" s="27"/>
      <c r="N100" s="27"/>
    </row>
    <row r="101" spans="1:14">
      <c r="A101" s="27" t="s">
        <v>13</v>
      </c>
      <c r="B101" s="27" t="s">
        <v>14</v>
      </c>
      <c r="C101" s="27"/>
      <c r="D101" s="27"/>
      <c r="E101" s="27"/>
      <c r="F101" s="27"/>
      <c r="G101" s="27"/>
      <c r="H101" s="27"/>
      <c r="I101" s="27"/>
      <c r="J101" s="27"/>
      <c r="K101" s="27"/>
      <c r="L101" s="27"/>
      <c r="M101" s="27"/>
      <c r="N101" s="27"/>
    </row>
    <row r="102" spans="1:14">
      <c r="A102" s="27" t="s">
        <v>15</v>
      </c>
      <c r="B102" s="37">
        <v>1</v>
      </c>
      <c r="C102" s="27"/>
      <c r="D102" s="27"/>
      <c r="E102" s="27"/>
      <c r="F102" s="27"/>
      <c r="G102" s="27"/>
      <c r="H102" s="27"/>
      <c r="I102" s="27"/>
      <c r="J102" s="27"/>
      <c r="K102" s="27"/>
      <c r="L102" s="27"/>
      <c r="M102" s="27"/>
      <c r="N102" s="27"/>
    </row>
    <row r="103" spans="1:14">
      <c r="A103" s="27" t="s">
        <v>16</v>
      </c>
      <c r="B103" s="27" t="s">
        <v>17</v>
      </c>
      <c r="C103" s="27"/>
      <c r="D103" s="27"/>
      <c r="E103" s="27"/>
      <c r="F103" s="27"/>
      <c r="G103" s="27"/>
      <c r="H103" s="27"/>
      <c r="I103" s="27"/>
      <c r="J103" s="27"/>
      <c r="K103" s="27"/>
      <c r="L103" s="27"/>
      <c r="M103" s="27"/>
      <c r="N103" s="27"/>
    </row>
    <row r="104" spans="1:14">
      <c r="A104" s="27" t="s">
        <v>18</v>
      </c>
      <c r="B104" s="27" t="s">
        <v>18</v>
      </c>
      <c r="C104" s="27"/>
      <c r="D104" s="27"/>
      <c r="E104" s="27"/>
      <c r="F104" s="27"/>
      <c r="G104" s="27"/>
      <c r="H104" s="27"/>
      <c r="I104" s="27"/>
      <c r="J104" s="27"/>
      <c r="K104" s="27"/>
      <c r="L104" s="27"/>
      <c r="M104" s="27"/>
      <c r="N104" s="27"/>
    </row>
    <row r="105" spans="1:14" ht="15.6">
      <c r="A105" s="26" t="s">
        <v>19</v>
      </c>
    </row>
    <row r="106" spans="1:14" ht="15.6">
      <c r="A106" s="26" t="s">
        <v>20</v>
      </c>
      <c r="B106" s="26" t="s">
        <v>21</v>
      </c>
      <c r="C106" s="26" t="s">
        <v>18</v>
      </c>
      <c r="D106" s="26" t="s">
        <v>22</v>
      </c>
      <c r="E106" s="26" t="s">
        <v>7</v>
      </c>
      <c r="F106" s="26" t="s">
        <v>13</v>
      </c>
      <c r="G106" s="26" t="s">
        <v>16</v>
      </c>
      <c r="H106" s="26" t="s">
        <v>23</v>
      </c>
      <c r="I106" s="26" t="s">
        <v>24</v>
      </c>
      <c r="J106" s="26" t="s">
        <v>25</v>
      </c>
      <c r="K106" s="26" t="s">
        <v>26</v>
      </c>
      <c r="L106" s="26" t="s">
        <v>27</v>
      </c>
      <c r="M106" s="26" t="s">
        <v>28</v>
      </c>
      <c r="N106" s="26" t="s">
        <v>723</v>
      </c>
    </row>
    <row r="107" spans="1:14">
      <c r="A107" s="27" t="s">
        <v>1403</v>
      </c>
      <c r="B107" s="27">
        <f>B102</f>
        <v>1</v>
      </c>
      <c r="C107" s="27" t="str">
        <f>B104</f>
        <v>unit</v>
      </c>
      <c r="D107" s="27" t="s">
        <v>2</v>
      </c>
      <c r="E107" s="27" t="s">
        <v>29</v>
      </c>
      <c r="F107" s="27" t="str">
        <f>B101</f>
        <v>EUR</v>
      </c>
      <c r="G107" s="27" t="s">
        <v>30</v>
      </c>
      <c r="H107" s="27">
        <v>0</v>
      </c>
      <c r="I107" s="27">
        <f>B107</f>
        <v>1</v>
      </c>
      <c r="J107" s="27" t="s">
        <v>31</v>
      </c>
      <c r="K107" s="27" t="s">
        <v>31</v>
      </c>
      <c r="L107" s="27" t="s">
        <v>31</v>
      </c>
      <c r="M107" s="27" t="s">
        <v>31</v>
      </c>
      <c r="N107" s="27"/>
    </row>
    <row r="108" spans="1:14">
      <c r="A108" s="37" t="s">
        <v>1411</v>
      </c>
      <c r="B108" s="42">
        <v>73231.199999999983</v>
      </c>
      <c r="C108" s="27" t="s">
        <v>37</v>
      </c>
      <c r="D108" s="27" t="s">
        <v>40</v>
      </c>
      <c r="E108" s="27" t="s">
        <v>29</v>
      </c>
      <c r="F108" s="27" t="s">
        <v>59</v>
      </c>
      <c r="G108" s="27" t="s">
        <v>33</v>
      </c>
      <c r="H108" s="27">
        <v>2</v>
      </c>
      <c r="I108" s="27">
        <f>LN(B108)</f>
        <v>11.201376838647606</v>
      </c>
      <c r="J108" s="27">
        <v>1</v>
      </c>
      <c r="K108" s="27" t="s">
        <v>31</v>
      </c>
      <c r="L108" s="27" t="s">
        <v>31</v>
      </c>
      <c r="M108" s="27" t="s">
        <v>31</v>
      </c>
      <c r="N108" s="27"/>
    </row>
    <row r="109" spans="1:14">
      <c r="A109" s="27" t="s">
        <v>738</v>
      </c>
      <c r="B109" s="42">
        <v>453.59999999999997</v>
      </c>
      <c r="C109" s="27" t="s">
        <v>37</v>
      </c>
      <c r="D109" s="27" t="s">
        <v>40</v>
      </c>
      <c r="E109" s="27" t="s">
        <v>29</v>
      </c>
      <c r="F109" s="27" t="s">
        <v>59</v>
      </c>
      <c r="G109" s="27" t="s">
        <v>33</v>
      </c>
      <c r="H109" s="27">
        <v>2</v>
      </c>
      <c r="I109" s="27">
        <f t="shared" ref="I109:I120" si="4">LN(B109)</f>
        <v>6.117215752413542</v>
      </c>
      <c r="J109" s="27">
        <v>1</v>
      </c>
      <c r="K109" s="27" t="s">
        <v>31</v>
      </c>
      <c r="L109" s="27" t="s">
        <v>31</v>
      </c>
      <c r="M109" s="27" t="s">
        <v>31</v>
      </c>
      <c r="N109" s="27"/>
    </row>
    <row r="110" spans="1:14">
      <c r="A110" s="37" t="s">
        <v>567</v>
      </c>
      <c r="B110" s="42">
        <v>453.59999999999997</v>
      </c>
      <c r="C110" s="27" t="s">
        <v>37</v>
      </c>
      <c r="D110" s="27" t="s">
        <v>40</v>
      </c>
      <c r="E110" s="27" t="s">
        <v>29</v>
      </c>
      <c r="F110" s="27" t="s">
        <v>59</v>
      </c>
      <c r="G110" s="27" t="s">
        <v>33</v>
      </c>
      <c r="H110" s="27">
        <v>2</v>
      </c>
      <c r="I110" s="27">
        <f t="shared" si="4"/>
        <v>6.117215752413542</v>
      </c>
      <c r="J110" s="27">
        <v>1</v>
      </c>
      <c r="K110" s="27" t="s">
        <v>31</v>
      </c>
      <c r="L110" s="27" t="s">
        <v>31</v>
      </c>
      <c r="M110" s="27" t="s">
        <v>31</v>
      </c>
      <c r="N110" s="27"/>
    </row>
    <row r="111" spans="1:14">
      <c r="A111" s="27" t="s">
        <v>738</v>
      </c>
      <c r="B111" s="42">
        <v>21171.599999999999</v>
      </c>
      <c r="C111" s="27" t="s">
        <v>37</v>
      </c>
      <c r="D111" s="27" t="s">
        <v>40</v>
      </c>
      <c r="E111" s="27" t="s">
        <v>29</v>
      </c>
      <c r="F111" s="27" t="s">
        <v>59</v>
      </c>
      <c r="G111" s="27" t="s">
        <v>33</v>
      </c>
      <c r="H111" s="27">
        <v>2</v>
      </c>
      <c r="I111" s="27">
        <f t="shared" si="4"/>
        <v>9.9604159399220205</v>
      </c>
      <c r="J111" s="27">
        <v>1</v>
      </c>
      <c r="K111" s="27" t="s">
        <v>31</v>
      </c>
      <c r="L111" s="27" t="s">
        <v>31</v>
      </c>
      <c r="M111" s="27" t="s">
        <v>31</v>
      </c>
      <c r="N111" s="27"/>
    </row>
    <row r="112" spans="1:14">
      <c r="A112" s="37" t="s">
        <v>85</v>
      </c>
      <c r="B112" s="42">
        <v>71193.599999999991</v>
      </c>
      <c r="C112" s="27" t="s">
        <v>37</v>
      </c>
      <c r="D112" s="27" t="s">
        <v>40</v>
      </c>
      <c r="E112" s="27" t="s">
        <v>29</v>
      </c>
      <c r="F112" s="27" t="s">
        <v>59</v>
      </c>
      <c r="G112" s="27" t="s">
        <v>33</v>
      </c>
      <c r="H112" s="27">
        <v>2</v>
      </c>
      <c r="I112" s="27">
        <f t="shared" si="4"/>
        <v>11.173158205719481</v>
      </c>
      <c r="J112" s="27">
        <v>1</v>
      </c>
      <c r="K112" s="27" t="s">
        <v>31</v>
      </c>
      <c r="L112" s="27" t="s">
        <v>31</v>
      </c>
      <c r="M112" s="27" t="s">
        <v>31</v>
      </c>
      <c r="N112" s="27"/>
    </row>
    <row r="113" spans="1:14">
      <c r="A113" s="37" t="s">
        <v>120</v>
      </c>
      <c r="B113" s="42">
        <v>45126</v>
      </c>
      <c r="C113" s="27" t="s">
        <v>37</v>
      </c>
      <c r="D113" s="27" t="s">
        <v>40</v>
      </c>
      <c r="E113" s="27" t="s">
        <v>29</v>
      </c>
      <c r="F113" s="27" t="s">
        <v>59</v>
      </c>
      <c r="G113" s="27" t="s">
        <v>33</v>
      </c>
      <c r="H113" s="27">
        <v>2</v>
      </c>
      <c r="I113" s="27">
        <f t="shared" si="4"/>
        <v>10.717213856054459</v>
      </c>
      <c r="J113" s="27">
        <v>1</v>
      </c>
      <c r="K113" s="27" t="s">
        <v>31</v>
      </c>
      <c r="L113" s="27" t="s">
        <v>31</v>
      </c>
      <c r="M113" s="27" t="s">
        <v>31</v>
      </c>
      <c r="N113" s="27"/>
    </row>
    <row r="114" spans="1:14">
      <c r="A114" s="37" t="s">
        <v>1413</v>
      </c>
      <c r="B114" s="42">
        <v>802.8</v>
      </c>
      <c r="C114" s="27" t="s">
        <v>37</v>
      </c>
      <c r="D114" s="27" t="s">
        <v>40</v>
      </c>
      <c r="E114" s="27" t="s">
        <v>29</v>
      </c>
      <c r="F114" s="27" t="s">
        <v>82</v>
      </c>
      <c r="G114" s="27" t="s">
        <v>33</v>
      </c>
      <c r="H114" s="27">
        <v>2</v>
      </c>
      <c r="I114" s="27">
        <f t="shared" si="4"/>
        <v>6.6881056169221829</v>
      </c>
      <c r="J114" s="27">
        <v>1</v>
      </c>
      <c r="K114" s="27" t="s">
        <v>31</v>
      </c>
      <c r="L114" s="27" t="s">
        <v>31</v>
      </c>
      <c r="M114" s="27" t="s">
        <v>31</v>
      </c>
      <c r="N114" s="27"/>
    </row>
    <row r="115" spans="1:14">
      <c r="A115" s="37" t="s">
        <v>1416</v>
      </c>
      <c r="B115" s="42">
        <v>54</v>
      </c>
      <c r="C115" s="27" t="s">
        <v>37</v>
      </c>
      <c r="D115" s="27" t="s">
        <v>40</v>
      </c>
      <c r="E115" s="27" t="s">
        <v>29</v>
      </c>
      <c r="F115" s="27" t="s">
        <v>59</v>
      </c>
      <c r="G115" s="27" t="s">
        <v>33</v>
      </c>
      <c r="H115" s="27">
        <v>2</v>
      </c>
      <c r="I115" s="27">
        <f t="shared" si="4"/>
        <v>3.9889840465642745</v>
      </c>
      <c r="J115" s="27">
        <v>1</v>
      </c>
      <c r="K115" s="27" t="s">
        <v>31</v>
      </c>
      <c r="L115" s="27" t="s">
        <v>31</v>
      </c>
      <c r="M115" s="27" t="s">
        <v>31</v>
      </c>
      <c r="N115" s="27"/>
    </row>
    <row r="116" spans="1:14">
      <c r="A116" s="37" t="s">
        <v>524</v>
      </c>
      <c r="B116" s="42">
        <v>9554.4</v>
      </c>
      <c r="C116" s="27" t="s">
        <v>37</v>
      </c>
      <c r="D116" s="27" t="s">
        <v>40</v>
      </c>
      <c r="E116" s="27" t="s">
        <v>29</v>
      </c>
      <c r="F116" s="27" t="s">
        <v>59</v>
      </c>
      <c r="G116" s="27" t="s">
        <v>33</v>
      </c>
      <c r="H116" s="27">
        <v>2</v>
      </c>
      <c r="I116" s="27">
        <f t="shared" si="4"/>
        <v>9.1647570603542174</v>
      </c>
      <c r="J116" s="27">
        <v>1</v>
      </c>
      <c r="K116" s="27" t="s">
        <v>31</v>
      </c>
      <c r="L116" s="27" t="s">
        <v>31</v>
      </c>
      <c r="M116" s="27" t="s">
        <v>31</v>
      </c>
      <c r="N116" s="27"/>
    </row>
    <row r="117" spans="1:14">
      <c r="A117" s="37" t="s">
        <v>1417</v>
      </c>
      <c r="B117" s="42">
        <v>219.59999999999997</v>
      </c>
      <c r="C117" s="27" t="s">
        <v>37</v>
      </c>
      <c r="D117" s="27" t="s">
        <v>40</v>
      </c>
      <c r="E117" s="27" t="s">
        <v>29</v>
      </c>
      <c r="F117" s="27" t="s">
        <v>35</v>
      </c>
      <c r="G117" s="27" t="s">
        <v>33</v>
      </c>
      <c r="H117" s="27">
        <v>2</v>
      </c>
      <c r="I117" s="27">
        <f t="shared" si="4"/>
        <v>5.3918077096353754</v>
      </c>
      <c r="J117" s="27">
        <v>1</v>
      </c>
      <c r="K117" s="27" t="s">
        <v>31</v>
      </c>
      <c r="L117" s="27" t="s">
        <v>31</v>
      </c>
      <c r="M117" s="27" t="s">
        <v>31</v>
      </c>
      <c r="N117" s="27"/>
    </row>
    <row r="118" spans="1:14">
      <c r="A118" s="37" t="s">
        <v>966</v>
      </c>
      <c r="B118" s="42">
        <v>219.59999999999997</v>
      </c>
      <c r="C118" s="27" t="s">
        <v>37</v>
      </c>
      <c r="D118" s="27" t="s">
        <v>40</v>
      </c>
      <c r="E118" s="27" t="s">
        <v>29</v>
      </c>
      <c r="F118" s="27" t="s">
        <v>59</v>
      </c>
      <c r="G118" s="27" t="s">
        <v>33</v>
      </c>
      <c r="H118" s="27">
        <v>2</v>
      </c>
      <c r="I118" s="27">
        <f t="shared" si="4"/>
        <v>5.3918077096353754</v>
      </c>
      <c r="J118" s="27">
        <v>1</v>
      </c>
      <c r="K118" s="27" t="s">
        <v>31</v>
      </c>
      <c r="L118" s="27" t="s">
        <v>31</v>
      </c>
      <c r="M118" s="27" t="s">
        <v>31</v>
      </c>
      <c r="N118" s="27"/>
    </row>
    <row r="119" spans="1:14">
      <c r="A119" s="37" t="s">
        <v>121</v>
      </c>
      <c r="B119" s="42">
        <v>1684.7999999999997</v>
      </c>
      <c r="C119" s="27" t="s">
        <v>37</v>
      </c>
      <c r="D119" s="27" t="s">
        <v>40</v>
      </c>
      <c r="E119" s="27" t="s">
        <v>29</v>
      </c>
      <c r="F119" s="27" t="s">
        <v>59</v>
      </c>
      <c r="G119" s="27" t="s">
        <v>33</v>
      </c>
      <c r="H119" s="27">
        <v>2</v>
      </c>
      <c r="I119" s="27">
        <f t="shared" si="4"/>
        <v>7.4294021413797111</v>
      </c>
      <c r="J119" s="27">
        <v>1</v>
      </c>
      <c r="K119" s="27" t="s">
        <v>31</v>
      </c>
      <c r="L119" s="27" t="s">
        <v>31</v>
      </c>
      <c r="M119" s="27" t="s">
        <v>31</v>
      </c>
      <c r="N119" s="27"/>
    </row>
    <row r="120" spans="1:14">
      <c r="A120" s="37" t="s">
        <v>1418</v>
      </c>
      <c r="B120" s="42">
        <v>1367.9999999999998</v>
      </c>
      <c r="C120" s="27" t="s">
        <v>37</v>
      </c>
      <c r="D120" s="27" t="s">
        <v>40</v>
      </c>
      <c r="E120" s="27" t="s">
        <v>29</v>
      </c>
      <c r="F120" s="27" t="s">
        <v>59</v>
      </c>
      <c r="G120" s="27" t="s">
        <v>33</v>
      </c>
      <c r="H120" s="27">
        <v>2</v>
      </c>
      <c r="I120" s="27">
        <f t="shared" si="4"/>
        <v>7.2211050981824956</v>
      </c>
      <c r="J120" s="27">
        <v>1</v>
      </c>
      <c r="K120" s="27" t="s">
        <v>31</v>
      </c>
      <c r="L120" s="27" t="s">
        <v>31</v>
      </c>
      <c r="M120" s="27" t="s">
        <v>31</v>
      </c>
      <c r="N120" s="27"/>
    </row>
    <row r="121" spans="1:14" ht="15.6">
      <c r="A121" s="28" t="s">
        <v>5</v>
      </c>
      <c r="B121" s="28" t="s">
        <v>1404</v>
      </c>
      <c r="C121" s="29"/>
      <c r="D121" s="30"/>
      <c r="E121" s="30"/>
      <c r="F121" s="30"/>
      <c r="G121" s="30"/>
      <c r="H121" s="30"/>
      <c r="I121" s="30"/>
      <c r="J121" s="30"/>
      <c r="K121" s="30"/>
      <c r="L121" s="30"/>
      <c r="M121" s="30"/>
      <c r="N121" s="30"/>
    </row>
    <row r="122" spans="1:14">
      <c r="A122" s="27" t="s">
        <v>7</v>
      </c>
      <c r="B122" s="27" t="s">
        <v>1353</v>
      </c>
      <c r="C122" s="27"/>
      <c r="D122" s="27"/>
      <c r="E122" s="27"/>
      <c r="F122" s="27"/>
      <c r="G122" s="27"/>
      <c r="H122" s="27"/>
      <c r="I122" s="27"/>
      <c r="J122" s="27"/>
      <c r="K122" s="27"/>
      <c r="L122" s="27"/>
      <c r="M122" s="27"/>
      <c r="N122" s="27"/>
    </row>
    <row r="123" spans="1:14">
      <c r="A123" s="27" t="s">
        <v>9</v>
      </c>
      <c r="B123" s="27" t="s">
        <v>1419</v>
      </c>
      <c r="C123" s="27"/>
      <c r="D123" s="27"/>
      <c r="E123" s="27"/>
      <c r="F123" s="27"/>
      <c r="G123" s="27"/>
      <c r="H123" s="27"/>
      <c r="I123" s="27"/>
      <c r="J123" s="27"/>
      <c r="K123" s="27"/>
      <c r="L123" s="27"/>
      <c r="M123" s="27"/>
      <c r="N123" s="27"/>
    </row>
    <row r="124" spans="1:14" ht="39">
      <c r="A124" s="27" t="s">
        <v>11</v>
      </c>
      <c r="B124" s="196" t="s">
        <v>1420</v>
      </c>
      <c r="C124" s="27"/>
      <c r="D124" s="27"/>
      <c r="E124" s="27"/>
      <c r="F124" s="27"/>
      <c r="G124" s="27"/>
      <c r="H124" s="27"/>
      <c r="I124" s="27"/>
      <c r="J124" s="27"/>
      <c r="K124" s="27"/>
      <c r="L124" s="27"/>
      <c r="M124" s="27"/>
      <c r="N124" s="27"/>
    </row>
    <row r="125" spans="1:14">
      <c r="A125" s="27" t="s">
        <v>13</v>
      </c>
      <c r="B125" s="27" t="s">
        <v>14</v>
      </c>
      <c r="C125" s="27"/>
      <c r="D125" s="27"/>
      <c r="E125" s="27"/>
      <c r="F125" s="27"/>
      <c r="G125" s="27"/>
      <c r="H125" s="27"/>
      <c r="I125" s="27"/>
      <c r="J125" s="27"/>
      <c r="K125" s="27"/>
      <c r="L125" s="27"/>
      <c r="M125" s="27"/>
      <c r="N125" s="27"/>
    </row>
    <row r="126" spans="1:14">
      <c r="A126" s="27" t="s">
        <v>15</v>
      </c>
      <c r="B126" s="37">
        <v>1</v>
      </c>
      <c r="C126" s="27"/>
      <c r="D126" s="27"/>
      <c r="E126" s="27"/>
      <c r="F126" s="27"/>
      <c r="G126" s="27"/>
      <c r="H126" s="27"/>
      <c r="I126" s="27"/>
      <c r="J126" s="27"/>
      <c r="K126" s="27"/>
      <c r="L126" s="27"/>
      <c r="M126" s="27"/>
      <c r="N126" s="27"/>
    </row>
    <row r="127" spans="1:14">
      <c r="A127" s="27" t="s">
        <v>16</v>
      </c>
      <c r="B127" s="27" t="s">
        <v>17</v>
      </c>
      <c r="C127" s="27"/>
      <c r="D127" s="27"/>
      <c r="E127" s="27"/>
      <c r="F127" s="27"/>
      <c r="G127" s="27"/>
      <c r="H127" s="27"/>
      <c r="I127" s="27"/>
      <c r="J127" s="27"/>
      <c r="K127" s="27"/>
      <c r="L127" s="27"/>
      <c r="M127" s="27"/>
      <c r="N127" s="27"/>
    </row>
    <row r="128" spans="1:14">
      <c r="A128" s="27" t="s">
        <v>18</v>
      </c>
      <c r="B128" s="27" t="s">
        <v>18</v>
      </c>
      <c r="C128" s="27"/>
      <c r="D128" s="27"/>
      <c r="E128" s="27"/>
      <c r="F128" s="27"/>
      <c r="G128" s="27"/>
      <c r="H128" s="27"/>
      <c r="I128" s="27"/>
      <c r="J128" s="27"/>
      <c r="K128" s="27"/>
      <c r="L128" s="27"/>
      <c r="M128" s="27"/>
      <c r="N128" s="27"/>
    </row>
    <row r="129" spans="1:14" ht="15.6">
      <c r="A129" s="26" t="s">
        <v>19</v>
      </c>
    </row>
    <row r="130" spans="1:14" ht="15.6">
      <c r="A130" s="26" t="s">
        <v>20</v>
      </c>
      <c r="B130" s="26" t="s">
        <v>21</v>
      </c>
      <c r="C130" s="26" t="s">
        <v>18</v>
      </c>
      <c r="D130" s="26" t="s">
        <v>22</v>
      </c>
      <c r="E130" s="26" t="s">
        <v>7</v>
      </c>
      <c r="F130" s="26" t="s">
        <v>13</v>
      </c>
      <c r="G130" s="26" t="s">
        <v>16</v>
      </c>
      <c r="H130" s="26" t="s">
        <v>23</v>
      </c>
      <c r="I130" s="26" t="s">
        <v>24</v>
      </c>
      <c r="J130" s="26" t="s">
        <v>25</v>
      </c>
      <c r="K130" s="26" t="s">
        <v>26</v>
      </c>
      <c r="L130" s="26" t="s">
        <v>27</v>
      </c>
      <c r="M130" s="26" t="s">
        <v>28</v>
      </c>
      <c r="N130" s="26" t="s">
        <v>723</v>
      </c>
    </row>
    <row r="131" spans="1:14">
      <c r="A131" s="27" t="s">
        <v>1404</v>
      </c>
      <c r="B131" s="27">
        <f>B126</f>
        <v>1</v>
      </c>
      <c r="C131" s="27" t="str">
        <f>B128</f>
        <v>unit</v>
      </c>
      <c r="D131" s="27" t="s">
        <v>2</v>
      </c>
      <c r="E131" s="27" t="s">
        <v>29</v>
      </c>
      <c r="F131" s="27" t="str">
        <f>B125</f>
        <v>EUR</v>
      </c>
      <c r="G131" s="27" t="s">
        <v>30</v>
      </c>
      <c r="H131" s="27">
        <v>0</v>
      </c>
      <c r="I131" s="27">
        <f>B131</f>
        <v>1</v>
      </c>
      <c r="J131" s="27" t="s">
        <v>31</v>
      </c>
      <c r="K131" s="27" t="s">
        <v>31</v>
      </c>
      <c r="L131" s="27" t="s">
        <v>31</v>
      </c>
      <c r="M131" s="27" t="s">
        <v>31</v>
      </c>
      <c r="N131" s="27"/>
    </row>
    <row r="132" spans="1:14">
      <c r="A132" s="27" t="s">
        <v>1411</v>
      </c>
      <c r="B132" s="27">
        <v>140400.00000000003</v>
      </c>
      <c r="C132" s="27" t="s">
        <v>37</v>
      </c>
      <c r="D132" s="27" t="s">
        <v>40</v>
      </c>
      <c r="E132" s="27" t="s">
        <v>29</v>
      </c>
      <c r="F132" s="27" t="s">
        <v>59</v>
      </c>
      <c r="G132" s="27" t="s">
        <v>33</v>
      </c>
      <c r="H132" s="27">
        <v>2</v>
      </c>
      <c r="I132" s="27">
        <f t="shared" ref="I132:I137" si="5">LN(B132)</f>
        <v>11.852250770573848</v>
      </c>
      <c r="J132" s="27">
        <v>1</v>
      </c>
      <c r="K132" s="27" t="s">
        <v>31</v>
      </c>
      <c r="L132" s="27" t="s">
        <v>31</v>
      </c>
      <c r="M132" s="27" t="s">
        <v>31</v>
      </c>
      <c r="N132" s="27"/>
    </row>
    <row r="133" spans="1:14">
      <c r="A133" s="27" t="s">
        <v>1411</v>
      </c>
      <c r="B133" s="27">
        <v>88200.090000000011</v>
      </c>
      <c r="C133" s="27" t="s">
        <v>37</v>
      </c>
      <c r="D133" s="27" t="s">
        <v>40</v>
      </c>
      <c r="E133" s="27" t="s">
        <v>29</v>
      </c>
      <c r="F133" s="27" t="s">
        <v>59</v>
      </c>
      <c r="G133" s="27" t="s">
        <v>33</v>
      </c>
      <c r="H133" s="27">
        <v>2</v>
      </c>
      <c r="I133" s="27">
        <f t="shared" si="5"/>
        <v>11.387363262402525</v>
      </c>
      <c r="J133" s="27">
        <v>1</v>
      </c>
      <c r="K133" s="27" t="s">
        <v>31</v>
      </c>
      <c r="L133" s="27" t="s">
        <v>31</v>
      </c>
      <c r="M133" s="27" t="s">
        <v>31</v>
      </c>
      <c r="N133" s="27"/>
    </row>
    <row r="134" spans="1:14">
      <c r="A134" s="27" t="s">
        <v>567</v>
      </c>
      <c r="B134" s="27">
        <v>88200.090000000011</v>
      </c>
      <c r="C134" s="27" t="s">
        <v>37</v>
      </c>
      <c r="D134" s="27" t="s">
        <v>40</v>
      </c>
      <c r="E134" s="27" t="s">
        <v>29</v>
      </c>
      <c r="F134" s="27" t="s">
        <v>59</v>
      </c>
      <c r="G134" s="27" t="s">
        <v>33</v>
      </c>
      <c r="H134" s="27">
        <v>2</v>
      </c>
      <c r="I134" s="27">
        <f t="shared" si="5"/>
        <v>11.387363262402525</v>
      </c>
      <c r="J134" s="27">
        <v>1</v>
      </c>
      <c r="K134" s="27" t="s">
        <v>31</v>
      </c>
      <c r="L134" s="27" t="s">
        <v>31</v>
      </c>
      <c r="M134" s="27" t="s">
        <v>31</v>
      </c>
      <c r="N134" s="27"/>
    </row>
    <row r="135" spans="1:14">
      <c r="A135" s="27" t="s">
        <v>85</v>
      </c>
      <c r="B135" s="27">
        <v>12960.000000000004</v>
      </c>
      <c r="C135" s="27" t="s">
        <v>37</v>
      </c>
      <c r="D135" s="27" t="s">
        <v>40</v>
      </c>
      <c r="E135" s="27" t="s">
        <v>29</v>
      </c>
      <c r="F135" s="27" t="s">
        <v>59</v>
      </c>
      <c r="G135" s="27" t="s">
        <v>33</v>
      </c>
      <c r="H135" s="27">
        <v>2</v>
      </c>
      <c r="I135" s="27">
        <f t="shared" si="5"/>
        <v>9.4696229699062666</v>
      </c>
      <c r="J135" s="27">
        <v>1</v>
      </c>
      <c r="K135" s="27" t="s">
        <v>31</v>
      </c>
      <c r="L135" s="27" t="s">
        <v>31</v>
      </c>
      <c r="M135" s="27" t="s">
        <v>31</v>
      </c>
      <c r="N135" s="27"/>
    </row>
    <row r="136" spans="1:14">
      <c r="A136" s="27" t="s">
        <v>120</v>
      </c>
      <c r="B136" s="27">
        <v>87840</v>
      </c>
      <c r="C136" s="27" t="s">
        <v>37</v>
      </c>
      <c r="D136" s="27" t="s">
        <v>40</v>
      </c>
      <c r="E136" s="27" t="s">
        <v>29</v>
      </c>
      <c r="F136" s="27" t="s">
        <v>59</v>
      </c>
      <c r="G136" s="27" t="s">
        <v>33</v>
      </c>
      <c r="H136" s="27">
        <v>2</v>
      </c>
      <c r="I136" s="27">
        <f t="shared" si="5"/>
        <v>11.383272256743357</v>
      </c>
      <c r="J136" s="27">
        <v>1</v>
      </c>
      <c r="K136" s="27" t="s">
        <v>31</v>
      </c>
      <c r="L136" s="27" t="s">
        <v>31</v>
      </c>
      <c r="M136" s="27" t="s">
        <v>31</v>
      </c>
      <c r="N136" s="27"/>
    </row>
    <row r="137" spans="1:14">
      <c r="A137" s="27" t="s">
        <v>524</v>
      </c>
      <c r="B137" s="27">
        <v>12600.000000000002</v>
      </c>
      <c r="C137" s="27" t="s">
        <v>37</v>
      </c>
      <c r="D137" s="27" t="s">
        <v>40</v>
      </c>
      <c r="E137" s="27" t="s">
        <v>29</v>
      </c>
      <c r="F137" s="27" t="s">
        <v>59</v>
      </c>
      <c r="G137" s="27" t="s">
        <v>33</v>
      </c>
      <c r="H137" s="27">
        <v>2</v>
      </c>
      <c r="I137" s="27">
        <f t="shared" si="5"/>
        <v>9.4414520929395689</v>
      </c>
      <c r="J137" s="27">
        <v>1</v>
      </c>
      <c r="K137" s="27" t="s">
        <v>31</v>
      </c>
      <c r="L137" s="27" t="s">
        <v>31</v>
      </c>
      <c r="M137" s="27" t="s">
        <v>31</v>
      </c>
      <c r="N137" s="27"/>
    </row>
    <row r="138" spans="1:14" ht="15.6">
      <c r="A138" s="28" t="s">
        <v>5</v>
      </c>
      <c r="B138" s="28" t="s">
        <v>1405</v>
      </c>
      <c r="C138" s="29"/>
      <c r="D138" s="30"/>
      <c r="E138" s="30"/>
      <c r="F138" s="30"/>
      <c r="G138" s="30"/>
      <c r="H138" s="30"/>
      <c r="I138" s="30"/>
      <c r="J138" s="30"/>
      <c r="K138" s="30"/>
      <c r="L138" s="30"/>
      <c r="M138" s="30"/>
      <c r="N138" s="30"/>
    </row>
    <row r="139" spans="1:14">
      <c r="A139" s="27" t="s">
        <v>7</v>
      </c>
      <c r="B139" s="27" t="s">
        <v>1353</v>
      </c>
      <c r="C139" s="27"/>
      <c r="D139" s="27"/>
      <c r="E139" s="27"/>
      <c r="F139" s="27"/>
      <c r="G139" s="27"/>
      <c r="H139" s="27"/>
      <c r="I139" s="27"/>
      <c r="J139" s="27"/>
      <c r="K139" s="27"/>
      <c r="L139" s="27"/>
      <c r="M139" s="27"/>
      <c r="N139" s="27"/>
    </row>
    <row r="140" spans="1:14">
      <c r="A140" s="27" t="s">
        <v>9</v>
      </c>
      <c r="B140" s="27" t="s">
        <v>1421</v>
      </c>
      <c r="C140" s="27"/>
      <c r="D140" s="27"/>
      <c r="E140" s="27"/>
      <c r="F140" s="27"/>
      <c r="G140" s="27"/>
      <c r="H140" s="27"/>
      <c r="I140" s="27"/>
      <c r="J140" s="27"/>
      <c r="K140" s="27"/>
      <c r="L140" s="27"/>
      <c r="M140" s="27"/>
      <c r="N140" s="27"/>
    </row>
    <row r="141" spans="1:14" ht="39">
      <c r="A141" s="27" t="s">
        <v>11</v>
      </c>
      <c r="B141" s="196" t="s">
        <v>1422</v>
      </c>
      <c r="C141" s="27"/>
      <c r="D141" s="27"/>
      <c r="E141" s="27"/>
      <c r="F141" s="27"/>
      <c r="G141" s="27"/>
      <c r="H141" s="27"/>
      <c r="I141" s="27"/>
      <c r="J141" s="27"/>
      <c r="K141" s="27"/>
      <c r="L141" s="27"/>
      <c r="M141" s="27"/>
      <c r="N141" s="27"/>
    </row>
    <row r="142" spans="1:14">
      <c r="A142" s="27" t="s">
        <v>13</v>
      </c>
      <c r="B142" s="27" t="s">
        <v>14</v>
      </c>
      <c r="C142" s="27"/>
      <c r="D142" s="27"/>
      <c r="E142" s="27"/>
      <c r="F142" s="27"/>
      <c r="G142" s="27"/>
      <c r="H142" s="27"/>
      <c r="I142" s="27"/>
      <c r="J142" s="27"/>
      <c r="K142" s="27"/>
      <c r="L142" s="27"/>
      <c r="M142" s="27"/>
      <c r="N142" s="27"/>
    </row>
    <row r="143" spans="1:14">
      <c r="A143" s="27" t="s">
        <v>15</v>
      </c>
      <c r="B143" s="37">
        <v>1</v>
      </c>
      <c r="C143" s="27"/>
      <c r="D143" s="27"/>
      <c r="E143" s="27"/>
      <c r="F143" s="27"/>
      <c r="G143" s="27"/>
      <c r="H143" s="27"/>
      <c r="I143" s="27"/>
      <c r="J143" s="27"/>
      <c r="K143" s="27"/>
      <c r="L143" s="27"/>
      <c r="M143" s="27"/>
      <c r="N143" s="27"/>
    </row>
    <row r="144" spans="1:14">
      <c r="A144" s="27" t="s">
        <v>16</v>
      </c>
      <c r="B144" s="27" t="s">
        <v>17</v>
      </c>
      <c r="C144" s="27"/>
      <c r="D144" s="27"/>
      <c r="E144" s="27"/>
      <c r="F144" s="27"/>
      <c r="G144" s="27"/>
      <c r="H144" s="27"/>
      <c r="I144" s="27"/>
      <c r="J144" s="27"/>
      <c r="K144" s="27"/>
      <c r="L144" s="27"/>
      <c r="M144" s="27"/>
      <c r="N144" s="27"/>
    </row>
    <row r="145" spans="1:14">
      <c r="A145" s="27" t="s">
        <v>18</v>
      </c>
      <c r="B145" s="27" t="s">
        <v>18</v>
      </c>
      <c r="C145" s="27"/>
      <c r="D145" s="27"/>
      <c r="E145" s="27"/>
      <c r="F145" s="27"/>
      <c r="G145" s="27"/>
      <c r="H145" s="27"/>
      <c r="I145" s="27"/>
      <c r="J145" s="27"/>
      <c r="K145" s="27"/>
      <c r="L145" s="27"/>
      <c r="M145" s="27"/>
      <c r="N145" s="27"/>
    </row>
    <row r="146" spans="1:14" ht="15.6">
      <c r="A146" s="26" t="s">
        <v>19</v>
      </c>
    </row>
    <row r="147" spans="1:14" ht="15.6">
      <c r="A147" s="26" t="s">
        <v>20</v>
      </c>
      <c r="B147" s="26" t="s">
        <v>21</v>
      </c>
      <c r="C147" s="26" t="s">
        <v>18</v>
      </c>
      <c r="D147" s="26" t="s">
        <v>22</v>
      </c>
      <c r="E147" s="26" t="s">
        <v>7</v>
      </c>
      <c r="F147" s="26" t="s">
        <v>13</v>
      </c>
      <c r="G147" s="26" t="s">
        <v>16</v>
      </c>
      <c r="H147" s="26" t="s">
        <v>23</v>
      </c>
      <c r="I147" s="26" t="s">
        <v>24</v>
      </c>
      <c r="J147" s="26" t="s">
        <v>25</v>
      </c>
      <c r="K147" s="26" t="s">
        <v>26</v>
      </c>
      <c r="L147" s="26" t="s">
        <v>27</v>
      </c>
      <c r="M147" s="26" t="s">
        <v>28</v>
      </c>
      <c r="N147" s="26" t="s">
        <v>723</v>
      </c>
    </row>
    <row r="148" spans="1:14">
      <c r="A148" s="27" t="s">
        <v>1405</v>
      </c>
      <c r="B148" s="27">
        <f>B143</f>
        <v>1</v>
      </c>
      <c r="C148" s="27" t="str">
        <f>B145</f>
        <v>unit</v>
      </c>
      <c r="D148" s="27" t="s">
        <v>2</v>
      </c>
      <c r="E148" s="27" t="s">
        <v>29</v>
      </c>
      <c r="F148" s="27" t="str">
        <f>B142</f>
        <v>EUR</v>
      </c>
      <c r="G148" s="27" t="s">
        <v>30</v>
      </c>
      <c r="H148" s="27">
        <v>0</v>
      </c>
      <c r="I148" s="27">
        <f>B148</f>
        <v>1</v>
      </c>
      <c r="J148" s="27" t="s">
        <v>31</v>
      </c>
      <c r="K148" s="27" t="s">
        <v>31</v>
      </c>
      <c r="L148" s="27" t="s">
        <v>31</v>
      </c>
      <c r="M148" s="27" t="s">
        <v>31</v>
      </c>
      <c r="N148" s="27"/>
    </row>
    <row r="149" spans="1:14">
      <c r="A149" s="37" t="s">
        <v>1411</v>
      </c>
      <c r="B149" s="42">
        <v>1836.0000000000002</v>
      </c>
      <c r="C149" s="27" t="s">
        <v>37</v>
      </c>
      <c r="D149" s="27" t="s">
        <v>40</v>
      </c>
      <c r="E149" s="27" t="s">
        <v>29</v>
      </c>
      <c r="F149" s="27" t="s">
        <v>59</v>
      </c>
      <c r="G149" s="27" t="s">
        <v>33</v>
      </c>
      <c r="H149" s="27">
        <v>2</v>
      </c>
      <c r="I149" s="27">
        <f t="shared" ref="I149:I166" si="6">LN(B149)</f>
        <v>7.5153445711804361</v>
      </c>
      <c r="J149" s="27">
        <v>1</v>
      </c>
      <c r="K149" s="27" t="s">
        <v>31</v>
      </c>
      <c r="L149" s="27" t="s">
        <v>31</v>
      </c>
      <c r="M149" s="27" t="s">
        <v>31</v>
      </c>
      <c r="N149" s="27"/>
    </row>
    <row r="150" spans="1:14">
      <c r="A150" s="37" t="s">
        <v>738</v>
      </c>
      <c r="B150" s="42">
        <v>1836.0000000000002</v>
      </c>
      <c r="C150" s="27" t="s">
        <v>37</v>
      </c>
      <c r="D150" s="27" t="s">
        <v>40</v>
      </c>
      <c r="E150" s="27" t="s">
        <v>29</v>
      </c>
      <c r="F150" s="27" t="s">
        <v>59</v>
      </c>
      <c r="G150" s="27" t="s">
        <v>33</v>
      </c>
      <c r="H150" s="27">
        <v>2</v>
      </c>
      <c r="I150" s="27">
        <f t="shared" si="6"/>
        <v>7.5153445711804361</v>
      </c>
      <c r="J150" s="27">
        <v>1</v>
      </c>
      <c r="K150" s="27" t="s">
        <v>31</v>
      </c>
      <c r="L150" s="27" t="s">
        <v>31</v>
      </c>
      <c r="M150" s="27" t="s">
        <v>31</v>
      </c>
      <c r="N150" s="27"/>
    </row>
    <row r="151" spans="1:14">
      <c r="A151" s="37" t="s">
        <v>567</v>
      </c>
      <c r="B151" s="42">
        <v>162.00000000000003</v>
      </c>
      <c r="C151" s="27" t="s">
        <v>37</v>
      </c>
      <c r="D151" s="27" t="s">
        <v>40</v>
      </c>
      <c r="E151" s="27" t="s">
        <v>29</v>
      </c>
      <c r="F151" s="27" t="s">
        <v>59</v>
      </c>
      <c r="G151" s="27" t="s">
        <v>33</v>
      </c>
      <c r="H151" s="27">
        <v>2</v>
      </c>
      <c r="I151" s="27">
        <f t="shared" si="6"/>
        <v>5.0875963352323845</v>
      </c>
      <c r="J151" s="27">
        <v>1</v>
      </c>
      <c r="K151" s="27" t="s">
        <v>31</v>
      </c>
      <c r="L151" s="27" t="s">
        <v>31</v>
      </c>
      <c r="M151" s="27" t="s">
        <v>31</v>
      </c>
      <c r="N151" s="27"/>
    </row>
    <row r="152" spans="1:14">
      <c r="A152" s="27" t="s">
        <v>738</v>
      </c>
      <c r="B152" s="42">
        <v>5691.6</v>
      </c>
      <c r="C152" s="27" t="s">
        <v>37</v>
      </c>
      <c r="D152" s="27" t="s">
        <v>40</v>
      </c>
      <c r="E152" s="27" t="s">
        <v>29</v>
      </c>
      <c r="F152" s="27" t="s">
        <v>59</v>
      </c>
      <c r="G152" s="27" t="s">
        <v>33</v>
      </c>
      <c r="H152" s="27">
        <v>2</v>
      </c>
      <c r="I152" s="27">
        <f t="shared" si="6"/>
        <v>8.6467466826715356</v>
      </c>
      <c r="J152" s="27">
        <v>1</v>
      </c>
      <c r="K152" s="27" t="s">
        <v>31</v>
      </c>
      <c r="L152" s="27" t="s">
        <v>31</v>
      </c>
      <c r="M152" s="27" t="s">
        <v>31</v>
      </c>
      <c r="N152" s="27"/>
    </row>
    <row r="153" spans="1:14">
      <c r="A153" s="27" t="s">
        <v>85</v>
      </c>
      <c r="B153" s="42">
        <v>828</v>
      </c>
      <c r="C153" s="27" t="s">
        <v>37</v>
      </c>
      <c r="D153" s="27" t="s">
        <v>40</v>
      </c>
      <c r="E153" s="27" t="s">
        <v>29</v>
      </c>
      <c r="F153" s="27" t="s">
        <v>59</v>
      </c>
      <c r="G153" s="27" t="s">
        <v>33</v>
      </c>
      <c r="H153" s="27">
        <v>2</v>
      </c>
      <c r="I153" s="27">
        <f t="shared" si="6"/>
        <v>6.7190131543852596</v>
      </c>
      <c r="J153" s="27">
        <v>1</v>
      </c>
      <c r="K153" s="27" t="s">
        <v>31</v>
      </c>
      <c r="L153" s="27" t="s">
        <v>31</v>
      </c>
      <c r="M153" s="27" t="s">
        <v>31</v>
      </c>
      <c r="N153" s="27"/>
    </row>
    <row r="154" spans="1:14">
      <c r="A154" s="27" t="s">
        <v>120</v>
      </c>
      <c r="B154" s="42">
        <v>1087.2000000000003</v>
      </c>
      <c r="C154" s="27" t="s">
        <v>37</v>
      </c>
      <c r="D154" s="27" t="s">
        <v>40</v>
      </c>
      <c r="E154" s="27" t="s">
        <v>29</v>
      </c>
      <c r="F154" s="27" t="s">
        <v>59</v>
      </c>
      <c r="G154" s="27" t="s">
        <v>33</v>
      </c>
      <c r="H154" s="27">
        <v>2</v>
      </c>
      <c r="I154" s="27">
        <f t="shared" si="6"/>
        <v>6.9913608628369346</v>
      </c>
      <c r="J154" s="27">
        <v>1</v>
      </c>
      <c r="K154" s="27" t="s">
        <v>31</v>
      </c>
      <c r="L154" s="27" t="s">
        <v>31</v>
      </c>
      <c r="M154" s="27" t="s">
        <v>31</v>
      </c>
      <c r="N154" s="27"/>
    </row>
    <row r="155" spans="1:14">
      <c r="A155" s="37" t="s">
        <v>1412</v>
      </c>
      <c r="B155" s="42">
        <v>54.000000000000007</v>
      </c>
      <c r="C155" s="27" t="s">
        <v>37</v>
      </c>
      <c r="D155" s="27" t="s">
        <v>40</v>
      </c>
      <c r="E155" s="27" t="s">
        <v>29</v>
      </c>
      <c r="F155" s="27" t="s">
        <v>59</v>
      </c>
      <c r="G155" s="27" t="s">
        <v>33</v>
      </c>
      <c r="H155" s="27">
        <v>2</v>
      </c>
      <c r="I155" s="27">
        <f t="shared" si="6"/>
        <v>3.9889840465642745</v>
      </c>
      <c r="J155" s="27">
        <v>1</v>
      </c>
      <c r="K155" s="27" t="s">
        <v>31</v>
      </c>
      <c r="L155" s="27" t="s">
        <v>31</v>
      </c>
      <c r="M155" s="27" t="s">
        <v>31</v>
      </c>
      <c r="N155" s="27"/>
    </row>
    <row r="156" spans="1:14">
      <c r="A156" s="37" t="s">
        <v>1413</v>
      </c>
      <c r="B156" s="42">
        <v>72.000000000000014</v>
      </c>
      <c r="C156" s="27" t="s">
        <v>37</v>
      </c>
      <c r="D156" s="27" t="s">
        <v>40</v>
      </c>
      <c r="E156" s="27" t="s">
        <v>29</v>
      </c>
      <c r="F156" s="27" t="s">
        <v>82</v>
      </c>
      <c r="G156" s="27" t="s">
        <v>33</v>
      </c>
      <c r="H156" s="27">
        <v>2</v>
      </c>
      <c r="I156" s="27">
        <f t="shared" si="6"/>
        <v>4.2766661190160553</v>
      </c>
      <c r="J156" s="27">
        <v>1</v>
      </c>
      <c r="K156" s="27" t="s">
        <v>31</v>
      </c>
      <c r="L156" s="27" t="s">
        <v>31</v>
      </c>
      <c r="M156" s="27" t="s">
        <v>31</v>
      </c>
      <c r="N156" s="27"/>
    </row>
    <row r="157" spans="1:14">
      <c r="A157" s="37" t="s">
        <v>1423</v>
      </c>
      <c r="B157" s="42">
        <v>16632.000000000004</v>
      </c>
      <c r="C157" s="27" t="s">
        <v>37</v>
      </c>
      <c r="D157" s="27" t="s">
        <v>40</v>
      </c>
      <c r="E157" s="27" t="s">
        <v>29</v>
      </c>
      <c r="F157" s="27" t="s">
        <v>82</v>
      </c>
      <c r="G157" s="27" t="s">
        <v>33</v>
      </c>
      <c r="H157" s="27">
        <v>2</v>
      </c>
      <c r="I157" s="27">
        <f t="shared" si="6"/>
        <v>9.7190838295378494</v>
      </c>
      <c r="J157" s="27">
        <v>1</v>
      </c>
      <c r="K157" s="27" t="s">
        <v>31</v>
      </c>
      <c r="L157" s="27" t="s">
        <v>31</v>
      </c>
      <c r="M157" s="27" t="s">
        <v>31</v>
      </c>
      <c r="N157" s="37" t="s">
        <v>1424</v>
      </c>
    </row>
    <row r="158" spans="1:14">
      <c r="A158" s="37" t="s">
        <v>1416</v>
      </c>
      <c r="B158" s="42">
        <v>8575.2000000000007</v>
      </c>
      <c r="C158" s="27" t="s">
        <v>37</v>
      </c>
      <c r="D158" s="27" t="s">
        <v>40</v>
      </c>
      <c r="E158" s="27" t="s">
        <v>29</v>
      </c>
      <c r="F158" s="27" t="s">
        <v>59</v>
      </c>
      <c r="G158" s="27" t="s">
        <v>33</v>
      </c>
      <c r="H158" s="27">
        <v>2</v>
      </c>
      <c r="I158" s="27">
        <f t="shared" si="6"/>
        <v>9.0566295953773093</v>
      </c>
      <c r="J158" s="27">
        <v>1</v>
      </c>
      <c r="K158" s="27" t="s">
        <v>31</v>
      </c>
      <c r="L158" s="27" t="s">
        <v>31</v>
      </c>
      <c r="M158" s="27" t="s">
        <v>31</v>
      </c>
      <c r="N158" s="27"/>
    </row>
    <row r="159" spans="1:14">
      <c r="A159" s="37" t="s">
        <v>524</v>
      </c>
      <c r="B159" s="42">
        <v>2192.4</v>
      </c>
      <c r="C159" s="27" t="s">
        <v>37</v>
      </c>
      <c r="D159" s="27" t="s">
        <v>40</v>
      </c>
      <c r="E159" s="27" t="s">
        <v>29</v>
      </c>
      <c r="F159" s="27" t="s">
        <v>59</v>
      </c>
      <c r="G159" s="27" t="s">
        <v>33</v>
      </c>
      <c r="H159" s="27">
        <v>2</v>
      </c>
      <c r="I159" s="27">
        <f t="shared" si="6"/>
        <v>7.6927521131719612</v>
      </c>
      <c r="J159" s="27">
        <v>1</v>
      </c>
      <c r="K159" s="27" t="s">
        <v>31</v>
      </c>
      <c r="L159" s="27" t="s">
        <v>31</v>
      </c>
      <c r="M159" s="27" t="s">
        <v>31</v>
      </c>
      <c r="N159" s="27"/>
    </row>
    <row r="160" spans="1:14">
      <c r="A160" s="27" t="s">
        <v>1397</v>
      </c>
      <c r="B160" s="42">
        <v>1227.6000000000001</v>
      </c>
      <c r="C160" s="27" t="s">
        <v>37</v>
      </c>
      <c r="D160" s="27" t="s">
        <v>40</v>
      </c>
      <c r="E160" s="27" t="s">
        <v>29</v>
      </c>
      <c r="F160" s="27" t="s">
        <v>59</v>
      </c>
      <c r="G160" s="27" t="s">
        <v>33</v>
      </c>
      <c r="H160" s="27">
        <v>2</v>
      </c>
      <c r="I160" s="27">
        <f t="shared" si="6"/>
        <v>7.112816322745581</v>
      </c>
      <c r="J160" s="27">
        <v>1</v>
      </c>
      <c r="K160" s="27" t="s">
        <v>31</v>
      </c>
      <c r="L160" s="27" t="s">
        <v>31</v>
      </c>
      <c r="M160" s="27" t="s">
        <v>31</v>
      </c>
      <c r="N160" s="27"/>
    </row>
    <row r="161" spans="1:14">
      <c r="A161" s="27" t="s">
        <v>966</v>
      </c>
      <c r="B161" s="42">
        <v>1227.6000000000001</v>
      </c>
      <c r="C161" s="27" t="s">
        <v>37</v>
      </c>
      <c r="D161" s="27" t="s">
        <v>40</v>
      </c>
      <c r="E161" s="27" t="s">
        <v>29</v>
      </c>
      <c r="F161" s="27" t="s">
        <v>59</v>
      </c>
      <c r="G161" s="27" t="s">
        <v>33</v>
      </c>
      <c r="H161" s="27">
        <v>2</v>
      </c>
      <c r="I161" s="27">
        <f t="shared" si="6"/>
        <v>7.112816322745581</v>
      </c>
      <c r="J161" s="27">
        <v>1</v>
      </c>
      <c r="K161" s="27" t="s">
        <v>31</v>
      </c>
      <c r="L161" s="27" t="s">
        <v>31</v>
      </c>
      <c r="M161" s="27" t="s">
        <v>31</v>
      </c>
      <c r="N161" s="27"/>
    </row>
    <row r="162" spans="1:14">
      <c r="A162" s="37" t="s">
        <v>1425</v>
      </c>
      <c r="B162" s="42">
        <v>8280.0000000000018</v>
      </c>
      <c r="C162" s="27" t="s">
        <v>37</v>
      </c>
      <c r="D162" s="27" t="s">
        <v>40</v>
      </c>
      <c r="E162" s="27" t="s">
        <v>29</v>
      </c>
      <c r="F162" s="27" t="s">
        <v>59</v>
      </c>
      <c r="G162" s="27" t="s">
        <v>33</v>
      </c>
      <c r="H162" s="27">
        <v>2</v>
      </c>
      <c r="I162" s="27">
        <f t="shared" si="6"/>
        <v>9.0215982473793055</v>
      </c>
      <c r="J162" s="27">
        <v>1</v>
      </c>
      <c r="K162" s="27" t="s">
        <v>31</v>
      </c>
      <c r="L162" s="27" t="s">
        <v>31</v>
      </c>
      <c r="M162" s="27" t="s">
        <v>31</v>
      </c>
      <c r="N162" s="27"/>
    </row>
    <row r="163" spans="1:14">
      <c r="A163" s="37" t="s">
        <v>121</v>
      </c>
      <c r="B163" s="42">
        <v>4633.2000000000007</v>
      </c>
      <c r="C163" s="27" t="s">
        <v>37</v>
      </c>
      <c r="D163" s="27" t="s">
        <v>40</v>
      </c>
      <c r="E163" s="27" t="s">
        <v>29</v>
      </c>
      <c r="F163" s="27" t="s">
        <v>59</v>
      </c>
      <c r="G163" s="27" t="s">
        <v>33</v>
      </c>
      <c r="H163" s="27">
        <v>2</v>
      </c>
      <c r="I163" s="27">
        <f t="shared" si="6"/>
        <v>8.441003053058191</v>
      </c>
      <c r="J163" s="27">
        <v>1</v>
      </c>
      <c r="K163" s="27" t="s">
        <v>31</v>
      </c>
      <c r="L163" s="27" t="s">
        <v>31</v>
      </c>
      <c r="M163" s="27" t="s">
        <v>31</v>
      </c>
      <c r="N163" s="27"/>
    </row>
    <row r="164" spans="1:14">
      <c r="A164" s="37" t="s">
        <v>145</v>
      </c>
      <c r="B164" s="42">
        <v>18.000000000000004</v>
      </c>
      <c r="C164" s="27" t="s">
        <v>37</v>
      </c>
      <c r="D164" s="27" t="s">
        <v>40</v>
      </c>
      <c r="E164" s="27" t="s">
        <v>29</v>
      </c>
      <c r="F164" s="27" t="s">
        <v>59</v>
      </c>
      <c r="G164" s="27" t="s">
        <v>33</v>
      </c>
      <c r="H164" s="27">
        <v>2</v>
      </c>
      <c r="I164" s="27">
        <f t="shared" si="6"/>
        <v>2.890371757896165</v>
      </c>
      <c r="J164" s="27">
        <v>1</v>
      </c>
      <c r="K164" s="27" t="s">
        <v>31</v>
      </c>
      <c r="L164" s="27" t="s">
        <v>31</v>
      </c>
      <c r="M164" s="27" t="s">
        <v>31</v>
      </c>
      <c r="N164" s="27" t="s">
        <v>1426</v>
      </c>
    </row>
    <row r="165" spans="1:14" s="27" customFormat="1" ht="12.95">
      <c r="A165" s="37" t="s">
        <v>155</v>
      </c>
      <c r="B165" s="42">
        <v>126.00000000000001</v>
      </c>
      <c r="C165" s="27" t="s">
        <v>37</v>
      </c>
      <c r="D165" s="27" t="s">
        <v>40</v>
      </c>
      <c r="E165" s="27" t="s">
        <v>29</v>
      </c>
      <c r="F165" s="27" t="s">
        <v>82</v>
      </c>
      <c r="G165" s="27" t="s">
        <v>33</v>
      </c>
      <c r="H165" s="27">
        <v>2</v>
      </c>
      <c r="I165" s="27">
        <f t="shared" si="6"/>
        <v>4.836281906951478</v>
      </c>
      <c r="J165" s="27">
        <v>1</v>
      </c>
      <c r="K165" s="27" t="s">
        <v>31</v>
      </c>
      <c r="L165" s="27" t="s">
        <v>31</v>
      </c>
      <c r="M165" s="27" t="s">
        <v>31</v>
      </c>
    </row>
    <row r="166" spans="1:14" s="27" customFormat="1" ht="12.95">
      <c r="A166" s="27" t="s">
        <v>1427</v>
      </c>
      <c r="B166" s="42">
        <v>1270.8</v>
      </c>
      <c r="C166" s="27" t="s">
        <v>37</v>
      </c>
      <c r="D166" s="27" t="s">
        <v>40</v>
      </c>
      <c r="E166" s="27" t="s">
        <v>29</v>
      </c>
      <c r="F166" s="27" t="s">
        <v>59</v>
      </c>
      <c r="G166" s="27" t="s">
        <v>33</v>
      </c>
      <c r="H166" s="27">
        <v>2</v>
      </c>
      <c r="I166" s="27">
        <f t="shared" si="6"/>
        <v>7.1474019023953614</v>
      </c>
      <c r="J166" s="27">
        <v>1</v>
      </c>
      <c r="K166" s="27" t="s">
        <v>31</v>
      </c>
      <c r="L166" s="27" t="s">
        <v>31</v>
      </c>
      <c r="M166" s="27" t="s">
        <v>31</v>
      </c>
    </row>
    <row r="167" spans="1:14" ht="15.6">
      <c r="A167" s="28" t="s">
        <v>5</v>
      </c>
      <c r="B167" s="28" t="s">
        <v>1406</v>
      </c>
      <c r="C167" s="29"/>
      <c r="D167" s="30"/>
      <c r="E167" s="30"/>
      <c r="F167" s="30"/>
      <c r="G167" s="30"/>
      <c r="H167" s="30"/>
      <c r="I167" s="30"/>
      <c r="J167" s="30"/>
      <c r="K167" s="30"/>
      <c r="L167" s="30"/>
      <c r="M167" s="30"/>
      <c r="N167" s="30"/>
    </row>
    <row r="168" spans="1:14">
      <c r="A168" s="27" t="s">
        <v>7</v>
      </c>
      <c r="B168" s="27" t="s">
        <v>1353</v>
      </c>
      <c r="C168" s="27"/>
      <c r="D168" s="27"/>
      <c r="E168" s="27"/>
      <c r="F168" s="27"/>
      <c r="G168" s="27"/>
      <c r="H168" s="27"/>
      <c r="I168" s="27"/>
      <c r="J168" s="27"/>
      <c r="K168" s="27"/>
      <c r="L168" s="27"/>
      <c r="M168" s="27"/>
      <c r="N168" s="27"/>
    </row>
    <row r="169" spans="1:14">
      <c r="A169" s="27" t="s">
        <v>9</v>
      </c>
      <c r="B169" s="27" t="s">
        <v>1428</v>
      </c>
      <c r="C169" s="27"/>
      <c r="D169" s="27"/>
      <c r="E169" s="27"/>
      <c r="F169" s="27"/>
      <c r="G169" s="27"/>
      <c r="H169" s="27"/>
      <c r="I169" s="27"/>
      <c r="J169" s="27"/>
      <c r="K169" s="27"/>
      <c r="L169" s="27"/>
      <c r="M169" s="27"/>
      <c r="N169" s="27"/>
    </row>
    <row r="170" spans="1:14" ht="39">
      <c r="A170" s="27" t="s">
        <v>11</v>
      </c>
      <c r="B170" s="196" t="s">
        <v>1429</v>
      </c>
      <c r="C170" s="27"/>
      <c r="D170" s="27"/>
      <c r="E170" s="27"/>
      <c r="F170" s="27"/>
      <c r="G170" s="27"/>
      <c r="H170" s="27"/>
      <c r="I170" s="27"/>
      <c r="J170" s="27"/>
      <c r="K170" s="27"/>
      <c r="L170" s="27"/>
      <c r="M170" s="27"/>
      <c r="N170" s="27"/>
    </row>
    <row r="171" spans="1:14">
      <c r="A171" s="27" t="s">
        <v>13</v>
      </c>
      <c r="B171" s="27" t="s">
        <v>14</v>
      </c>
      <c r="C171" s="27"/>
      <c r="D171" s="27"/>
      <c r="E171" s="27"/>
      <c r="F171" s="27"/>
      <c r="G171" s="27"/>
      <c r="H171" s="27"/>
      <c r="I171" s="27"/>
      <c r="J171" s="27"/>
      <c r="K171" s="27"/>
      <c r="L171" s="27"/>
      <c r="M171" s="27"/>
      <c r="N171" s="27"/>
    </row>
    <row r="172" spans="1:14">
      <c r="A172" s="27" t="s">
        <v>15</v>
      </c>
      <c r="B172" s="37">
        <v>1</v>
      </c>
      <c r="C172" s="27"/>
      <c r="D172" s="27"/>
      <c r="E172" s="27"/>
      <c r="F172" s="27"/>
      <c r="G172" s="27"/>
      <c r="H172" s="27"/>
      <c r="I172" s="27"/>
      <c r="J172" s="27"/>
      <c r="K172" s="27"/>
      <c r="L172" s="27"/>
      <c r="M172" s="27"/>
      <c r="N172" s="27"/>
    </row>
    <row r="173" spans="1:14">
      <c r="A173" s="27" t="s">
        <v>16</v>
      </c>
      <c r="B173" s="27" t="s">
        <v>17</v>
      </c>
      <c r="C173" s="27"/>
      <c r="D173" s="27"/>
      <c r="E173" s="27"/>
      <c r="F173" s="27"/>
      <c r="G173" s="27"/>
      <c r="H173" s="27"/>
      <c r="I173" s="27"/>
      <c r="J173" s="27"/>
      <c r="K173" s="27"/>
      <c r="L173" s="27"/>
      <c r="M173" s="27"/>
      <c r="N173" s="27"/>
    </row>
    <row r="174" spans="1:14">
      <c r="A174" s="27" t="s">
        <v>18</v>
      </c>
      <c r="B174" s="27" t="s">
        <v>18</v>
      </c>
      <c r="C174" s="27"/>
      <c r="D174" s="27"/>
      <c r="E174" s="27"/>
      <c r="F174" s="27"/>
      <c r="G174" s="27"/>
      <c r="H174" s="27"/>
      <c r="I174" s="27"/>
      <c r="J174" s="27"/>
      <c r="K174" s="27"/>
      <c r="L174" s="27"/>
      <c r="M174" s="27"/>
      <c r="N174" s="27"/>
    </row>
    <row r="175" spans="1:14" ht="15.6">
      <c r="A175" s="26" t="s">
        <v>19</v>
      </c>
    </row>
    <row r="176" spans="1:14" ht="15.6">
      <c r="A176" s="26" t="s">
        <v>20</v>
      </c>
      <c r="B176" s="26" t="s">
        <v>21</v>
      </c>
      <c r="C176" s="26" t="s">
        <v>18</v>
      </c>
      <c r="D176" s="26" t="s">
        <v>22</v>
      </c>
      <c r="E176" s="26" t="s">
        <v>7</v>
      </c>
      <c r="F176" s="26" t="s">
        <v>13</v>
      </c>
      <c r="G176" s="26" t="s">
        <v>16</v>
      </c>
      <c r="H176" s="26" t="s">
        <v>23</v>
      </c>
      <c r="I176" s="26" t="s">
        <v>24</v>
      </c>
      <c r="J176" s="26" t="s">
        <v>25</v>
      </c>
      <c r="K176" s="26" t="s">
        <v>26</v>
      </c>
      <c r="L176" s="26" t="s">
        <v>27</v>
      </c>
      <c r="M176" s="26" t="s">
        <v>28</v>
      </c>
      <c r="N176" s="26" t="s">
        <v>723</v>
      </c>
    </row>
    <row r="177" spans="1:14">
      <c r="A177" s="27" t="s">
        <v>1406</v>
      </c>
      <c r="B177" s="27">
        <f>B172</f>
        <v>1</v>
      </c>
      <c r="C177" s="27" t="str">
        <f>B174</f>
        <v>unit</v>
      </c>
      <c r="D177" s="27" t="s">
        <v>2</v>
      </c>
      <c r="E177" s="27" t="s">
        <v>29</v>
      </c>
      <c r="F177" s="27" t="str">
        <f>B171</f>
        <v>EUR</v>
      </c>
      <c r="G177" s="27" t="s">
        <v>30</v>
      </c>
      <c r="H177" s="27">
        <v>0</v>
      </c>
      <c r="I177" s="27">
        <f>B177</f>
        <v>1</v>
      </c>
      <c r="J177" s="27" t="s">
        <v>31</v>
      </c>
      <c r="K177" s="27" t="s">
        <v>31</v>
      </c>
      <c r="L177" s="27" t="s">
        <v>31</v>
      </c>
      <c r="M177" s="27" t="s">
        <v>31</v>
      </c>
      <c r="N177" s="27"/>
    </row>
    <row r="178" spans="1:14">
      <c r="A178" s="27" t="s">
        <v>1411</v>
      </c>
      <c r="B178" s="27">
        <v>1234.8000000000002</v>
      </c>
      <c r="C178" s="27" t="s">
        <v>37</v>
      </c>
      <c r="D178" s="27" t="s">
        <v>40</v>
      </c>
      <c r="E178" s="27" t="s">
        <v>29</v>
      </c>
      <c r="F178" s="27" t="s">
        <v>59</v>
      </c>
      <c r="G178" s="27" t="s">
        <v>33</v>
      </c>
      <c r="H178" s="27">
        <v>2</v>
      </c>
      <c r="I178" s="27">
        <f t="shared" ref="I178:I194" si="7">LN(B178)</f>
        <v>7.1186642926280044</v>
      </c>
      <c r="J178" s="27">
        <v>1</v>
      </c>
      <c r="K178" s="27" t="s">
        <v>31</v>
      </c>
      <c r="L178" s="27" t="s">
        <v>31</v>
      </c>
      <c r="M178" s="27" t="s">
        <v>31</v>
      </c>
      <c r="N178" s="27"/>
    </row>
    <row r="179" spans="1:14">
      <c r="A179" s="37" t="s">
        <v>567</v>
      </c>
      <c r="B179" s="27">
        <v>1234.8000000000002</v>
      </c>
      <c r="C179" s="27" t="s">
        <v>37</v>
      </c>
      <c r="D179" s="27" t="s">
        <v>40</v>
      </c>
      <c r="E179" s="27" t="s">
        <v>29</v>
      </c>
      <c r="F179" s="27" t="s">
        <v>59</v>
      </c>
      <c r="G179" s="27" t="s">
        <v>33</v>
      </c>
      <c r="H179" s="27">
        <v>2</v>
      </c>
      <c r="I179" s="27">
        <f t="shared" si="7"/>
        <v>7.1186642926280044</v>
      </c>
      <c r="J179" s="27">
        <v>1</v>
      </c>
      <c r="K179" s="27" t="s">
        <v>31</v>
      </c>
      <c r="L179" s="27" t="s">
        <v>31</v>
      </c>
      <c r="M179" s="27" t="s">
        <v>31</v>
      </c>
      <c r="N179" s="27"/>
    </row>
    <row r="180" spans="1:14">
      <c r="A180" s="37" t="s">
        <v>738</v>
      </c>
      <c r="B180" s="27">
        <v>388.80000000000007</v>
      </c>
      <c r="C180" s="27" t="s">
        <v>37</v>
      </c>
      <c r="D180" s="27" t="s">
        <v>40</v>
      </c>
      <c r="E180" s="27" t="s">
        <v>29</v>
      </c>
      <c r="F180" s="27" t="s">
        <v>59</v>
      </c>
      <c r="G180" s="27" t="s">
        <v>33</v>
      </c>
      <c r="H180" s="27">
        <v>2</v>
      </c>
      <c r="I180" s="27">
        <f t="shared" si="7"/>
        <v>5.9630650725862839</v>
      </c>
      <c r="J180" s="27">
        <v>1</v>
      </c>
      <c r="K180" s="27" t="s">
        <v>31</v>
      </c>
      <c r="L180" s="27" t="s">
        <v>31</v>
      </c>
      <c r="M180" s="27" t="s">
        <v>31</v>
      </c>
      <c r="N180" s="27"/>
    </row>
    <row r="181" spans="1:14">
      <c r="A181" s="37" t="s">
        <v>567</v>
      </c>
      <c r="B181" s="27">
        <v>388.80000000000007</v>
      </c>
      <c r="C181" s="27" t="s">
        <v>37</v>
      </c>
      <c r="D181" s="27" t="s">
        <v>40</v>
      </c>
      <c r="E181" s="27" t="s">
        <v>29</v>
      </c>
      <c r="F181" s="27" t="s">
        <v>59</v>
      </c>
      <c r="G181" s="27" t="s">
        <v>33</v>
      </c>
      <c r="H181" s="27">
        <v>2</v>
      </c>
      <c r="I181" s="27">
        <f t="shared" si="7"/>
        <v>5.9630650725862839</v>
      </c>
      <c r="J181" s="27">
        <v>1</v>
      </c>
      <c r="K181" s="27" t="s">
        <v>31</v>
      </c>
      <c r="L181" s="27" t="s">
        <v>31</v>
      </c>
      <c r="M181" s="27" t="s">
        <v>31</v>
      </c>
      <c r="N181" s="27"/>
    </row>
    <row r="182" spans="1:14">
      <c r="A182" s="37" t="s">
        <v>738</v>
      </c>
      <c r="B182" s="27">
        <v>78645.600000000006</v>
      </c>
      <c r="C182" s="27" t="s">
        <v>37</v>
      </c>
      <c r="D182" s="27" t="s">
        <v>40</v>
      </c>
      <c r="E182" s="27" t="s">
        <v>29</v>
      </c>
      <c r="F182" s="27" t="s">
        <v>59</v>
      </c>
      <c r="G182" s="27" t="s">
        <v>33</v>
      </c>
      <c r="H182" s="27">
        <v>2</v>
      </c>
      <c r="I182" s="27">
        <f t="shared" si="7"/>
        <v>11.272706962865552</v>
      </c>
      <c r="J182" s="27">
        <v>1</v>
      </c>
      <c r="K182" s="27" t="s">
        <v>31</v>
      </c>
      <c r="L182" s="27" t="s">
        <v>31</v>
      </c>
      <c r="M182" s="27" t="s">
        <v>31</v>
      </c>
      <c r="N182" s="27"/>
    </row>
    <row r="183" spans="1:14">
      <c r="A183" s="27" t="s">
        <v>85</v>
      </c>
      <c r="B183" s="27">
        <v>4770.0000000000009</v>
      </c>
      <c r="C183" s="27" t="s">
        <v>37</v>
      </c>
      <c r="D183" s="27" t="s">
        <v>40</v>
      </c>
      <c r="E183" s="27" t="s">
        <v>29</v>
      </c>
      <c r="F183" s="27" t="s">
        <v>59</v>
      </c>
      <c r="G183" s="27" t="s">
        <v>33</v>
      </c>
      <c r="H183" s="27">
        <v>2</v>
      </c>
      <c r="I183" s="27">
        <f t="shared" si="7"/>
        <v>8.4701015838823874</v>
      </c>
      <c r="J183" s="27">
        <v>1</v>
      </c>
      <c r="K183" s="27" t="s">
        <v>31</v>
      </c>
      <c r="L183" s="27" t="s">
        <v>31</v>
      </c>
      <c r="M183" s="27" t="s">
        <v>31</v>
      </c>
      <c r="N183" s="27"/>
    </row>
    <row r="184" spans="1:14">
      <c r="A184" s="27" t="s">
        <v>120</v>
      </c>
      <c r="B184" s="27">
        <v>248.40000000000003</v>
      </c>
      <c r="C184" s="27" t="s">
        <v>37</v>
      </c>
      <c r="D184" s="27" t="s">
        <v>40</v>
      </c>
      <c r="E184" s="27" t="s">
        <v>29</v>
      </c>
      <c r="F184" s="27" t="s">
        <v>59</v>
      </c>
      <c r="G184" s="27" t="s">
        <v>33</v>
      </c>
      <c r="H184" s="27">
        <v>2</v>
      </c>
      <c r="I184" s="27">
        <f t="shared" si="7"/>
        <v>5.5150403500593237</v>
      </c>
      <c r="J184" s="27">
        <v>1</v>
      </c>
      <c r="K184" s="27" t="s">
        <v>31</v>
      </c>
      <c r="L184" s="27" t="s">
        <v>31</v>
      </c>
      <c r="M184" s="27" t="s">
        <v>31</v>
      </c>
      <c r="N184" s="27"/>
    </row>
    <row r="185" spans="1:14">
      <c r="A185" s="37" t="s">
        <v>1412</v>
      </c>
      <c r="B185" s="27">
        <v>129.60000000000002</v>
      </c>
      <c r="C185" s="27" t="s">
        <v>37</v>
      </c>
      <c r="D185" s="27" t="s">
        <v>40</v>
      </c>
      <c r="E185" s="27" t="s">
        <v>29</v>
      </c>
      <c r="F185" s="27" t="s">
        <v>59</v>
      </c>
      <c r="G185" s="27" t="s">
        <v>33</v>
      </c>
      <c r="H185" s="27">
        <v>2</v>
      </c>
      <c r="I185" s="27">
        <f t="shared" si="7"/>
        <v>4.8644527839181748</v>
      </c>
      <c r="J185" s="27">
        <v>1</v>
      </c>
      <c r="K185" s="27" t="s">
        <v>31</v>
      </c>
      <c r="L185" s="27" t="s">
        <v>31</v>
      </c>
      <c r="M185" s="27" t="s">
        <v>31</v>
      </c>
      <c r="N185" s="27"/>
    </row>
    <row r="186" spans="1:14">
      <c r="A186" s="27" t="s">
        <v>1430</v>
      </c>
      <c r="B186" s="27">
        <v>7.2</v>
      </c>
      <c r="C186" s="27" t="s">
        <v>37</v>
      </c>
      <c r="D186" s="27" t="s">
        <v>40</v>
      </c>
      <c r="E186" s="27" t="s">
        <v>29</v>
      </c>
      <c r="F186" s="27" t="s">
        <v>1431</v>
      </c>
      <c r="G186" s="27" t="s">
        <v>33</v>
      </c>
      <c r="H186" s="27">
        <v>2</v>
      </c>
      <c r="I186" s="27">
        <f t="shared" si="7"/>
        <v>1.9740810260220096</v>
      </c>
      <c r="J186" s="27">
        <v>1</v>
      </c>
      <c r="K186" s="27" t="s">
        <v>31</v>
      </c>
      <c r="L186" s="27" t="s">
        <v>31</v>
      </c>
      <c r="M186" s="27" t="s">
        <v>31</v>
      </c>
      <c r="N186" s="27"/>
    </row>
    <row r="187" spans="1:14">
      <c r="A187" s="27" t="s">
        <v>1416</v>
      </c>
      <c r="B187" s="27">
        <v>144.00000000000003</v>
      </c>
      <c r="C187" s="27" t="s">
        <v>37</v>
      </c>
      <c r="D187" s="27" t="s">
        <v>40</v>
      </c>
      <c r="E187" s="27" t="s">
        <v>29</v>
      </c>
      <c r="F187" s="27" t="s">
        <v>59</v>
      </c>
      <c r="G187" s="27" t="s">
        <v>33</v>
      </c>
      <c r="H187" s="27">
        <v>2</v>
      </c>
      <c r="I187" s="27">
        <f t="shared" si="7"/>
        <v>4.9698132995760007</v>
      </c>
      <c r="J187" s="27">
        <v>1</v>
      </c>
      <c r="K187" s="27" t="s">
        <v>31</v>
      </c>
      <c r="L187" s="27" t="s">
        <v>31</v>
      </c>
      <c r="M187" s="27" t="s">
        <v>31</v>
      </c>
      <c r="N187" s="27"/>
    </row>
    <row r="188" spans="1:14">
      <c r="A188" s="37" t="s">
        <v>524</v>
      </c>
      <c r="B188" s="27">
        <v>36.000000000000007</v>
      </c>
      <c r="C188" s="27" t="s">
        <v>37</v>
      </c>
      <c r="D188" s="27" t="s">
        <v>40</v>
      </c>
      <c r="E188" s="27" t="s">
        <v>29</v>
      </c>
      <c r="F188" s="27" t="s">
        <v>59</v>
      </c>
      <c r="G188" s="27" t="s">
        <v>33</v>
      </c>
      <c r="H188" s="27">
        <v>2</v>
      </c>
      <c r="I188" s="27">
        <f t="shared" si="7"/>
        <v>3.5835189384561104</v>
      </c>
      <c r="J188" s="27">
        <v>1</v>
      </c>
      <c r="K188" s="27" t="s">
        <v>31</v>
      </c>
      <c r="L188" s="27" t="s">
        <v>31</v>
      </c>
      <c r="M188" s="27" t="s">
        <v>31</v>
      </c>
      <c r="N188" s="27"/>
    </row>
    <row r="189" spans="1:14">
      <c r="A189" s="27" t="s">
        <v>1397</v>
      </c>
      <c r="B189" s="27">
        <v>864.00000000000011</v>
      </c>
      <c r="C189" s="27" t="s">
        <v>37</v>
      </c>
      <c r="D189" s="27" t="s">
        <v>40</v>
      </c>
      <c r="E189" s="27" t="s">
        <v>29</v>
      </c>
      <c r="F189" s="27" t="s">
        <v>59</v>
      </c>
      <c r="G189" s="27" t="s">
        <v>33</v>
      </c>
      <c r="H189" s="27">
        <v>2</v>
      </c>
      <c r="I189" s="27">
        <f t="shared" si="7"/>
        <v>6.7615727688040561</v>
      </c>
      <c r="J189" s="27">
        <v>1</v>
      </c>
      <c r="K189" s="27" t="s">
        <v>31</v>
      </c>
      <c r="L189" s="27" t="s">
        <v>31</v>
      </c>
      <c r="M189" s="27" t="s">
        <v>31</v>
      </c>
      <c r="N189" s="27"/>
    </row>
    <row r="190" spans="1:14">
      <c r="A190" s="27" t="s">
        <v>966</v>
      </c>
      <c r="B190" s="27">
        <v>11286.000000000002</v>
      </c>
      <c r="C190" s="27" t="s">
        <v>37</v>
      </c>
      <c r="D190" s="27" t="s">
        <v>40</v>
      </c>
      <c r="E190" s="27" t="s">
        <v>29</v>
      </c>
      <c r="F190" s="27" t="s">
        <v>59</v>
      </c>
      <c r="G190" s="27" t="s">
        <v>33</v>
      </c>
      <c r="H190" s="27">
        <v>2</v>
      </c>
      <c r="I190" s="27">
        <f t="shared" si="7"/>
        <v>9.3313182985290855</v>
      </c>
      <c r="J190" s="27">
        <v>1</v>
      </c>
      <c r="K190" s="27" t="s">
        <v>31</v>
      </c>
      <c r="L190" s="27" t="s">
        <v>31</v>
      </c>
      <c r="M190" s="27" t="s">
        <v>31</v>
      </c>
      <c r="N190" s="27"/>
    </row>
    <row r="191" spans="1:14">
      <c r="A191" s="27" t="s">
        <v>1432</v>
      </c>
      <c r="B191" s="27">
        <v>11286.000000000002</v>
      </c>
      <c r="C191" s="27" t="s">
        <v>37</v>
      </c>
      <c r="D191" s="27" t="s">
        <v>40</v>
      </c>
      <c r="E191" s="27" t="s">
        <v>29</v>
      </c>
      <c r="F191" s="27" t="s">
        <v>59</v>
      </c>
      <c r="G191" s="27" t="s">
        <v>33</v>
      </c>
      <c r="H191" s="27">
        <v>2</v>
      </c>
      <c r="I191" s="27">
        <f t="shared" si="7"/>
        <v>9.3313182985290855</v>
      </c>
      <c r="J191" s="27">
        <v>1</v>
      </c>
      <c r="K191" s="27" t="s">
        <v>31</v>
      </c>
      <c r="L191" s="27" t="s">
        <v>31</v>
      </c>
      <c r="M191" s="27" t="s">
        <v>31</v>
      </c>
      <c r="N191" s="27" t="s">
        <v>1433</v>
      </c>
    </row>
    <row r="192" spans="1:14">
      <c r="A192" s="27" t="s">
        <v>1425</v>
      </c>
      <c r="B192" s="27">
        <v>11088.000000000002</v>
      </c>
      <c r="C192" s="27" t="s">
        <v>37</v>
      </c>
      <c r="D192" s="27" t="s">
        <v>40</v>
      </c>
      <c r="E192" s="27" t="s">
        <v>29</v>
      </c>
      <c r="F192" s="27" t="s">
        <v>59</v>
      </c>
      <c r="G192" s="27" t="s">
        <v>33</v>
      </c>
      <c r="H192" s="27">
        <v>2</v>
      </c>
      <c r="I192" s="27">
        <f t="shared" si="7"/>
        <v>9.3136187214296839</v>
      </c>
      <c r="J192" s="27">
        <v>1</v>
      </c>
      <c r="K192" s="27" t="s">
        <v>31</v>
      </c>
      <c r="L192" s="27" t="s">
        <v>31</v>
      </c>
      <c r="M192" s="27" t="s">
        <v>31</v>
      </c>
      <c r="N192" s="27"/>
    </row>
    <row r="193" spans="1:14">
      <c r="A193" s="37" t="s">
        <v>121</v>
      </c>
      <c r="B193" s="27">
        <v>410.4</v>
      </c>
      <c r="C193" s="27" t="s">
        <v>37</v>
      </c>
      <c r="D193" s="27" t="s">
        <v>40</v>
      </c>
      <c r="E193" s="27" t="s">
        <v>29</v>
      </c>
      <c r="F193" s="27" t="s">
        <v>59</v>
      </c>
      <c r="G193" s="27" t="s">
        <v>33</v>
      </c>
      <c r="H193" s="27">
        <v>2</v>
      </c>
      <c r="I193" s="27">
        <f t="shared" si="7"/>
        <v>6.0171322938565597</v>
      </c>
      <c r="J193" s="27">
        <v>1</v>
      </c>
      <c r="K193" s="27" t="s">
        <v>31</v>
      </c>
      <c r="L193" s="27" t="s">
        <v>31</v>
      </c>
      <c r="M193" s="27" t="s">
        <v>31</v>
      </c>
      <c r="N193" s="27"/>
    </row>
    <row r="194" spans="1:14">
      <c r="A194" s="37" t="s">
        <v>145</v>
      </c>
      <c r="B194" s="42">
        <v>7.2</v>
      </c>
      <c r="C194" s="27" t="s">
        <v>37</v>
      </c>
      <c r="D194" s="27" t="s">
        <v>40</v>
      </c>
      <c r="E194" s="27" t="s">
        <v>29</v>
      </c>
      <c r="F194" s="27" t="s">
        <v>59</v>
      </c>
      <c r="G194" s="27" t="s">
        <v>33</v>
      </c>
      <c r="H194" s="27">
        <v>2</v>
      </c>
      <c r="I194" s="27">
        <f t="shared" si="7"/>
        <v>1.9740810260220096</v>
      </c>
      <c r="J194" s="27">
        <v>1</v>
      </c>
      <c r="K194" s="27" t="s">
        <v>31</v>
      </c>
      <c r="L194" s="27" t="s">
        <v>31</v>
      </c>
      <c r="M194" s="27" t="s">
        <v>31</v>
      </c>
      <c r="N194" s="37" t="s">
        <v>1434</v>
      </c>
    </row>
    <row r="195" spans="1:14" ht="15.6">
      <c r="A195" s="28" t="s">
        <v>5</v>
      </c>
      <c r="B195" s="28" t="s">
        <v>1407</v>
      </c>
      <c r="C195" s="29"/>
      <c r="D195" s="30"/>
      <c r="E195" s="30"/>
      <c r="F195" s="30"/>
      <c r="G195" s="30"/>
      <c r="H195" s="30"/>
      <c r="I195" s="30"/>
      <c r="J195" s="30"/>
      <c r="K195" s="30"/>
      <c r="L195" s="30"/>
      <c r="M195" s="30"/>
      <c r="N195" s="30"/>
    </row>
    <row r="196" spans="1:14">
      <c r="A196" s="27" t="s">
        <v>7</v>
      </c>
      <c r="B196" s="27" t="s">
        <v>1353</v>
      </c>
      <c r="C196" s="27"/>
      <c r="D196" s="27"/>
      <c r="E196" s="27"/>
      <c r="F196" s="27"/>
      <c r="G196" s="27"/>
      <c r="H196" s="27"/>
      <c r="I196" s="27"/>
      <c r="J196" s="27"/>
      <c r="K196" s="27"/>
      <c r="L196" s="27"/>
      <c r="M196" s="27"/>
      <c r="N196" s="27"/>
    </row>
    <row r="197" spans="1:14">
      <c r="A197" s="27" t="s">
        <v>9</v>
      </c>
      <c r="B197" s="27" t="s">
        <v>1435</v>
      </c>
      <c r="C197" s="27"/>
      <c r="D197" s="27"/>
      <c r="E197" s="27"/>
      <c r="F197" s="27"/>
      <c r="G197" s="27"/>
      <c r="H197" s="27"/>
      <c r="I197" s="27"/>
      <c r="J197" s="27"/>
      <c r="K197" s="27"/>
      <c r="L197" s="27"/>
      <c r="M197" s="27"/>
      <c r="N197" s="27"/>
    </row>
    <row r="198" spans="1:14" ht="39">
      <c r="A198" s="27" t="s">
        <v>11</v>
      </c>
      <c r="B198" s="196" t="s">
        <v>1436</v>
      </c>
      <c r="C198" s="27"/>
      <c r="D198" s="27"/>
      <c r="E198" s="27"/>
      <c r="F198" s="27"/>
      <c r="G198" s="27"/>
      <c r="H198" s="27"/>
      <c r="I198" s="27"/>
      <c r="J198" s="27"/>
      <c r="K198" s="27"/>
      <c r="L198" s="27"/>
      <c r="M198" s="27"/>
      <c r="N198" s="27"/>
    </row>
    <row r="199" spans="1:14">
      <c r="A199" s="27" t="s">
        <v>13</v>
      </c>
      <c r="B199" s="27" t="s">
        <v>14</v>
      </c>
      <c r="C199" s="27"/>
      <c r="D199" s="27"/>
      <c r="E199" s="27"/>
      <c r="F199" s="27"/>
      <c r="G199" s="27"/>
      <c r="H199" s="27"/>
      <c r="I199" s="27"/>
      <c r="J199" s="27"/>
      <c r="K199" s="27"/>
      <c r="L199" s="27"/>
      <c r="M199" s="27"/>
      <c r="N199" s="27"/>
    </row>
    <row r="200" spans="1:14">
      <c r="A200" s="27" t="s">
        <v>15</v>
      </c>
      <c r="B200" s="37">
        <v>1</v>
      </c>
      <c r="C200" s="27"/>
      <c r="D200" s="27"/>
      <c r="E200" s="27"/>
      <c r="F200" s="27"/>
      <c r="G200" s="27"/>
      <c r="H200" s="27"/>
      <c r="I200" s="27"/>
      <c r="J200" s="27"/>
      <c r="K200" s="27"/>
      <c r="L200" s="27"/>
      <c r="M200" s="27"/>
      <c r="N200" s="27"/>
    </row>
    <row r="201" spans="1:14">
      <c r="A201" s="27" t="s">
        <v>16</v>
      </c>
      <c r="B201" s="27" t="s">
        <v>17</v>
      </c>
      <c r="C201" s="27"/>
      <c r="D201" s="27"/>
      <c r="E201" s="27"/>
      <c r="F201" s="27"/>
      <c r="G201" s="27"/>
      <c r="H201" s="27"/>
      <c r="I201" s="27"/>
      <c r="J201" s="27"/>
      <c r="K201" s="27"/>
      <c r="L201" s="27"/>
      <c r="M201" s="27"/>
      <c r="N201" s="27"/>
    </row>
    <row r="202" spans="1:14">
      <c r="A202" s="27" t="s">
        <v>18</v>
      </c>
      <c r="B202" s="27" t="s">
        <v>18</v>
      </c>
      <c r="C202" s="27"/>
      <c r="D202" s="27"/>
      <c r="E202" s="27"/>
      <c r="F202" s="27"/>
      <c r="G202" s="27"/>
      <c r="H202" s="27"/>
      <c r="I202" s="27"/>
      <c r="J202" s="27"/>
      <c r="K202" s="27"/>
      <c r="L202" s="27"/>
      <c r="M202" s="27"/>
      <c r="N202" s="27"/>
    </row>
    <row r="203" spans="1:14" ht="15.6">
      <c r="A203" s="26" t="s">
        <v>19</v>
      </c>
    </row>
    <row r="204" spans="1:14" ht="15.6">
      <c r="A204" s="26" t="s">
        <v>20</v>
      </c>
      <c r="B204" s="26" t="s">
        <v>21</v>
      </c>
      <c r="C204" s="26" t="s">
        <v>18</v>
      </c>
      <c r="D204" s="26" t="s">
        <v>22</v>
      </c>
      <c r="E204" s="26" t="s">
        <v>7</v>
      </c>
      <c r="F204" s="26" t="s">
        <v>13</v>
      </c>
      <c r="G204" s="26" t="s">
        <v>16</v>
      </c>
      <c r="H204" s="26" t="s">
        <v>23</v>
      </c>
      <c r="I204" s="26" t="s">
        <v>24</v>
      </c>
      <c r="J204" s="26" t="s">
        <v>25</v>
      </c>
      <c r="K204" s="26" t="s">
        <v>26</v>
      </c>
      <c r="L204" s="26" t="s">
        <v>27</v>
      </c>
      <c r="M204" s="26" t="s">
        <v>28</v>
      </c>
      <c r="N204" s="26" t="s">
        <v>723</v>
      </c>
    </row>
    <row r="205" spans="1:14">
      <c r="A205" s="27" t="s">
        <v>1407</v>
      </c>
      <c r="B205" s="27">
        <f>B200</f>
        <v>1</v>
      </c>
      <c r="C205" s="27" t="str">
        <f>B202</f>
        <v>unit</v>
      </c>
      <c r="D205" s="27" t="s">
        <v>2</v>
      </c>
      <c r="E205" s="27" t="s">
        <v>29</v>
      </c>
      <c r="F205" s="27" t="str">
        <f>B199</f>
        <v>EUR</v>
      </c>
      <c r="G205" s="27" t="s">
        <v>30</v>
      </c>
      <c r="H205" s="27">
        <v>0</v>
      </c>
      <c r="I205" s="27">
        <f>B205</f>
        <v>1</v>
      </c>
      <c r="J205" s="27" t="s">
        <v>31</v>
      </c>
      <c r="K205" s="27" t="s">
        <v>31</v>
      </c>
      <c r="L205" s="27" t="s">
        <v>31</v>
      </c>
      <c r="M205" s="27" t="s">
        <v>31</v>
      </c>
      <c r="N205" s="27"/>
    </row>
    <row r="206" spans="1:14" s="27" customFormat="1" ht="12.95">
      <c r="A206" s="37" t="s">
        <v>1411</v>
      </c>
      <c r="B206" s="27">
        <v>24480</v>
      </c>
      <c r="C206" s="27" t="s">
        <v>37</v>
      </c>
      <c r="D206" s="27" t="s">
        <v>40</v>
      </c>
      <c r="E206" s="27" t="s">
        <v>29</v>
      </c>
      <c r="F206" s="27" t="s">
        <v>59</v>
      </c>
      <c r="G206" s="27" t="s">
        <v>33</v>
      </c>
      <c r="H206" s="27">
        <v>2</v>
      </c>
      <c r="I206" s="27">
        <f t="shared" ref="I206:I217" si="8">LN(B206)</f>
        <v>10.105611736626262</v>
      </c>
      <c r="J206" s="27">
        <v>1</v>
      </c>
      <c r="K206" s="27" t="s">
        <v>31</v>
      </c>
      <c r="L206" s="27" t="s">
        <v>31</v>
      </c>
      <c r="M206" s="27" t="s">
        <v>31</v>
      </c>
    </row>
    <row r="207" spans="1:14" s="27" customFormat="1" ht="12.95">
      <c r="A207" s="27" t="s">
        <v>738</v>
      </c>
      <c r="B207" s="27">
        <v>543.6</v>
      </c>
      <c r="C207" s="27" t="s">
        <v>37</v>
      </c>
      <c r="D207" s="27" t="s">
        <v>40</v>
      </c>
      <c r="E207" s="27" t="s">
        <v>29</v>
      </c>
      <c r="F207" s="27" t="s">
        <v>59</v>
      </c>
      <c r="G207" s="27" t="s">
        <v>33</v>
      </c>
      <c r="H207" s="27">
        <v>2</v>
      </c>
      <c r="I207" s="27">
        <f t="shared" si="8"/>
        <v>6.2982136822769883</v>
      </c>
      <c r="J207" s="27">
        <v>1</v>
      </c>
      <c r="K207" s="27" t="s">
        <v>31</v>
      </c>
      <c r="L207" s="27" t="s">
        <v>31</v>
      </c>
      <c r="M207" s="27" t="s">
        <v>31</v>
      </c>
    </row>
    <row r="208" spans="1:14" s="27" customFormat="1" ht="12.95">
      <c r="A208" s="37" t="s">
        <v>567</v>
      </c>
      <c r="B208" s="42">
        <v>543.6</v>
      </c>
      <c r="C208" s="27" t="s">
        <v>37</v>
      </c>
      <c r="D208" s="27" t="s">
        <v>40</v>
      </c>
      <c r="E208" s="27" t="s">
        <v>29</v>
      </c>
      <c r="F208" s="27" t="s">
        <v>59</v>
      </c>
      <c r="G208" s="27" t="s">
        <v>33</v>
      </c>
      <c r="H208" s="27">
        <v>2</v>
      </c>
      <c r="I208" s="27">
        <f t="shared" si="8"/>
        <v>6.2982136822769883</v>
      </c>
      <c r="J208" s="27">
        <v>1</v>
      </c>
      <c r="K208" s="27" t="s">
        <v>31</v>
      </c>
      <c r="L208" s="27" t="s">
        <v>31</v>
      </c>
      <c r="M208" s="27" t="s">
        <v>31</v>
      </c>
    </row>
    <row r="209" spans="1:14" s="27" customFormat="1" ht="12.95">
      <c r="A209" s="37" t="s">
        <v>738</v>
      </c>
      <c r="B209" s="42">
        <v>8085.6000000000013</v>
      </c>
      <c r="C209" s="27" t="s">
        <v>37</v>
      </c>
      <c r="D209" s="27" t="s">
        <v>40</v>
      </c>
      <c r="E209" s="27" t="s">
        <v>29</v>
      </c>
      <c r="F209" s="27" t="s">
        <v>59</v>
      </c>
      <c r="G209" s="27" t="s">
        <v>33</v>
      </c>
      <c r="H209" s="27">
        <v>2</v>
      </c>
      <c r="I209" s="27">
        <f t="shared" si="8"/>
        <v>8.9978399807604532</v>
      </c>
      <c r="J209" s="27">
        <v>1</v>
      </c>
      <c r="K209" s="27" t="s">
        <v>31</v>
      </c>
      <c r="L209" s="27" t="s">
        <v>31</v>
      </c>
      <c r="M209" s="27" t="s">
        <v>31</v>
      </c>
    </row>
    <row r="210" spans="1:14" s="27" customFormat="1" ht="12.95">
      <c r="A210" s="27" t="s">
        <v>85</v>
      </c>
      <c r="B210" s="42">
        <v>21.599999999999998</v>
      </c>
      <c r="C210" s="27" t="s">
        <v>37</v>
      </c>
      <c r="D210" s="27" t="s">
        <v>40</v>
      </c>
      <c r="E210" s="27" t="s">
        <v>29</v>
      </c>
      <c r="F210" s="27" t="s">
        <v>59</v>
      </c>
      <c r="G210" s="27" t="s">
        <v>33</v>
      </c>
      <c r="H210" s="27">
        <v>2</v>
      </c>
      <c r="I210" s="27">
        <f t="shared" si="8"/>
        <v>3.0726933146901194</v>
      </c>
      <c r="J210" s="27">
        <v>1</v>
      </c>
      <c r="K210" s="27" t="s">
        <v>31</v>
      </c>
      <c r="L210" s="27" t="s">
        <v>31</v>
      </c>
      <c r="M210" s="27" t="s">
        <v>31</v>
      </c>
    </row>
    <row r="211" spans="1:14" s="27" customFormat="1" ht="12.95">
      <c r="A211" s="27" t="s">
        <v>120</v>
      </c>
      <c r="B211" s="42">
        <v>3.6</v>
      </c>
      <c r="C211" s="27" t="s">
        <v>37</v>
      </c>
      <c r="D211" s="27" t="s">
        <v>40</v>
      </c>
      <c r="E211" s="27" t="s">
        <v>29</v>
      </c>
      <c r="F211" s="27" t="s">
        <v>59</v>
      </c>
      <c r="G211" s="27" t="s">
        <v>33</v>
      </c>
      <c r="H211" s="27">
        <v>2</v>
      </c>
      <c r="I211" s="27">
        <f t="shared" si="8"/>
        <v>1.2809338454620642</v>
      </c>
      <c r="J211" s="27">
        <v>1</v>
      </c>
      <c r="K211" s="27" t="s">
        <v>31</v>
      </c>
      <c r="L211" s="27" t="s">
        <v>31</v>
      </c>
      <c r="M211" s="27" t="s">
        <v>31</v>
      </c>
    </row>
    <row r="212" spans="1:14" s="27" customFormat="1" ht="12.95">
      <c r="A212" s="37" t="s">
        <v>1412</v>
      </c>
      <c r="B212" s="42">
        <v>36.000000000000007</v>
      </c>
      <c r="C212" s="27" t="s">
        <v>37</v>
      </c>
      <c r="D212" s="27" t="s">
        <v>40</v>
      </c>
      <c r="E212" s="27" t="s">
        <v>29</v>
      </c>
      <c r="F212" s="27" t="s">
        <v>59</v>
      </c>
      <c r="G212" s="27" t="s">
        <v>33</v>
      </c>
      <c r="H212" s="27">
        <v>2</v>
      </c>
      <c r="I212" s="27">
        <f t="shared" si="8"/>
        <v>3.5835189384561104</v>
      </c>
      <c r="J212" s="27">
        <v>1</v>
      </c>
      <c r="K212" s="27" t="s">
        <v>31</v>
      </c>
      <c r="L212" s="27" t="s">
        <v>31</v>
      </c>
      <c r="M212" s="27" t="s">
        <v>31</v>
      </c>
    </row>
    <row r="213" spans="1:14" s="27" customFormat="1" ht="12.95">
      <c r="A213" s="27" t="s">
        <v>1416</v>
      </c>
      <c r="B213" s="42">
        <v>3.6</v>
      </c>
      <c r="C213" s="27" t="s">
        <v>37</v>
      </c>
      <c r="D213" s="27" t="s">
        <v>40</v>
      </c>
      <c r="E213" s="27" t="s">
        <v>29</v>
      </c>
      <c r="F213" s="27" t="s">
        <v>59</v>
      </c>
      <c r="G213" s="27" t="s">
        <v>33</v>
      </c>
      <c r="H213" s="27">
        <v>2</v>
      </c>
      <c r="I213" s="27">
        <f t="shared" si="8"/>
        <v>1.2809338454620642</v>
      </c>
      <c r="J213" s="27">
        <v>1</v>
      </c>
      <c r="K213" s="27" t="s">
        <v>31</v>
      </c>
      <c r="L213" s="27" t="s">
        <v>31</v>
      </c>
      <c r="M213" s="27" t="s">
        <v>31</v>
      </c>
    </row>
    <row r="214" spans="1:14" s="27" customFormat="1" ht="12.95">
      <c r="A214" s="27" t="s">
        <v>1397</v>
      </c>
      <c r="B214" s="42">
        <v>784.80000000000018</v>
      </c>
      <c r="C214" s="27" t="s">
        <v>37</v>
      </c>
      <c r="D214" s="27" t="s">
        <v>40</v>
      </c>
      <c r="E214" s="27" t="s">
        <v>29</v>
      </c>
      <c r="F214" s="27" t="s">
        <v>59</v>
      </c>
      <c r="G214" s="27" t="s">
        <v>33</v>
      </c>
      <c r="H214" s="27">
        <v>2</v>
      </c>
      <c r="I214" s="27">
        <f t="shared" si="8"/>
        <v>6.6654289082511538</v>
      </c>
      <c r="J214" s="27">
        <v>1</v>
      </c>
      <c r="K214" s="27" t="s">
        <v>31</v>
      </c>
      <c r="L214" s="27" t="s">
        <v>31</v>
      </c>
      <c r="M214" s="27" t="s">
        <v>31</v>
      </c>
    </row>
    <row r="215" spans="1:14" s="27" customFormat="1" ht="12.95">
      <c r="A215" s="27" t="s">
        <v>966</v>
      </c>
      <c r="B215" s="42">
        <v>784.80000000000018</v>
      </c>
      <c r="C215" s="27" t="s">
        <v>37</v>
      </c>
      <c r="D215" s="27" t="s">
        <v>40</v>
      </c>
      <c r="E215" s="27" t="s">
        <v>29</v>
      </c>
      <c r="F215" s="27" t="s">
        <v>59</v>
      </c>
      <c r="G215" s="27" t="s">
        <v>33</v>
      </c>
      <c r="H215" s="27">
        <v>2</v>
      </c>
      <c r="I215" s="27">
        <f t="shared" si="8"/>
        <v>6.6654289082511538</v>
      </c>
      <c r="J215" s="27">
        <v>1</v>
      </c>
      <c r="K215" s="27" t="s">
        <v>31</v>
      </c>
      <c r="L215" s="27" t="s">
        <v>31</v>
      </c>
      <c r="M215" s="27" t="s">
        <v>31</v>
      </c>
    </row>
    <row r="216" spans="1:14" s="27" customFormat="1" ht="12.95">
      <c r="A216" s="27" t="s">
        <v>1437</v>
      </c>
      <c r="B216" s="27">
        <v>18.000000000000004</v>
      </c>
      <c r="C216" s="27" t="s">
        <v>37</v>
      </c>
      <c r="D216" s="27" t="s">
        <v>40</v>
      </c>
      <c r="E216" s="27" t="s">
        <v>29</v>
      </c>
      <c r="F216" s="27" t="s">
        <v>59</v>
      </c>
      <c r="G216" s="27" t="s">
        <v>33</v>
      </c>
      <c r="H216" s="27">
        <v>2</v>
      </c>
      <c r="I216" s="27">
        <f t="shared" si="8"/>
        <v>2.890371757896165</v>
      </c>
      <c r="J216" s="27">
        <v>1</v>
      </c>
      <c r="K216" s="27" t="s">
        <v>31</v>
      </c>
      <c r="L216" s="27" t="s">
        <v>31</v>
      </c>
      <c r="M216" s="27" t="s">
        <v>31</v>
      </c>
    </row>
    <row r="217" spans="1:14" s="27" customFormat="1" ht="12.95">
      <c r="A217" s="27" t="s">
        <v>1396</v>
      </c>
      <c r="B217" s="27">
        <v>403.20000000000005</v>
      </c>
      <c r="C217" s="27" t="s">
        <v>37</v>
      </c>
      <c r="D217" s="27" t="s">
        <v>40</v>
      </c>
      <c r="E217" s="27" t="s">
        <v>29</v>
      </c>
      <c r="F217" s="27" t="s">
        <v>35</v>
      </c>
      <c r="G217" s="27" t="s">
        <v>33</v>
      </c>
      <c r="H217" s="27">
        <v>2</v>
      </c>
      <c r="I217" s="27">
        <f t="shared" si="8"/>
        <v>5.9994327167571591</v>
      </c>
      <c r="J217" s="27">
        <v>1</v>
      </c>
      <c r="K217" s="27" t="s">
        <v>31</v>
      </c>
      <c r="L217" s="27" t="s">
        <v>31</v>
      </c>
      <c r="M217" s="27" t="s">
        <v>31</v>
      </c>
    </row>
    <row r="218" spans="1:14" s="27" customFormat="1" ht="15.6">
      <c r="A218" s="28" t="s">
        <v>5</v>
      </c>
      <c r="B218" s="28" t="s">
        <v>1408</v>
      </c>
      <c r="C218" s="29"/>
      <c r="D218" s="30"/>
      <c r="E218" s="30"/>
      <c r="F218" s="30"/>
      <c r="G218" s="30"/>
      <c r="H218" s="30"/>
      <c r="I218" s="30"/>
      <c r="J218" s="30"/>
      <c r="K218" s="30"/>
      <c r="L218" s="30"/>
      <c r="M218" s="30"/>
      <c r="N218" s="30"/>
    </row>
    <row r="219" spans="1:14" s="27" customFormat="1" ht="12.95">
      <c r="A219" s="27" t="s">
        <v>7</v>
      </c>
      <c r="B219" s="27" t="s">
        <v>1353</v>
      </c>
    </row>
    <row r="220" spans="1:14" s="27" customFormat="1" ht="12.95">
      <c r="A220" s="27" t="s">
        <v>9</v>
      </c>
      <c r="B220" s="27" t="s">
        <v>1438</v>
      </c>
    </row>
    <row r="221" spans="1:14" s="27" customFormat="1" ht="39">
      <c r="A221" s="27" t="s">
        <v>11</v>
      </c>
      <c r="B221" s="196" t="s">
        <v>1439</v>
      </c>
    </row>
    <row r="222" spans="1:14" s="27" customFormat="1" ht="12.95">
      <c r="A222" s="27" t="s">
        <v>13</v>
      </c>
      <c r="B222" s="27" t="s">
        <v>14</v>
      </c>
    </row>
    <row r="223" spans="1:14" s="27" customFormat="1" ht="12.95">
      <c r="A223" s="27" t="s">
        <v>15</v>
      </c>
      <c r="B223" s="37">
        <v>1</v>
      </c>
    </row>
    <row r="224" spans="1:14" s="27" customFormat="1" ht="12.95">
      <c r="A224" s="27" t="s">
        <v>16</v>
      </c>
      <c r="B224" s="27" t="s">
        <v>17</v>
      </c>
    </row>
    <row r="225" spans="1:14" s="27" customFormat="1" ht="12.95">
      <c r="A225" s="27" t="s">
        <v>18</v>
      </c>
      <c r="B225" s="27" t="s">
        <v>18</v>
      </c>
    </row>
    <row r="226" spans="1:14" ht="15.6">
      <c r="A226" s="26" t="s">
        <v>19</v>
      </c>
    </row>
    <row r="227" spans="1:14" ht="15.6">
      <c r="A227" s="26" t="s">
        <v>20</v>
      </c>
      <c r="B227" s="26" t="s">
        <v>21</v>
      </c>
      <c r="C227" s="26" t="s">
        <v>18</v>
      </c>
      <c r="D227" s="26" t="s">
        <v>22</v>
      </c>
      <c r="E227" s="26" t="s">
        <v>7</v>
      </c>
      <c r="F227" s="26" t="s">
        <v>13</v>
      </c>
      <c r="G227" s="26" t="s">
        <v>16</v>
      </c>
      <c r="H227" s="26" t="s">
        <v>23</v>
      </c>
      <c r="I227" s="26" t="s">
        <v>24</v>
      </c>
      <c r="J227" s="26" t="s">
        <v>25</v>
      </c>
      <c r="K227" s="26" t="s">
        <v>26</v>
      </c>
      <c r="L227" s="26" t="s">
        <v>27</v>
      </c>
      <c r="M227" s="26" t="s">
        <v>28</v>
      </c>
      <c r="N227" s="26" t="s">
        <v>723</v>
      </c>
    </row>
    <row r="228" spans="1:14">
      <c r="A228" s="27" t="s">
        <v>1408</v>
      </c>
      <c r="B228" s="27">
        <f>B223</f>
        <v>1</v>
      </c>
      <c r="C228" s="27" t="str">
        <f>B225</f>
        <v>unit</v>
      </c>
      <c r="D228" s="27" t="s">
        <v>2</v>
      </c>
      <c r="E228" s="27" t="s">
        <v>29</v>
      </c>
      <c r="F228" s="27" t="str">
        <f>B222</f>
        <v>EUR</v>
      </c>
      <c r="G228" s="27" t="s">
        <v>30</v>
      </c>
      <c r="H228" s="27">
        <v>0</v>
      </c>
      <c r="I228" s="27">
        <f>B228</f>
        <v>1</v>
      </c>
      <c r="J228" s="27" t="s">
        <v>31</v>
      </c>
      <c r="K228" s="27" t="s">
        <v>31</v>
      </c>
      <c r="L228" s="27" t="s">
        <v>31</v>
      </c>
      <c r="M228" s="27" t="s">
        <v>31</v>
      </c>
      <c r="N228" s="27"/>
    </row>
    <row r="229" spans="1:14">
      <c r="A229" s="27" t="s">
        <v>738</v>
      </c>
      <c r="B229" s="27">
        <v>21.599999999999998</v>
      </c>
      <c r="C229" s="27" t="s">
        <v>37</v>
      </c>
      <c r="D229" s="27" t="s">
        <v>40</v>
      </c>
      <c r="E229" s="27" t="s">
        <v>29</v>
      </c>
      <c r="F229" s="27" t="s">
        <v>59</v>
      </c>
      <c r="G229" s="27" t="s">
        <v>33</v>
      </c>
      <c r="H229" s="27">
        <v>2</v>
      </c>
      <c r="I229" s="27">
        <f t="shared" ref="I229:I238" si="9">LN(B229)</f>
        <v>3.0726933146901194</v>
      </c>
      <c r="J229" s="27">
        <v>1</v>
      </c>
      <c r="K229" s="27" t="s">
        <v>31</v>
      </c>
      <c r="L229" s="27" t="s">
        <v>31</v>
      </c>
      <c r="M229" s="27" t="s">
        <v>31</v>
      </c>
      <c r="N229" s="27"/>
    </row>
    <row r="230" spans="1:14">
      <c r="A230" s="37" t="s">
        <v>567</v>
      </c>
      <c r="B230" s="27">
        <v>21.599999999999998</v>
      </c>
      <c r="C230" s="27" t="s">
        <v>37</v>
      </c>
      <c r="D230" s="27" t="s">
        <v>40</v>
      </c>
      <c r="E230" s="27" t="s">
        <v>29</v>
      </c>
      <c r="F230" s="27" t="s">
        <v>59</v>
      </c>
      <c r="G230" s="27" t="s">
        <v>33</v>
      </c>
      <c r="H230" s="27">
        <v>2</v>
      </c>
      <c r="I230" s="27">
        <f t="shared" si="9"/>
        <v>3.0726933146901194</v>
      </c>
      <c r="J230" s="27">
        <v>1</v>
      </c>
      <c r="K230" s="27" t="s">
        <v>31</v>
      </c>
      <c r="L230" s="27" t="s">
        <v>31</v>
      </c>
      <c r="M230" s="27" t="s">
        <v>31</v>
      </c>
      <c r="N230" s="27"/>
    </row>
    <row r="231" spans="1:14">
      <c r="A231" s="27" t="s">
        <v>738</v>
      </c>
      <c r="B231" s="42">
        <v>3301.2</v>
      </c>
      <c r="C231" s="27" t="s">
        <v>37</v>
      </c>
      <c r="D231" s="27" t="s">
        <v>40</v>
      </c>
      <c r="E231" s="27" t="s">
        <v>29</v>
      </c>
      <c r="F231" s="27" t="s">
        <v>59</v>
      </c>
      <c r="G231" s="27" t="s">
        <v>33</v>
      </c>
      <c r="H231" s="27">
        <v>2</v>
      </c>
      <c r="I231" s="27">
        <f t="shared" si="9"/>
        <v>8.1020413177185286</v>
      </c>
      <c r="J231" s="27">
        <v>1</v>
      </c>
      <c r="K231" s="27" t="s">
        <v>31</v>
      </c>
      <c r="L231" s="27" t="s">
        <v>31</v>
      </c>
      <c r="M231" s="27" t="s">
        <v>31</v>
      </c>
      <c r="N231" s="27"/>
    </row>
    <row r="232" spans="1:14">
      <c r="A232" s="27" t="s">
        <v>85</v>
      </c>
      <c r="B232" s="42">
        <v>259.2</v>
      </c>
      <c r="C232" s="27" t="s">
        <v>37</v>
      </c>
      <c r="D232" s="27" t="s">
        <v>40</v>
      </c>
      <c r="E232" s="27" t="s">
        <v>29</v>
      </c>
      <c r="F232" s="27" t="s">
        <v>59</v>
      </c>
      <c r="G232" s="27" t="s">
        <v>33</v>
      </c>
      <c r="H232" s="27">
        <v>2</v>
      </c>
      <c r="I232" s="27">
        <f t="shared" si="9"/>
        <v>5.5575999644781193</v>
      </c>
      <c r="J232" s="27">
        <v>1</v>
      </c>
      <c r="K232" s="27" t="s">
        <v>31</v>
      </c>
      <c r="L232" s="27" t="s">
        <v>31</v>
      </c>
      <c r="M232" s="27" t="s">
        <v>31</v>
      </c>
      <c r="N232" s="27"/>
    </row>
    <row r="233" spans="1:14">
      <c r="A233" s="27" t="s">
        <v>120</v>
      </c>
      <c r="B233" s="42">
        <v>21.599999999999998</v>
      </c>
      <c r="C233" s="27" t="s">
        <v>37</v>
      </c>
      <c r="D233" s="27" t="s">
        <v>40</v>
      </c>
      <c r="E233" s="27" t="s">
        <v>29</v>
      </c>
      <c r="F233" s="27" t="s">
        <v>59</v>
      </c>
      <c r="G233" s="27" t="s">
        <v>33</v>
      </c>
      <c r="H233" s="27">
        <v>2</v>
      </c>
      <c r="I233" s="27">
        <f t="shared" si="9"/>
        <v>3.0726933146901194</v>
      </c>
      <c r="J233" s="27">
        <v>1</v>
      </c>
      <c r="K233" s="27" t="s">
        <v>31</v>
      </c>
      <c r="L233" s="27" t="s">
        <v>31</v>
      </c>
      <c r="M233" s="27" t="s">
        <v>31</v>
      </c>
      <c r="N233" s="27"/>
    </row>
    <row r="234" spans="1:14">
      <c r="A234" s="37" t="s">
        <v>1412</v>
      </c>
      <c r="B234" s="42">
        <v>7.1999999999999993</v>
      </c>
      <c r="C234" s="27" t="s">
        <v>37</v>
      </c>
      <c r="D234" s="27" t="s">
        <v>40</v>
      </c>
      <c r="E234" s="27" t="s">
        <v>29</v>
      </c>
      <c r="F234" s="27" t="s">
        <v>59</v>
      </c>
      <c r="G234" s="27" t="s">
        <v>33</v>
      </c>
      <c r="H234" s="27">
        <v>2</v>
      </c>
      <c r="I234" s="27">
        <f t="shared" si="9"/>
        <v>1.9740810260220096</v>
      </c>
      <c r="J234" s="27">
        <v>1</v>
      </c>
      <c r="K234" s="27" t="s">
        <v>31</v>
      </c>
      <c r="L234" s="27" t="s">
        <v>31</v>
      </c>
      <c r="M234" s="27" t="s">
        <v>31</v>
      </c>
      <c r="N234" s="27"/>
    </row>
    <row r="235" spans="1:14">
      <c r="A235" s="27" t="s">
        <v>1416</v>
      </c>
      <c r="B235" s="42">
        <v>21.599999999999998</v>
      </c>
      <c r="C235" s="27" t="s">
        <v>37</v>
      </c>
      <c r="D235" s="27" t="s">
        <v>40</v>
      </c>
      <c r="E235" s="27" t="s">
        <v>29</v>
      </c>
      <c r="F235" s="27" t="s">
        <v>59</v>
      </c>
      <c r="G235" s="27" t="s">
        <v>33</v>
      </c>
      <c r="H235" s="27">
        <v>2</v>
      </c>
      <c r="I235" s="27">
        <f t="shared" si="9"/>
        <v>3.0726933146901194</v>
      </c>
      <c r="J235" s="27">
        <v>1</v>
      </c>
      <c r="K235" s="27" t="s">
        <v>31</v>
      </c>
      <c r="L235" s="27" t="s">
        <v>31</v>
      </c>
      <c r="M235" s="27" t="s">
        <v>31</v>
      </c>
      <c r="N235" s="27"/>
    </row>
    <row r="236" spans="1:14">
      <c r="A236" s="27" t="s">
        <v>1397</v>
      </c>
      <c r="B236" s="42">
        <v>432</v>
      </c>
      <c r="C236" s="27" t="s">
        <v>37</v>
      </c>
      <c r="D236" s="27" t="s">
        <v>40</v>
      </c>
      <c r="E236" s="27" t="s">
        <v>29</v>
      </c>
      <c r="F236" s="27" t="s">
        <v>59</v>
      </c>
      <c r="G236" s="27" t="s">
        <v>33</v>
      </c>
      <c r="H236" s="27">
        <v>2</v>
      </c>
      <c r="I236" s="27">
        <f t="shared" si="9"/>
        <v>6.0684255882441107</v>
      </c>
      <c r="J236" s="27">
        <v>1</v>
      </c>
      <c r="K236" s="27" t="s">
        <v>31</v>
      </c>
      <c r="L236" s="27" t="s">
        <v>31</v>
      </c>
      <c r="M236" s="27" t="s">
        <v>31</v>
      </c>
      <c r="N236" s="27"/>
    </row>
    <row r="237" spans="1:14">
      <c r="A237" s="27" t="s">
        <v>966</v>
      </c>
      <c r="B237" s="27">
        <v>432</v>
      </c>
      <c r="C237" s="27" t="s">
        <v>37</v>
      </c>
      <c r="D237" s="27" t="s">
        <v>40</v>
      </c>
      <c r="E237" s="27" t="s">
        <v>29</v>
      </c>
      <c r="F237" s="27" t="s">
        <v>59</v>
      </c>
      <c r="G237" s="27" t="s">
        <v>33</v>
      </c>
      <c r="H237" s="27">
        <v>2</v>
      </c>
      <c r="I237" s="27">
        <f t="shared" si="9"/>
        <v>6.0684255882441107</v>
      </c>
      <c r="J237" s="27">
        <v>1</v>
      </c>
      <c r="K237" s="27" t="s">
        <v>31</v>
      </c>
      <c r="L237" s="27" t="s">
        <v>31</v>
      </c>
      <c r="M237" s="27" t="s">
        <v>31</v>
      </c>
      <c r="N237" s="27"/>
    </row>
    <row r="238" spans="1:14">
      <c r="A238" s="37" t="s">
        <v>121</v>
      </c>
      <c r="B238" s="27">
        <v>122.4</v>
      </c>
      <c r="C238" s="27" t="s">
        <v>37</v>
      </c>
      <c r="D238" s="27" t="s">
        <v>40</v>
      </c>
      <c r="E238" s="27" t="s">
        <v>29</v>
      </c>
      <c r="F238" s="27" t="s">
        <v>59</v>
      </c>
      <c r="G238" s="27" t="s">
        <v>33</v>
      </c>
      <c r="H238" s="27">
        <v>2</v>
      </c>
      <c r="I238" s="27">
        <f t="shared" si="9"/>
        <v>4.8072943700782256</v>
      </c>
      <c r="J238" s="27">
        <v>1</v>
      </c>
      <c r="K238" s="27" t="s">
        <v>31</v>
      </c>
      <c r="L238" s="27" t="s">
        <v>31</v>
      </c>
      <c r="M238" s="27" t="s">
        <v>31</v>
      </c>
      <c r="N238" s="27"/>
    </row>
    <row r="239" spans="1:14" s="27" customFormat="1" ht="15.6">
      <c r="A239" s="28" t="s">
        <v>5</v>
      </c>
      <c r="B239" s="28" t="s">
        <v>1385</v>
      </c>
      <c r="C239" s="29"/>
      <c r="D239" s="30"/>
      <c r="E239" s="30"/>
      <c r="F239" s="30"/>
      <c r="G239" s="30"/>
      <c r="H239" s="30"/>
      <c r="I239" s="30"/>
      <c r="J239" s="30"/>
      <c r="K239" s="30"/>
      <c r="L239" s="30"/>
      <c r="M239" s="30"/>
      <c r="N239" s="30"/>
    </row>
    <row r="240" spans="1:14" s="27" customFormat="1" ht="12.95">
      <c r="A240" s="27" t="s">
        <v>7</v>
      </c>
      <c r="B240" s="27" t="s">
        <v>1353</v>
      </c>
    </row>
    <row r="241" spans="1:14" s="27" customFormat="1" ht="12.95">
      <c r="A241" s="27" t="s">
        <v>9</v>
      </c>
      <c r="B241" s="27" t="s">
        <v>1440</v>
      </c>
    </row>
    <row r="242" spans="1:14" s="27" customFormat="1" ht="39">
      <c r="A242" s="27" t="s">
        <v>11</v>
      </c>
      <c r="B242" s="196" t="s">
        <v>1441</v>
      </c>
    </row>
    <row r="243" spans="1:14" s="27" customFormat="1" ht="12.95">
      <c r="A243" s="27" t="s">
        <v>13</v>
      </c>
      <c r="B243" s="27" t="s">
        <v>14</v>
      </c>
    </row>
    <row r="244" spans="1:14" s="27" customFormat="1" ht="12.95">
      <c r="A244" s="27" t="s">
        <v>15</v>
      </c>
      <c r="B244" s="37">
        <v>1</v>
      </c>
    </row>
    <row r="245" spans="1:14" s="27" customFormat="1" ht="12.95">
      <c r="A245" s="27" t="s">
        <v>16</v>
      </c>
      <c r="B245" s="27" t="s">
        <v>17</v>
      </c>
    </row>
    <row r="246" spans="1:14" s="27" customFormat="1" ht="12.95">
      <c r="A246" s="27" t="s">
        <v>18</v>
      </c>
      <c r="B246" s="27" t="s">
        <v>18</v>
      </c>
    </row>
    <row r="247" spans="1:14" ht="15.6">
      <c r="A247" s="26" t="s">
        <v>19</v>
      </c>
    </row>
    <row r="248" spans="1:14" ht="15.6">
      <c r="A248" s="26" t="s">
        <v>20</v>
      </c>
      <c r="B248" s="26" t="s">
        <v>21</v>
      </c>
      <c r="C248" s="26" t="s">
        <v>18</v>
      </c>
      <c r="D248" s="26" t="s">
        <v>22</v>
      </c>
      <c r="E248" s="26" t="s">
        <v>7</v>
      </c>
      <c r="F248" s="26" t="s">
        <v>13</v>
      </c>
      <c r="G248" s="26" t="s">
        <v>16</v>
      </c>
      <c r="H248" s="26" t="s">
        <v>23</v>
      </c>
      <c r="I248" s="26" t="s">
        <v>24</v>
      </c>
      <c r="J248" s="26" t="s">
        <v>25</v>
      </c>
      <c r="K248" s="26" t="s">
        <v>26</v>
      </c>
      <c r="L248" s="26" t="s">
        <v>27</v>
      </c>
      <c r="M248" s="26" t="s">
        <v>28</v>
      </c>
      <c r="N248" s="26" t="s">
        <v>723</v>
      </c>
    </row>
    <row r="249" spans="1:14">
      <c r="A249" s="27" t="s">
        <v>1385</v>
      </c>
      <c r="B249" s="27">
        <f>B244</f>
        <v>1</v>
      </c>
      <c r="C249" s="27" t="str">
        <f>B246</f>
        <v>unit</v>
      </c>
      <c r="D249" s="27" t="s">
        <v>2</v>
      </c>
      <c r="E249" s="27" t="s">
        <v>29</v>
      </c>
      <c r="F249" s="27" t="str">
        <f>B243</f>
        <v>EUR</v>
      </c>
      <c r="G249" s="27" t="s">
        <v>30</v>
      </c>
      <c r="H249" s="27">
        <v>0</v>
      </c>
      <c r="I249" s="27">
        <f>B249</f>
        <v>1</v>
      </c>
      <c r="J249" s="27" t="s">
        <v>31</v>
      </c>
      <c r="K249" s="27" t="s">
        <v>31</v>
      </c>
      <c r="L249" s="27" t="s">
        <v>31</v>
      </c>
      <c r="M249" s="27" t="s">
        <v>31</v>
      </c>
      <c r="N249" s="27"/>
    </row>
    <row r="250" spans="1:14">
      <c r="A250" s="37" t="s">
        <v>1411</v>
      </c>
      <c r="B250" s="27">
        <v>1766432.0000000002</v>
      </c>
      <c r="C250" s="27" t="s">
        <v>37</v>
      </c>
      <c r="D250" s="27" t="s">
        <v>40</v>
      </c>
      <c r="E250" s="27" t="s">
        <v>29</v>
      </c>
      <c r="F250" s="27" t="s">
        <v>59</v>
      </c>
      <c r="G250" s="27" t="s">
        <v>33</v>
      </c>
      <c r="H250" s="27">
        <v>2</v>
      </c>
      <c r="I250" s="27">
        <f t="shared" ref="I250:I265" si="10">LN(B250)</f>
        <v>14.384472250842851</v>
      </c>
      <c r="J250" s="27">
        <v>1</v>
      </c>
      <c r="K250" s="27" t="s">
        <v>31</v>
      </c>
      <c r="L250" s="27" t="s">
        <v>31</v>
      </c>
      <c r="M250" s="27" t="s">
        <v>31</v>
      </c>
      <c r="N250" s="27"/>
    </row>
    <row r="251" spans="1:14">
      <c r="A251" s="37" t="s">
        <v>1411</v>
      </c>
      <c r="B251" s="27">
        <v>3075.2000000000003</v>
      </c>
      <c r="C251" s="27" t="s">
        <v>37</v>
      </c>
      <c r="D251" s="27" t="s">
        <v>40</v>
      </c>
      <c r="E251" s="27" t="s">
        <v>29</v>
      </c>
      <c r="F251" s="27" t="s">
        <v>59</v>
      </c>
      <c r="G251" s="27" t="s">
        <v>33</v>
      </c>
      <c r="H251" s="27">
        <v>2</v>
      </c>
      <c r="I251" s="27">
        <f t="shared" si="10"/>
        <v>8.0311252187759727</v>
      </c>
      <c r="J251" s="27">
        <v>1</v>
      </c>
      <c r="K251" s="27" t="s">
        <v>31</v>
      </c>
      <c r="L251" s="27" t="s">
        <v>31</v>
      </c>
      <c r="M251" s="27" t="s">
        <v>31</v>
      </c>
      <c r="N251" s="27"/>
    </row>
    <row r="252" spans="1:14">
      <c r="A252" s="37" t="s">
        <v>567</v>
      </c>
      <c r="B252" s="27">
        <v>3075.2000000000003</v>
      </c>
      <c r="C252" s="27" t="s">
        <v>37</v>
      </c>
      <c r="D252" s="27" t="s">
        <v>40</v>
      </c>
      <c r="E252" s="27" t="s">
        <v>29</v>
      </c>
      <c r="F252" s="27" t="s">
        <v>59</v>
      </c>
      <c r="G252" s="27" t="s">
        <v>33</v>
      </c>
      <c r="H252" s="27">
        <v>2</v>
      </c>
      <c r="I252" s="27">
        <f t="shared" si="10"/>
        <v>8.0311252187759727</v>
      </c>
      <c r="J252" s="27">
        <v>1</v>
      </c>
      <c r="K252" s="27" t="s">
        <v>31</v>
      </c>
      <c r="L252" s="27" t="s">
        <v>31</v>
      </c>
      <c r="M252" s="27" t="s">
        <v>31</v>
      </c>
      <c r="N252" s="27"/>
    </row>
    <row r="253" spans="1:14">
      <c r="A253" s="27" t="s">
        <v>738</v>
      </c>
      <c r="B253" s="27">
        <v>31152</v>
      </c>
      <c r="C253" s="27" t="s">
        <v>37</v>
      </c>
      <c r="D253" s="27" t="s">
        <v>40</v>
      </c>
      <c r="E253" s="27" t="s">
        <v>29</v>
      </c>
      <c r="F253" s="27" t="s">
        <v>59</v>
      </c>
      <c r="G253" s="27" t="s">
        <v>33</v>
      </c>
      <c r="H253" s="27">
        <v>2</v>
      </c>
      <c r="I253" s="27">
        <f t="shared" si="10"/>
        <v>10.34663372761198</v>
      </c>
      <c r="J253" s="27">
        <v>1</v>
      </c>
      <c r="K253" s="27" t="s">
        <v>31</v>
      </c>
      <c r="L253" s="27" t="s">
        <v>31</v>
      </c>
      <c r="M253" s="27" t="s">
        <v>31</v>
      </c>
      <c r="N253" s="27"/>
    </row>
    <row r="254" spans="1:14">
      <c r="A254" s="27" t="s">
        <v>85</v>
      </c>
      <c r="B254" s="27">
        <v>44.800000000000004</v>
      </c>
      <c r="C254" s="27" t="s">
        <v>37</v>
      </c>
      <c r="D254" s="27" t="s">
        <v>40</v>
      </c>
      <c r="E254" s="27" t="s">
        <v>29</v>
      </c>
      <c r="F254" s="27" t="s">
        <v>59</v>
      </c>
      <c r="G254" s="27" t="s">
        <v>33</v>
      </c>
      <c r="H254" s="27">
        <v>2</v>
      </c>
      <c r="I254" s="27">
        <f t="shared" si="10"/>
        <v>3.8022081394209395</v>
      </c>
      <c r="J254" s="27">
        <v>1</v>
      </c>
      <c r="K254" s="27" t="s">
        <v>31</v>
      </c>
      <c r="L254" s="27" t="s">
        <v>31</v>
      </c>
      <c r="M254" s="27" t="s">
        <v>31</v>
      </c>
      <c r="N254" s="27"/>
    </row>
    <row r="255" spans="1:14">
      <c r="A255" s="27" t="s">
        <v>120</v>
      </c>
      <c r="B255" s="27">
        <v>38537.600000000006</v>
      </c>
      <c r="C255" s="27" t="s">
        <v>37</v>
      </c>
      <c r="D255" s="27" t="s">
        <v>40</v>
      </c>
      <c r="E255" s="27" t="s">
        <v>29</v>
      </c>
      <c r="F255" s="27" t="s">
        <v>59</v>
      </c>
      <c r="G255" s="27" t="s">
        <v>33</v>
      </c>
      <c r="H255" s="27">
        <v>2</v>
      </c>
      <c r="I255" s="27">
        <f t="shared" si="10"/>
        <v>10.559389667066162</v>
      </c>
      <c r="J255" s="27">
        <v>1</v>
      </c>
      <c r="K255" s="27" t="s">
        <v>31</v>
      </c>
      <c r="L255" s="27" t="s">
        <v>31</v>
      </c>
      <c r="M255" s="27" t="s">
        <v>31</v>
      </c>
      <c r="N255" s="27"/>
    </row>
    <row r="256" spans="1:14">
      <c r="A256" s="27" t="s">
        <v>1416</v>
      </c>
      <c r="B256" s="27">
        <v>3.2</v>
      </c>
      <c r="C256" s="27" t="s">
        <v>37</v>
      </c>
      <c r="D256" s="27" t="s">
        <v>40</v>
      </c>
      <c r="E256" s="27" t="s">
        <v>29</v>
      </c>
      <c r="F256" s="27" t="s">
        <v>59</v>
      </c>
      <c r="G256" s="27" t="s">
        <v>33</v>
      </c>
      <c r="H256" s="27">
        <v>2</v>
      </c>
      <c r="I256" s="27">
        <f t="shared" si="10"/>
        <v>1.1631508098056809</v>
      </c>
      <c r="J256" s="27">
        <v>1</v>
      </c>
      <c r="K256" s="27" t="s">
        <v>31</v>
      </c>
      <c r="L256" s="27" t="s">
        <v>31</v>
      </c>
      <c r="M256" s="27" t="s">
        <v>31</v>
      </c>
      <c r="N256" s="27"/>
    </row>
    <row r="257" spans="1:14">
      <c r="A257" s="27" t="s">
        <v>524</v>
      </c>
      <c r="B257" s="27">
        <v>5363.2000000000007</v>
      </c>
      <c r="C257" s="27" t="s">
        <v>37</v>
      </c>
      <c r="D257" s="27" t="s">
        <v>40</v>
      </c>
      <c r="E257" s="27" t="s">
        <v>29</v>
      </c>
      <c r="F257" s="27" t="s">
        <v>59</v>
      </c>
      <c r="G257" s="27" t="s">
        <v>33</v>
      </c>
      <c r="H257" s="27">
        <v>2</v>
      </c>
      <c r="I257" s="27">
        <f t="shared" si="10"/>
        <v>8.5873160908477093</v>
      </c>
      <c r="J257" s="27">
        <v>1</v>
      </c>
      <c r="K257" s="27" t="s">
        <v>31</v>
      </c>
      <c r="L257" s="27" t="s">
        <v>31</v>
      </c>
      <c r="M257" s="27" t="s">
        <v>31</v>
      </c>
      <c r="N257" s="27"/>
    </row>
    <row r="258" spans="1:14">
      <c r="A258" s="27" t="s">
        <v>1397</v>
      </c>
      <c r="B258" s="27">
        <v>1363.2</v>
      </c>
      <c r="C258" s="27" t="s">
        <v>37</v>
      </c>
      <c r="D258" s="27" t="s">
        <v>40</v>
      </c>
      <c r="E258" s="27" t="s">
        <v>29</v>
      </c>
      <c r="F258" s="27" t="s">
        <v>59</v>
      </c>
      <c r="G258" s="27" t="s">
        <v>33</v>
      </c>
      <c r="H258" s="27">
        <v>2</v>
      </c>
      <c r="I258" s="27">
        <f t="shared" si="10"/>
        <v>7.2175901560750511</v>
      </c>
      <c r="J258" s="27">
        <v>1</v>
      </c>
      <c r="K258" s="27" t="s">
        <v>31</v>
      </c>
      <c r="L258" s="27" t="s">
        <v>31</v>
      </c>
      <c r="M258" s="27" t="s">
        <v>31</v>
      </c>
      <c r="N258" s="27"/>
    </row>
    <row r="259" spans="1:14">
      <c r="A259" s="27" t="s">
        <v>966</v>
      </c>
      <c r="B259" s="27">
        <v>1363.2</v>
      </c>
      <c r="C259" s="27" t="s">
        <v>37</v>
      </c>
      <c r="D259" s="27" t="s">
        <v>40</v>
      </c>
      <c r="E259" s="27" t="s">
        <v>29</v>
      </c>
      <c r="F259" s="27" t="s">
        <v>59</v>
      </c>
      <c r="G259" s="27" t="s">
        <v>33</v>
      </c>
      <c r="H259" s="27">
        <v>2</v>
      </c>
      <c r="I259" s="27">
        <f t="shared" si="10"/>
        <v>7.2175901560750511</v>
      </c>
      <c r="J259" s="27">
        <v>1</v>
      </c>
      <c r="K259" s="27" t="s">
        <v>31</v>
      </c>
      <c r="L259" s="27" t="s">
        <v>31</v>
      </c>
      <c r="M259" s="27" t="s">
        <v>31</v>
      </c>
      <c r="N259" s="27"/>
    </row>
    <row r="260" spans="1:14">
      <c r="A260" s="37" t="s">
        <v>121</v>
      </c>
      <c r="B260" s="27">
        <v>19.200000000000003</v>
      </c>
      <c r="C260" s="27" t="s">
        <v>37</v>
      </c>
      <c r="D260" s="27" t="s">
        <v>40</v>
      </c>
      <c r="E260" s="27" t="s">
        <v>29</v>
      </c>
      <c r="F260" s="27" t="s">
        <v>59</v>
      </c>
      <c r="G260" s="27" t="s">
        <v>33</v>
      </c>
      <c r="H260" s="27">
        <v>2</v>
      </c>
      <c r="I260" s="27">
        <f t="shared" si="10"/>
        <v>2.954910279033736</v>
      </c>
      <c r="J260" s="27">
        <v>1</v>
      </c>
      <c r="K260" s="27" t="s">
        <v>31</v>
      </c>
      <c r="L260" s="27" t="s">
        <v>31</v>
      </c>
      <c r="M260" s="27" t="s">
        <v>31</v>
      </c>
      <c r="N260" s="27"/>
    </row>
    <row r="261" spans="1:14">
      <c r="A261" s="37" t="s">
        <v>1442</v>
      </c>
      <c r="B261" s="27">
        <f>13542.4/0.075</f>
        <v>180565.33333333334</v>
      </c>
      <c r="C261" s="27" t="s">
        <v>18</v>
      </c>
      <c r="D261" s="27" t="s">
        <v>40</v>
      </c>
      <c r="E261" s="27" t="s">
        <v>29</v>
      </c>
      <c r="F261" s="27" t="s">
        <v>59</v>
      </c>
      <c r="G261" s="27" t="s">
        <v>33</v>
      </c>
      <c r="H261" s="27">
        <v>2</v>
      </c>
      <c r="I261" s="27">
        <f t="shared" si="10"/>
        <v>12.103847948789642</v>
      </c>
      <c r="J261" s="27">
        <v>1</v>
      </c>
      <c r="K261" s="27" t="s">
        <v>31</v>
      </c>
      <c r="L261" s="27" t="s">
        <v>31</v>
      </c>
      <c r="M261" s="27" t="s">
        <v>31</v>
      </c>
      <c r="N261" s="27"/>
    </row>
    <row r="262" spans="1:14">
      <c r="A262" s="37" t="s">
        <v>145</v>
      </c>
      <c r="B262" s="27">
        <v>35.200000000000003</v>
      </c>
      <c r="C262" s="27" t="s">
        <v>37</v>
      </c>
      <c r="D262" s="27" t="s">
        <v>40</v>
      </c>
      <c r="E262" s="27" t="s">
        <v>29</v>
      </c>
      <c r="F262" s="27" t="s">
        <v>59</v>
      </c>
      <c r="G262" s="27" t="s">
        <v>33</v>
      </c>
      <c r="H262" s="27">
        <v>2</v>
      </c>
      <c r="I262" s="27">
        <f t="shared" si="10"/>
        <v>3.5610460826040513</v>
      </c>
      <c r="J262" s="27">
        <v>1</v>
      </c>
      <c r="K262" s="27" t="s">
        <v>31</v>
      </c>
      <c r="L262" s="27" t="s">
        <v>31</v>
      </c>
      <c r="M262" s="27" t="s">
        <v>31</v>
      </c>
      <c r="N262" s="37" t="s">
        <v>1426</v>
      </c>
    </row>
    <row r="263" spans="1:14">
      <c r="A263" s="27" t="s">
        <v>912</v>
      </c>
      <c r="B263" s="27">
        <v>57.6</v>
      </c>
      <c r="C263" s="27" t="s">
        <v>37</v>
      </c>
      <c r="D263" s="27" t="s">
        <v>40</v>
      </c>
      <c r="E263" s="27" t="s">
        <v>29</v>
      </c>
      <c r="F263" s="27" t="s">
        <v>59</v>
      </c>
      <c r="G263" s="27" t="s">
        <v>33</v>
      </c>
      <c r="H263" s="27">
        <v>2</v>
      </c>
      <c r="I263" s="27">
        <f t="shared" si="10"/>
        <v>4.0535225677018456</v>
      </c>
      <c r="J263" s="27">
        <v>1</v>
      </c>
      <c r="K263" s="27" t="s">
        <v>31</v>
      </c>
      <c r="L263" s="27" t="s">
        <v>31</v>
      </c>
      <c r="M263" s="27" t="s">
        <v>31</v>
      </c>
      <c r="N263" s="27"/>
    </row>
    <row r="264" spans="1:14">
      <c r="A264" s="37" t="s">
        <v>1399</v>
      </c>
      <c r="B264" s="42">
        <v>134.4</v>
      </c>
      <c r="C264" s="27" t="s">
        <v>37</v>
      </c>
      <c r="D264" s="27" t="s">
        <v>40</v>
      </c>
      <c r="E264" s="27" t="s">
        <v>29</v>
      </c>
      <c r="F264" s="27" t="s">
        <v>59</v>
      </c>
      <c r="G264" s="27" t="s">
        <v>33</v>
      </c>
      <c r="H264" s="27">
        <v>2</v>
      </c>
      <c r="I264" s="27">
        <f t="shared" si="10"/>
        <v>4.9008204280890491</v>
      </c>
      <c r="J264" s="27">
        <v>1</v>
      </c>
      <c r="K264" s="27" t="s">
        <v>31</v>
      </c>
      <c r="L264" s="27" t="s">
        <v>31</v>
      </c>
      <c r="M264" s="27" t="s">
        <v>31</v>
      </c>
      <c r="N264" s="37" t="s">
        <v>1443</v>
      </c>
    </row>
    <row r="265" spans="1:14">
      <c r="A265" s="27" t="s">
        <v>1444</v>
      </c>
      <c r="B265" s="27">
        <v>52819.200000000004</v>
      </c>
      <c r="C265" s="27" t="s">
        <v>37</v>
      </c>
      <c r="D265" s="27" t="s">
        <v>40</v>
      </c>
      <c r="E265" s="27" t="s">
        <v>29</v>
      </c>
      <c r="F265" s="27" t="s">
        <v>35</v>
      </c>
      <c r="G265" s="27" t="s">
        <v>33</v>
      </c>
      <c r="H265" s="27">
        <v>2</v>
      </c>
      <c r="I265" s="27">
        <f t="shared" si="10"/>
        <v>10.87463003995831</v>
      </c>
      <c r="J265" s="27">
        <v>1</v>
      </c>
      <c r="K265" s="27" t="s">
        <v>31</v>
      </c>
      <c r="L265" s="27" t="s">
        <v>31</v>
      </c>
      <c r="M265" s="27" t="s">
        <v>31</v>
      </c>
      <c r="N265" s="27" t="s">
        <v>1445</v>
      </c>
    </row>
    <row r="266" spans="1:14">
      <c r="A266" s="30"/>
      <c r="B266" s="30"/>
      <c r="C266" s="30"/>
      <c r="D266" s="30"/>
      <c r="E266" s="30"/>
      <c r="F266" s="30"/>
      <c r="G266" s="30"/>
      <c r="H266" s="30"/>
      <c r="I266" s="30"/>
      <c r="J266" s="30"/>
      <c r="K266" s="30"/>
      <c r="L266" s="30"/>
      <c r="M266" s="30"/>
      <c r="N266" s="30"/>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CF05-F685-4BBB-B97B-985E8F491B80}">
  <sheetPr>
    <tabColor theme="9"/>
  </sheetPr>
  <dimension ref="A1:P99"/>
  <sheetViews>
    <sheetView zoomScale="70" zoomScaleNormal="70" workbookViewId="0">
      <selection activeCell="D51" sqref="D51:D53"/>
    </sheetView>
  </sheetViews>
  <sheetFormatPr defaultRowHeight="14.45"/>
  <cols>
    <col min="1" max="1" width="65.5703125" customWidth="1"/>
    <col min="5" max="5" width="30" bestFit="1" customWidth="1"/>
    <col min="6" max="6" width="30.140625" bestFit="1" customWidth="1"/>
  </cols>
  <sheetData>
    <row r="1" spans="1:16">
      <c r="A1" t="s">
        <v>0</v>
      </c>
      <c r="B1">
        <v>14</v>
      </c>
    </row>
    <row r="2" spans="1:16" s="73" customFormat="1" ht="15.6">
      <c r="A2" s="178" t="s">
        <v>5</v>
      </c>
      <c r="B2" s="178" t="s">
        <v>1446</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
        <v>1448</v>
      </c>
      <c r="C4" s="58"/>
      <c r="D4" s="58"/>
      <c r="E4" s="58"/>
      <c r="F4" s="58"/>
      <c r="G4" s="58"/>
      <c r="H4" s="58"/>
      <c r="I4" s="58"/>
      <c r="J4" s="58"/>
      <c r="K4" s="58"/>
      <c r="L4" s="58"/>
      <c r="M4" s="58"/>
      <c r="N4" s="58"/>
      <c r="O4" s="58"/>
      <c r="P4" s="58"/>
    </row>
    <row r="5" spans="1:16">
      <c r="A5" s="58" t="s">
        <v>11</v>
      </c>
      <c r="B5" s="58" t="s">
        <v>1449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 H2 plant construction EoL, SOFC-bat</v>
      </c>
      <c r="B12" s="180">
        <v>1</v>
      </c>
      <c r="C12" s="180"/>
      <c r="D12" s="180" t="s">
        <v>37</v>
      </c>
      <c r="E12" s="27" t="s">
        <v>2</v>
      </c>
      <c r="F12" s="58" t="s">
        <v>1450</v>
      </c>
      <c r="G12" s="180" t="s">
        <v>59</v>
      </c>
      <c r="H12" s="58" t="s">
        <v>30</v>
      </c>
      <c r="I12" s="58">
        <v>0</v>
      </c>
      <c r="J12" s="180" t="s">
        <v>31</v>
      </c>
      <c r="K12" s="180" t="s">
        <v>31</v>
      </c>
      <c r="L12" s="180" t="s">
        <v>31</v>
      </c>
      <c r="M12" s="180" t="s">
        <v>31</v>
      </c>
      <c r="N12" s="180" t="s">
        <v>31</v>
      </c>
      <c r="O12" s="180" t="s">
        <v>391</v>
      </c>
      <c r="P12" s="58"/>
    </row>
    <row r="13" spans="1:16" ht="15.6">
      <c r="A13" t="s">
        <v>201</v>
      </c>
      <c r="B13" s="23">
        <v>0.85</v>
      </c>
      <c r="C13" s="180"/>
      <c r="D13" s="180" t="s">
        <v>37</v>
      </c>
      <c r="E13" s="37" t="s">
        <v>40</v>
      </c>
      <c r="F13" s="58" t="s">
        <v>1450</v>
      </c>
      <c r="G13" s="180" t="s">
        <v>82</v>
      </c>
      <c r="H13" s="58" t="s">
        <v>33</v>
      </c>
      <c r="I13" s="58">
        <v>0</v>
      </c>
      <c r="J13" s="180" t="s">
        <v>31</v>
      </c>
      <c r="K13" s="180" t="s">
        <v>31</v>
      </c>
      <c r="L13" s="180" t="s">
        <v>31</v>
      </c>
      <c r="M13" s="180" t="s">
        <v>31</v>
      </c>
      <c r="N13" s="180" t="s">
        <v>31</v>
      </c>
      <c r="O13" s="58"/>
      <c r="P13" s="58"/>
    </row>
    <row r="14" spans="1:16" ht="15.6">
      <c r="A14" t="s">
        <v>202</v>
      </c>
      <c r="B14" s="23">
        <v>0.85</v>
      </c>
      <c r="C14" s="22" t="s">
        <v>203</v>
      </c>
      <c r="D14" t="s">
        <v>37</v>
      </c>
      <c r="E14" s="188" t="s">
        <v>40</v>
      </c>
      <c r="F14" s="58" t="s">
        <v>1450</v>
      </c>
      <c r="G14" s="180" t="s">
        <v>82</v>
      </c>
      <c r="H14" s="58" t="s">
        <v>33</v>
      </c>
      <c r="I14" s="58">
        <v>0</v>
      </c>
      <c r="J14" s="180" t="s">
        <v>31</v>
      </c>
      <c r="K14" s="180" t="s">
        <v>31</v>
      </c>
      <c r="L14" s="180" t="s">
        <v>31</v>
      </c>
      <c r="M14" s="180" t="s">
        <v>31</v>
      </c>
      <c r="N14" s="180" t="s">
        <v>31</v>
      </c>
      <c r="O14" s="180" t="s">
        <v>287</v>
      </c>
    </row>
    <row r="15" spans="1:16" ht="15.6">
      <c r="A15" t="s">
        <v>205</v>
      </c>
      <c r="B15" s="23">
        <f>B14*0.9</f>
        <v>0.76500000000000001</v>
      </c>
      <c r="D15" t="s">
        <v>37</v>
      </c>
      <c r="E15" s="188" t="s">
        <v>40</v>
      </c>
      <c r="F15" s="58" t="s">
        <v>1450</v>
      </c>
      <c r="G15" t="s">
        <v>59</v>
      </c>
      <c r="H15" s="58" t="s">
        <v>136</v>
      </c>
      <c r="I15" s="58">
        <v>0</v>
      </c>
      <c r="J15" s="180" t="s">
        <v>31</v>
      </c>
      <c r="K15" s="180" t="s">
        <v>31</v>
      </c>
      <c r="L15" s="180" t="s">
        <v>31</v>
      </c>
      <c r="M15" s="180" t="s">
        <v>31</v>
      </c>
      <c r="N15" s="180" t="s">
        <v>31</v>
      </c>
      <c r="O15" s="58"/>
      <c r="P15" s="180" t="s">
        <v>311</v>
      </c>
    </row>
    <row r="16" spans="1:16" ht="15.6">
      <c r="A16" t="s">
        <v>210</v>
      </c>
      <c r="B16" s="23">
        <f>-(1-B15)</f>
        <v>-0.23499999999999999</v>
      </c>
      <c r="D16" t="s">
        <v>37</v>
      </c>
      <c r="E16" s="84" t="s">
        <v>40</v>
      </c>
      <c r="F16" s="58" t="s">
        <v>1450</v>
      </c>
      <c r="G16" t="s">
        <v>59</v>
      </c>
      <c r="H16" t="s">
        <v>33</v>
      </c>
      <c r="I16">
        <v>0</v>
      </c>
      <c r="J16" t="s">
        <v>31</v>
      </c>
      <c r="K16" t="s">
        <v>31</v>
      </c>
      <c r="L16" t="s">
        <v>31</v>
      </c>
      <c r="M16" t="s">
        <v>31</v>
      </c>
      <c r="N16" t="s">
        <v>31</v>
      </c>
      <c r="O16" s="17"/>
      <c r="P16" s="58"/>
    </row>
    <row r="17" spans="1:16" s="73" customFormat="1" ht="15.6">
      <c r="A17" s="178" t="s">
        <v>5</v>
      </c>
      <c r="B17" s="178" t="s">
        <v>1451</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1452</v>
      </c>
      <c r="C19" s="58"/>
      <c r="D19" s="58"/>
      <c r="E19" s="58"/>
      <c r="F19" s="58"/>
      <c r="G19" s="58"/>
      <c r="H19" s="58"/>
      <c r="I19" s="58"/>
      <c r="J19" s="58"/>
      <c r="K19" s="58"/>
      <c r="L19" s="58"/>
      <c r="M19" s="58"/>
      <c r="N19" s="58"/>
      <c r="O19" s="58"/>
      <c r="P19" s="58"/>
    </row>
    <row r="20" spans="1:16">
      <c r="A20" s="58" t="s">
        <v>11</v>
      </c>
      <c r="B20" s="58" t="s">
        <v>1449</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copper, H2 plant construction EoL, SOFC-bat</v>
      </c>
      <c r="B27" s="180">
        <v>1</v>
      </c>
      <c r="C27" s="180"/>
      <c r="D27" s="180" t="s">
        <v>37</v>
      </c>
      <c r="E27" s="27" t="s">
        <v>2</v>
      </c>
      <c r="F27" s="58" t="s">
        <v>1450</v>
      </c>
      <c r="G27" s="180" t="s">
        <v>59</v>
      </c>
      <c r="H27" s="58" t="s">
        <v>30</v>
      </c>
      <c r="I27" s="58">
        <v>0</v>
      </c>
      <c r="J27" s="180" t="s">
        <v>31</v>
      </c>
      <c r="K27" s="180" t="s">
        <v>31</v>
      </c>
      <c r="L27" s="180" t="s">
        <v>31</v>
      </c>
      <c r="M27" s="180" t="s">
        <v>31</v>
      </c>
      <c r="N27" s="180" t="s">
        <v>31</v>
      </c>
      <c r="O27" s="180" t="s">
        <v>394</v>
      </c>
      <c r="P27" s="58"/>
    </row>
    <row r="28" spans="1:16" ht="15.6">
      <c r="A28" t="s">
        <v>207</v>
      </c>
      <c r="B28" s="197">
        <f>B27</f>
        <v>1</v>
      </c>
      <c r="C28" t="s">
        <v>208</v>
      </c>
      <c r="D28" t="s">
        <v>37</v>
      </c>
      <c r="E28" s="188" t="s">
        <v>40</v>
      </c>
      <c r="F28" s="58" t="s">
        <v>1450</v>
      </c>
      <c r="G28" t="s">
        <v>82</v>
      </c>
      <c r="H28" t="s">
        <v>33</v>
      </c>
      <c r="I28" s="58">
        <v>0</v>
      </c>
      <c r="J28" s="180" t="s">
        <v>31</v>
      </c>
      <c r="K28" s="180" t="s">
        <v>31</v>
      </c>
      <c r="L28" s="180" t="s">
        <v>31</v>
      </c>
      <c r="M28" s="180" t="s">
        <v>31</v>
      </c>
      <c r="N28" s="180" t="s">
        <v>31</v>
      </c>
    </row>
    <row r="29" spans="1:16" ht="15.6">
      <c r="A29" t="s">
        <v>209</v>
      </c>
      <c r="B29">
        <f>0.9*B28</f>
        <v>0.9</v>
      </c>
      <c r="D29" t="s">
        <v>37</v>
      </c>
      <c r="E29" s="188" t="s">
        <v>40</v>
      </c>
      <c r="F29" s="58" t="s">
        <v>1450</v>
      </c>
      <c r="G29" t="s">
        <v>59</v>
      </c>
      <c r="H29" t="s">
        <v>136</v>
      </c>
      <c r="I29" s="58">
        <v>0</v>
      </c>
      <c r="J29" s="180" t="s">
        <v>31</v>
      </c>
      <c r="K29" s="180" t="s">
        <v>31</v>
      </c>
      <c r="L29" s="180" t="s">
        <v>31</v>
      </c>
      <c r="M29" s="180" t="s">
        <v>31</v>
      </c>
      <c r="N29" s="180" t="s">
        <v>31</v>
      </c>
      <c r="O29" s="58" t="s">
        <v>206</v>
      </c>
    </row>
    <row r="30" spans="1:16" ht="15.6">
      <c r="A30" t="s">
        <v>210</v>
      </c>
      <c r="B30" s="23">
        <f>-(1-B29)</f>
        <v>-9.9999999999999978E-2</v>
      </c>
      <c r="D30" t="s">
        <v>37</v>
      </c>
      <c r="E30" s="84" t="s">
        <v>40</v>
      </c>
      <c r="F30" s="58" t="s">
        <v>1450</v>
      </c>
      <c r="G30" t="s">
        <v>59</v>
      </c>
      <c r="H30" t="s">
        <v>33</v>
      </c>
      <c r="I30">
        <v>0</v>
      </c>
      <c r="J30" t="s">
        <v>31</v>
      </c>
      <c r="K30" t="s">
        <v>31</v>
      </c>
      <c r="L30" t="s">
        <v>31</v>
      </c>
      <c r="M30" t="s">
        <v>31</v>
      </c>
      <c r="N30" t="s">
        <v>31</v>
      </c>
      <c r="O30" s="17"/>
      <c r="P30" s="58"/>
    </row>
    <row r="31" spans="1:16" s="73" customFormat="1" ht="15.6">
      <c r="A31" s="178" t="s">
        <v>5</v>
      </c>
      <c r="B31" s="178" t="s">
        <v>1453</v>
      </c>
      <c r="C31" s="178"/>
      <c r="D31" s="74"/>
      <c r="E31" s="150"/>
      <c r="F31" s="150"/>
      <c r="G31" s="150"/>
      <c r="H31" s="150"/>
      <c r="I31" s="150"/>
      <c r="J31" s="150"/>
      <c r="K31" s="150"/>
      <c r="L31" s="150"/>
      <c r="M31" s="150"/>
      <c r="N31" s="150"/>
      <c r="O31" s="150"/>
      <c r="P31" s="150"/>
    </row>
    <row r="32" spans="1:16">
      <c r="A32" s="58" t="s">
        <v>7</v>
      </c>
      <c r="B32" s="58" t="s">
        <v>1447</v>
      </c>
      <c r="C32" s="58"/>
      <c r="D32" s="58"/>
      <c r="E32" s="58"/>
      <c r="F32" s="58"/>
      <c r="G32" s="58"/>
      <c r="H32" s="58"/>
      <c r="I32" s="58"/>
      <c r="J32" s="58"/>
      <c r="K32" s="58"/>
      <c r="L32" s="58"/>
      <c r="M32" s="58"/>
      <c r="N32" s="58"/>
      <c r="O32" s="58"/>
      <c r="P32" s="58"/>
    </row>
    <row r="33" spans="1:16">
      <c r="A33" s="58" t="s">
        <v>9</v>
      </c>
      <c r="B33" s="186" t="s">
        <v>1454</v>
      </c>
      <c r="C33" s="58"/>
      <c r="D33" s="58"/>
      <c r="E33" s="58"/>
      <c r="F33" s="58"/>
      <c r="G33" s="58"/>
      <c r="H33" s="58"/>
      <c r="I33" s="58"/>
      <c r="J33" s="58"/>
      <c r="K33" s="58"/>
      <c r="L33" s="58"/>
      <c r="M33" s="58"/>
      <c r="N33" s="58"/>
      <c r="O33" s="58"/>
      <c r="P33" s="58"/>
    </row>
    <row r="34" spans="1:16">
      <c r="A34" s="58" t="s">
        <v>11</v>
      </c>
      <c r="B34" s="58" t="s">
        <v>1449</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6">
      <c r="A38" s="58" t="s">
        <v>18</v>
      </c>
      <c r="B38" s="180" t="s">
        <v>37</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tr">
        <f>B31</f>
        <v>treatment of steel, H2 plant construction EoL, SOFC-bat</v>
      </c>
      <c r="B41" s="180">
        <v>1</v>
      </c>
      <c r="C41" s="180"/>
      <c r="D41" s="180" t="s">
        <v>37</v>
      </c>
      <c r="E41" s="27" t="s">
        <v>2</v>
      </c>
      <c r="F41" s="58" t="s">
        <v>1450</v>
      </c>
      <c r="G41" s="180" t="s">
        <v>59</v>
      </c>
      <c r="H41" s="58" t="s">
        <v>30</v>
      </c>
      <c r="I41" s="58">
        <v>0</v>
      </c>
      <c r="J41" s="180" t="s">
        <v>31</v>
      </c>
      <c r="K41" s="180" t="s">
        <v>31</v>
      </c>
      <c r="L41" s="180" t="s">
        <v>31</v>
      </c>
      <c r="M41" s="180" t="s">
        <v>31</v>
      </c>
      <c r="N41" s="180" t="s">
        <v>31</v>
      </c>
      <c r="O41" s="180" t="s">
        <v>339</v>
      </c>
      <c r="P41" s="58"/>
    </row>
    <row r="42" spans="1:16" ht="15.6">
      <c r="A42" t="s">
        <v>135</v>
      </c>
      <c r="B42" s="23">
        <v>0.85</v>
      </c>
      <c r="C42" s="180"/>
      <c r="D42" s="180" t="s">
        <v>37</v>
      </c>
      <c r="E42" s="84" t="s">
        <v>40</v>
      </c>
      <c r="F42" s="58" t="s">
        <v>1450</v>
      </c>
      <c r="G42" s="180" t="s">
        <v>82</v>
      </c>
      <c r="H42" s="58" t="s">
        <v>33</v>
      </c>
      <c r="I42" s="58">
        <v>0</v>
      </c>
      <c r="J42" s="180" t="s">
        <v>31</v>
      </c>
      <c r="K42" s="180" t="s">
        <v>31</v>
      </c>
      <c r="L42" s="180" t="s">
        <v>31</v>
      </c>
      <c r="M42" s="180" t="s">
        <v>31</v>
      </c>
      <c r="N42" s="180" t="s">
        <v>31</v>
      </c>
      <c r="O42" s="58"/>
      <c r="P42" s="58"/>
    </row>
    <row r="43" spans="1:16" ht="15.6">
      <c r="A43" t="s">
        <v>237</v>
      </c>
      <c r="B43" s="23">
        <f>0.9*B42</f>
        <v>0.76500000000000001</v>
      </c>
      <c r="C43" s="180"/>
      <c r="D43" s="180" t="s">
        <v>37</v>
      </c>
      <c r="E43" s="84" t="s">
        <v>40</v>
      </c>
      <c r="F43" s="58" t="s">
        <v>1450</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1450</v>
      </c>
      <c r="G44" t="s">
        <v>59</v>
      </c>
      <c r="H44" t="s">
        <v>33</v>
      </c>
      <c r="I44">
        <v>0</v>
      </c>
      <c r="J44" t="s">
        <v>31</v>
      </c>
      <c r="K44" t="s">
        <v>31</v>
      </c>
      <c r="L44" t="s">
        <v>31</v>
      </c>
      <c r="M44" t="s">
        <v>31</v>
      </c>
      <c r="N44" t="s">
        <v>31</v>
      </c>
      <c r="O44" s="17"/>
      <c r="P44" s="58" t="s">
        <v>319</v>
      </c>
    </row>
    <row r="45" spans="1:16" s="73" customFormat="1" ht="15.6">
      <c r="A45" s="178" t="s">
        <v>5</v>
      </c>
      <c r="B45" s="178" t="s">
        <v>1455</v>
      </c>
      <c r="C45" s="178"/>
      <c r="D45" s="74"/>
      <c r="E45" s="150"/>
      <c r="F45" s="150"/>
      <c r="G45" s="150"/>
      <c r="H45" s="150"/>
      <c r="I45" s="150"/>
      <c r="J45" s="150"/>
      <c r="K45" s="150"/>
      <c r="L45" s="150"/>
      <c r="M45" s="150"/>
      <c r="N45" s="150"/>
      <c r="O45" s="150"/>
      <c r="P45" s="150"/>
    </row>
    <row r="46" spans="1:16">
      <c r="A46" s="58" t="s">
        <v>7</v>
      </c>
      <c r="B46" s="58" t="s">
        <v>1447</v>
      </c>
      <c r="C46" s="58"/>
      <c r="D46" s="58"/>
      <c r="E46" s="58"/>
      <c r="F46" s="58"/>
      <c r="G46" s="58"/>
      <c r="H46" s="58"/>
      <c r="I46" s="58"/>
      <c r="J46" s="58"/>
      <c r="K46" s="58"/>
      <c r="L46" s="58"/>
      <c r="M46" s="58"/>
      <c r="N46" s="58"/>
      <c r="O46" s="58"/>
      <c r="P46" s="58"/>
    </row>
    <row r="47" spans="1:16">
      <c r="A47" s="58" t="s">
        <v>9</v>
      </c>
      <c r="B47" s="186" t="s">
        <v>1456</v>
      </c>
      <c r="C47" s="58"/>
      <c r="D47" s="58"/>
      <c r="E47" s="58"/>
      <c r="F47" s="58"/>
      <c r="G47" s="58"/>
      <c r="H47" s="58"/>
      <c r="I47" s="58"/>
      <c r="J47" s="58"/>
      <c r="K47" s="58"/>
      <c r="L47" s="58"/>
      <c r="M47" s="58"/>
      <c r="N47" s="58"/>
      <c r="O47" s="58"/>
      <c r="P47" s="58"/>
    </row>
    <row r="48" spans="1:16">
      <c r="A48" s="58" t="s">
        <v>11</v>
      </c>
      <c r="B48" s="58" t="s">
        <v>1457</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6">
      <c r="A52" s="58" t="s">
        <v>18</v>
      </c>
      <c r="B52" s="180" t="s">
        <v>37</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tr">
        <f>B45</f>
        <v>treatment of composites, H2 plant construction EoL, SOFC-bat</v>
      </c>
      <c r="B55" s="180">
        <v>1</v>
      </c>
      <c r="C55" s="180"/>
      <c r="D55" s="180" t="s">
        <v>37</v>
      </c>
      <c r="E55" s="27" t="s">
        <v>2</v>
      </c>
      <c r="F55" s="58" t="s">
        <v>1450</v>
      </c>
      <c r="G55" s="180" t="s">
        <v>59</v>
      </c>
      <c r="H55" s="58" t="s">
        <v>30</v>
      </c>
      <c r="I55" s="58">
        <v>0</v>
      </c>
      <c r="J55" s="180" t="s">
        <v>31</v>
      </c>
      <c r="K55" s="180" t="s">
        <v>31</v>
      </c>
      <c r="L55" s="180" t="s">
        <v>31</v>
      </c>
      <c r="M55" s="180" t="s">
        <v>31</v>
      </c>
      <c r="N55" s="180" t="s">
        <v>31</v>
      </c>
      <c r="O55" s="180" t="s">
        <v>336</v>
      </c>
      <c r="P55" s="58"/>
    </row>
    <row r="56" spans="1:16" ht="15.6">
      <c r="A56" s="84" t="s">
        <v>400</v>
      </c>
      <c r="B56">
        <v>-1</v>
      </c>
      <c r="D56" s="180" t="s">
        <v>37</v>
      </c>
      <c r="E56" s="84" t="s">
        <v>40</v>
      </c>
      <c r="F56" s="58" t="s">
        <v>1450</v>
      </c>
      <c r="G56" t="s">
        <v>82</v>
      </c>
      <c r="H56" t="s">
        <v>33</v>
      </c>
      <c r="I56">
        <v>0</v>
      </c>
      <c r="J56" t="s">
        <v>31</v>
      </c>
      <c r="K56" t="s">
        <v>31</v>
      </c>
      <c r="L56" t="s">
        <v>31</v>
      </c>
      <c r="M56" t="s">
        <v>31</v>
      </c>
      <c r="N56" t="s">
        <v>31</v>
      </c>
    </row>
    <row r="57" spans="1:16" s="73" customFormat="1" ht="15.6">
      <c r="A57" s="178" t="s">
        <v>5</v>
      </c>
      <c r="B57" s="178" t="s">
        <v>1458</v>
      </c>
      <c r="C57" s="178"/>
      <c r="D57" s="74"/>
      <c r="E57" s="150"/>
      <c r="F57" s="150"/>
      <c r="G57" s="150"/>
      <c r="H57" s="150"/>
      <c r="I57" s="150"/>
      <c r="J57" s="150"/>
      <c r="K57" s="150"/>
      <c r="L57" s="150"/>
      <c r="M57" s="150"/>
      <c r="N57" s="150"/>
      <c r="O57" s="150"/>
      <c r="P57" s="150"/>
    </row>
    <row r="58" spans="1:16">
      <c r="A58" s="58" t="s">
        <v>7</v>
      </c>
      <c r="B58" s="58" t="s">
        <v>1447</v>
      </c>
      <c r="C58" s="58"/>
      <c r="D58" s="58"/>
      <c r="E58" s="58"/>
      <c r="F58" s="58"/>
      <c r="G58" s="58"/>
      <c r="H58" s="58"/>
      <c r="I58" s="58"/>
      <c r="J58" s="58"/>
      <c r="K58" s="58"/>
      <c r="L58" s="58"/>
      <c r="M58" s="58"/>
      <c r="N58" s="58"/>
      <c r="O58" s="58"/>
      <c r="P58" s="58"/>
    </row>
    <row r="59" spans="1:16">
      <c r="A59" s="58" t="s">
        <v>9</v>
      </c>
      <c r="B59" s="186" t="s">
        <v>1459</v>
      </c>
      <c r="C59" s="58"/>
      <c r="D59" s="58"/>
      <c r="E59" s="58"/>
      <c r="F59" s="58"/>
      <c r="G59" s="58"/>
      <c r="H59" s="58"/>
      <c r="I59" s="58"/>
      <c r="J59" s="58"/>
      <c r="K59" s="58"/>
      <c r="L59" s="58"/>
      <c r="M59" s="58"/>
      <c r="N59" s="58"/>
      <c r="O59" s="58"/>
      <c r="P59" s="58"/>
    </row>
    <row r="60" spans="1:16">
      <c r="A60" s="58" t="s">
        <v>11</v>
      </c>
      <c r="B60" s="58" t="s">
        <v>1457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6">
      <c r="A64" s="58" t="s">
        <v>18</v>
      </c>
      <c r="B64" s="180" t="s">
        <v>37</v>
      </c>
      <c r="C64" s="58"/>
      <c r="D64" s="58"/>
      <c r="E64" s="58" t="s">
        <v>185</v>
      </c>
      <c r="F64" s="58"/>
      <c r="G64" s="58"/>
      <c r="H64" s="58"/>
      <c r="I64" s="58"/>
      <c r="J64" s="58"/>
      <c r="K64" s="58"/>
      <c r="L64" s="58"/>
      <c r="M64" s="58"/>
      <c r="N64" s="58"/>
      <c r="O64" s="58"/>
      <c r="P64" s="58"/>
    </row>
    <row r="65" spans="1:16" ht="15.6">
      <c r="A65" s="181" t="s">
        <v>19</v>
      </c>
      <c r="B65" s="58"/>
      <c r="C65" s="58"/>
      <c r="D65" s="58"/>
      <c r="E65" s="58"/>
      <c r="F65" s="58"/>
      <c r="G65" s="58"/>
      <c r="H65" s="58"/>
      <c r="I65" s="58"/>
      <c r="J65" s="58"/>
      <c r="K65" s="58"/>
      <c r="L65" s="58"/>
      <c r="M65" s="58"/>
      <c r="N65" s="58"/>
      <c r="O65" s="58"/>
      <c r="P65" s="58"/>
    </row>
    <row r="66" spans="1:16"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6">
      <c r="A67" s="180" t="str">
        <f>B57</f>
        <v>treatment of graphite and resin, H2 plant construction EoL</v>
      </c>
      <c r="B67" s="180">
        <v>1</v>
      </c>
      <c r="C67" s="180"/>
      <c r="D67" s="180" t="s">
        <v>37</v>
      </c>
      <c r="E67" s="27" t="s">
        <v>2</v>
      </c>
      <c r="F67" s="58" t="s">
        <v>1450</v>
      </c>
      <c r="G67" s="180" t="s">
        <v>59</v>
      </c>
      <c r="H67" s="58" t="s">
        <v>30</v>
      </c>
      <c r="I67" s="58">
        <v>0</v>
      </c>
      <c r="J67" s="180" t="s">
        <v>31</v>
      </c>
      <c r="K67" s="180" t="s">
        <v>31</v>
      </c>
      <c r="L67" s="180" t="s">
        <v>31</v>
      </c>
      <c r="M67" s="180" t="s">
        <v>31</v>
      </c>
      <c r="N67" s="180" t="s">
        <v>31</v>
      </c>
      <c r="O67" s="180" t="s">
        <v>403</v>
      </c>
      <c r="P67" s="58"/>
    </row>
    <row r="68" spans="1:16" ht="15.6">
      <c r="A68" s="84" t="s">
        <v>385</v>
      </c>
      <c r="B68">
        <v>-1</v>
      </c>
      <c r="D68" s="180" t="s">
        <v>37</v>
      </c>
      <c r="E68" s="27" t="s">
        <v>2</v>
      </c>
      <c r="F68" s="58" t="s">
        <v>1450</v>
      </c>
      <c r="G68" s="180" t="s">
        <v>82</v>
      </c>
      <c r="H68" s="58" t="s">
        <v>33</v>
      </c>
      <c r="I68" s="58">
        <v>0</v>
      </c>
      <c r="J68" s="180" t="s">
        <v>31</v>
      </c>
      <c r="K68" s="180" t="s">
        <v>31</v>
      </c>
      <c r="L68" s="180" t="s">
        <v>31</v>
      </c>
      <c r="M68" s="180" t="s">
        <v>31</v>
      </c>
      <c r="N68" s="180" t="s">
        <v>31</v>
      </c>
    </row>
    <row r="69" spans="1:16" s="73" customFormat="1" ht="15.6">
      <c r="A69" s="178" t="s">
        <v>5</v>
      </c>
      <c r="B69" s="178" t="s">
        <v>1460</v>
      </c>
      <c r="C69" s="178"/>
      <c r="D69" s="74"/>
      <c r="E69" s="150"/>
      <c r="F69" s="150"/>
      <c r="G69" s="150"/>
      <c r="H69" s="150"/>
      <c r="I69" s="150"/>
      <c r="J69" s="150"/>
      <c r="K69" s="150"/>
      <c r="L69" s="150"/>
      <c r="M69" s="150"/>
      <c r="N69" s="150"/>
      <c r="O69" s="150"/>
      <c r="P69" s="150"/>
    </row>
    <row r="70" spans="1:16">
      <c r="A70" s="58" t="s">
        <v>7</v>
      </c>
      <c r="B70" s="58" t="s">
        <v>1447</v>
      </c>
      <c r="C70" s="58"/>
      <c r="D70" s="58"/>
      <c r="E70" s="58"/>
      <c r="F70" s="58"/>
      <c r="G70" s="58"/>
      <c r="H70" s="58"/>
      <c r="I70" s="58"/>
      <c r="J70" s="58"/>
      <c r="K70" s="58"/>
      <c r="L70" s="58"/>
      <c r="M70" s="58"/>
      <c r="N70" s="58"/>
      <c r="O70" s="58"/>
      <c r="P70" s="58"/>
    </row>
    <row r="71" spans="1:16">
      <c r="A71" s="58" t="s">
        <v>9</v>
      </c>
      <c r="B71" s="186" t="s">
        <v>1461</v>
      </c>
      <c r="C71" s="58"/>
      <c r="D71" s="58"/>
      <c r="E71" s="58"/>
      <c r="F71" s="58"/>
      <c r="G71" s="58"/>
      <c r="H71" s="58"/>
      <c r="I71" s="58"/>
      <c r="J71" s="58"/>
      <c r="K71" s="58"/>
      <c r="L71" s="58"/>
      <c r="M71" s="58"/>
      <c r="N71" s="58"/>
      <c r="O71" s="58"/>
      <c r="P71" s="58"/>
    </row>
    <row r="72" spans="1:16">
      <c r="A72" s="58" t="s">
        <v>11</v>
      </c>
      <c r="B72" s="58" t="s">
        <v>1457</v>
      </c>
      <c r="C72" s="58"/>
      <c r="D72" s="58"/>
      <c r="E72" s="58"/>
      <c r="F72" s="58"/>
      <c r="G72" s="58"/>
      <c r="H72" s="58"/>
      <c r="I72" s="58"/>
      <c r="J72" s="58"/>
      <c r="K72" s="58"/>
      <c r="L72" s="58"/>
      <c r="M72" s="58"/>
      <c r="N72" s="58"/>
      <c r="O72" s="58"/>
      <c r="P72" s="58"/>
    </row>
    <row r="73" spans="1:16">
      <c r="A73" s="58" t="s">
        <v>13</v>
      </c>
      <c r="B73" s="58" t="s">
        <v>59</v>
      </c>
      <c r="C73" s="58"/>
      <c r="D73" s="58"/>
      <c r="E73" s="58"/>
      <c r="F73" s="58"/>
      <c r="G73" s="58"/>
      <c r="H73" s="58"/>
      <c r="I73" s="58"/>
      <c r="J73" s="58"/>
      <c r="K73" s="58"/>
      <c r="L73" s="58"/>
      <c r="M73" s="58"/>
      <c r="N73" s="58"/>
      <c r="O73" s="58"/>
      <c r="P73" s="58"/>
    </row>
    <row r="74" spans="1:16">
      <c r="A74" s="58" t="s">
        <v>15</v>
      </c>
      <c r="B74" s="58">
        <v>1</v>
      </c>
      <c r="C74" s="58"/>
      <c r="D74" s="58"/>
      <c r="E74" s="58"/>
      <c r="F74" s="58"/>
      <c r="G74" s="58"/>
      <c r="H74" s="58"/>
      <c r="I74" s="58"/>
      <c r="J74" s="58"/>
      <c r="K74" s="58"/>
      <c r="L74" s="58"/>
      <c r="M74" s="58"/>
      <c r="N74" s="58"/>
      <c r="O74" s="58"/>
      <c r="P74" s="58"/>
    </row>
    <row r="75" spans="1:16">
      <c r="A75" s="58" t="s">
        <v>16</v>
      </c>
      <c r="B75" s="58" t="s">
        <v>17</v>
      </c>
      <c r="C75" s="58"/>
      <c r="D75" s="58"/>
      <c r="E75" s="58"/>
      <c r="F75" s="58"/>
      <c r="G75" s="58"/>
      <c r="H75" s="58"/>
      <c r="I75" s="58"/>
      <c r="J75" s="58"/>
      <c r="K75" s="58"/>
      <c r="L75" s="58"/>
      <c r="M75" s="58"/>
      <c r="N75" s="58"/>
      <c r="O75" s="58"/>
      <c r="P75" s="58"/>
    </row>
    <row r="76" spans="1:16" ht="15.6">
      <c r="A76" s="58" t="s">
        <v>18</v>
      </c>
      <c r="B76" s="180" t="s">
        <v>37</v>
      </c>
      <c r="C76" s="58"/>
      <c r="D76" s="58"/>
      <c r="E76" s="58" t="s">
        <v>185</v>
      </c>
      <c r="F76" s="58"/>
      <c r="G76" s="58"/>
      <c r="H76" s="58"/>
      <c r="I76" s="58"/>
      <c r="J76" s="58"/>
      <c r="K76" s="58"/>
      <c r="L76" s="58"/>
      <c r="M76" s="58"/>
      <c r="N76" s="58"/>
      <c r="O76" s="58"/>
      <c r="P76" s="58"/>
    </row>
    <row r="77" spans="1:16" ht="15.6">
      <c r="A77" s="181" t="s">
        <v>19</v>
      </c>
      <c r="B77" s="58"/>
      <c r="C77" s="58"/>
      <c r="D77" s="58"/>
      <c r="E77" s="58"/>
      <c r="F77" s="58"/>
      <c r="G77" s="58"/>
      <c r="H77" s="58"/>
      <c r="I77" s="58"/>
      <c r="J77" s="58"/>
      <c r="K77" s="58"/>
      <c r="L77" s="58"/>
      <c r="M77" s="58"/>
      <c r="N77" s="58"/>
      <c r="O77" s="58"/>
      <c r="P77" s="58"/>
    </row>
    <row r="78" spans="1:16" ht="15.6">
      <c r="A78" s="181" t="s">
        <v>20</v>
      </c>
      <c r="B78" s="181" t="s">
        <v>21</v>
      </c>
      <c r="C78" s="181" t="s">
        <v>186</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187</v>
      </c>
    </row>
    <row r="79" spans="1:16" ht="15.6">
      <c r="A79" s="180" t="str">
        <f>B69</f>
        <v>treatment of electronics, H2 plant construction EoL, SOFC-bat</v>
      </c>
      <c r="B79" s="180">
        <v>1</v>
      </c>
      <c r="C79" s="180"/>
      <c r="D79" s="180" t="s">
        <v>37</v>
      </c>
      <c r="E79" s="27" t="s">
        <v>2</v>
      </c>
      <c r="F79" s="58" t="s">
        <v>1450</v>
      </c>
      <c r="G79" s="180" t="s">
        <v>59</v>
      </c>
      <c r="H79" s="58" t="s">
        <v>30</v>
      </c>
      <c r="I79" s="58">
        <v>0</v>
      </c>
      <c r="J79" s="180" t="s">
        <v>31</v>
      </c>
      <c r="K79" s="180" t="s">
        <v>31</v>
      </c>
      <c r="L79" s="180" t="s">
        <v>31</v>
      </c>
      <c r="M79" s="180" t="s">
        <v>31</v>
      </c>
      <c r="N79" s="180" t="s">
        <v>31</v>
      </c>
      <c r="O79" s="180" t="s">
        <v>403</v>
      </c>
      <c r="P79" s="58"/>
    </row>
    <row r="80" spans="1:16" ht="15.6">
      <c r="A80" s="84" t="s">
        <v>194</v>
      </c>
      <c r="B80">
        <v>-1</v>
      </c>
      <c r="D80" s="180" t="s">
        <v>37</v>
      </c>
      <c r="E80" s="27" t="s">
        <v>2</v>
      </c>
      <c r="F80" s="58" t="s">
        <v>1450</v>
      </c>
      <c r="G80" s="180" t="s">
        <v>82</v>
      </c>
      <c r="H80" s="58" t="s">
        <v>33</v>
      </c>
      <c r="I80" s="58">
        <v>0</v>
      </c>
      <c r="J80" s="180" t="s">
        <v>31</v>
      </c>
      <c r="K80" s="180" t="s">
        <v>31</v>
      </c>
      <c r="L80" s="180" t="s">
        <v>31</v>
      </c>
      <c r="M80" s="180" t="s">
        <v>31</v>
      </c>
      <c r="N80" s="180" t="s">
        <v>31</v>
      </c>
    </row>
    <row r="81" spans="1:16" s="73" customFormat="1" ht="15.6">
      <c r="A81" s="178" t="s">
        <v>5</v>
      </c>
      <c r="B81" s="178" t="s">
        <v>1380</v>
      </c>
      <c r="C81" s="178"/>
      <c r="D81" s="74"/>
      <c r="E81" s="150"/>
      <c r="F81" s="150"/>
      <c r="G81" s="150"/>
      <c r="H81" s="150"/>
      <c r="I81" s="150"/>
      <c r="J81" s="150"/>
      <c r="K81" s="150"/>
      <c r="L81" s="150"/>
      <c r="M81" s="150"/>
      <c r="N81" s="150"/>
      <c r="O81" s="150"/>
      <c r="P81" s="150"/>
    </row>
    <row r="82" spans="1:16">
      <c r="A82" s="58" t="s">
        <v>7</v>
      </c>
      <c r="B82" s="58" t="s">
        <v>1447</v>
      </c>
      <c r="C82" s="58"/>
      <c r="D82" s="58"/>
      <c r="E82" s="58"/>
      <c r="F82" s="58"/>
      <c r="G82" s="58"/>
      <c r="H82" s="58"/>
      <c r="I82" s="58"/>
      <c r="J82" s="58"/>
      <c r="K82" s="58"/>
      <c r="L82" s="58"/>
      <c r="M82" s="58"/>
      <c r="N82" s="58"/>
      <c r="O82" s="58"/>
      <c r="P82" s="58"/>
    </row>
    <row r="83" spans="1:16">
      <c r="A83" s="58" t="s">
        <v>9</v>
      </c>
      <c r="B83" s="186" t="s">
        <v>1462</v>
      </c>
      <c r="C83" s="58"/>
      <c r="D83" s="58"/>
      <c r="E83" s="58"/>
      <c r="F83" s="58"/>
      <c r="G83" s="58"/>
      <c r="H83" s="58"/>
      <c r="I83" s="58"/>
      <c r="J83" s="58"/>
      <c r="K83" s="58"/>
      <c r="L83" s="58"/>
      <c r="M83" s="58"/>
      <c r="N83" s="58"/>
      <c r="O83" s="58"/>
      <c r="P83" s="58"/>
    </row>
    <row r="84" spans="1:16">
      <c r="A84" s="58" t="s">
        <v>11</v>
      </c>
      <c r="B84" s="58" t="s">
        <v>1457</v>
      </c>
      <c r="C84" s="58"/>
      <c r="D84" s="58"/>
      <c r="E84" s="58"/>
      <c r="F84" s="58"/>
      <c r="G84" s="58"/>
      <c r="H84" s="58"/>
      <c r="I84" s="58"/>
      <c r="J84" s="58"/>
      <c r="K84" s="58"/>
      <c r="L84" s="58"/>
      <c r="M84" s="58"/>
      <c r="N84" s="58"/>
      <c r="O84" s="58"/>
      <c r="P84" s="58"/>
    </row>
    <row r="85" spans="1:16">
      <c r="A85" s="58" t="s">
        <v>13</v>
      </c>
      <c r="B85" s="58" t="s">
        <v>59</v>
      </c>
      <c r="C85" s="58"/>
      <c r="D85" s="58"/>
      <c r="E85" s="58"/>
      <c r="F85" s="58"/>
      <c r="G85" s="58"/>
      <c r="H85" s="58"/>
      <c r="I85" s="58"/>
      <c r="J85" s="58"/>
      <c r="K85" s="58"/>
      <c r="L85" s="58"/>
      <c r="M85" s="58"/>
      <c r="N85" s="58"/>
      <c r="O85" s="58"/>
      <c r="P85" s="58"/>
    </row>
    <row r="86" spans="1:16">
      <c r="A86" s="58" t="s">
        <v>15</v>
      </c>
      <c r="B86" s="58">
        <v>1</v>
      </c>
      <c r="C86" s="58"/>
      <c r="D86" s="58"/>
      <c r="E86" s="58"/>
      <c r="F86" s="58"/>
      <c r="G86" s="58"/>
      <c r="H86" s="58"/>
      <c r="I86" s="58"/>
      <c r="J86" s="58"/>
      <c r="K86" s="58"/>
      <c r="L86" s="58"/>
      <c r="M86" s="58"/>
      <c r="N86" s="58"/>
      <c r="O86" s="58"/>
      <c r="P86" s="58"/>
    </row>
    <row r="87" spans="1:16">
      <c r="A87" s="58" t="s">
        <v>16</v>
      </c>
      <c r="B87" s="58" t="s">
        <v>17</v>
      </c>
      <c r="C87" s="58"/>
      <c r="D87" s="58"/>
      <c r="E87" s="58"/>
      <c r="F87" s="58"/>
      <c r="G87" s="58"/>
      <c r="H87" s="58"/>
      <c r="I87" s="58"/>
      <c r="J87" s="58"/>
      <c r="K87" s="58"/>
      <c r="L87" s="58"/>
      <c r="M87" s="58"/>
      <c r="N87" s="58"/>
      <c r="O87" s="58"/>
      <c r="P87" s="58"/>
    </row>
    <row r="88" spans="1:16" ht="15.6">
      <c r="A88" s="58" t="s">
        <v>18</v>
      </c>
      <c r="B88" s="180" t="s">
        <v>18</v>
      </c>
      <c r="C88" s="58"/>
      <c r="D88" s="58"/>
      <c r="E88" s="58" t="s">
        <v>185</v>
      </c>
      <c r="F88" s="58"/>
      <c r="G88" s="58"/>
      <c r="H88" s="58"/>
      <c r="I88" s="58"/>
      <c r="J88" s="58"/>
      <c r="K88" s="58"/>
      <c r="L88" s="58"/>
      <c r="M88" s="58"/>
      <c r="N88" s="58"/>
      <c r="O88" s="58"/>
      <c r="P88" s="58"/>
    </row>
    <row r="89" spans="1:16" ht="15.6">
      <c r="A89" s="181" t="s">
        <v>19</v>
      </c>
      <c r="B89" s="58"/>
      <c r="C89" s="58"/>
      <c r="D89" s="58"/>
      <c r="E89" s="58"/>
      <c r="F89" s="58"/>
      <c r="G89" s="58"/>
      <c r="H89" s="58"/>
      <c r="I89" s="58"/>
      <c r="J89" s="58"/>
      <c r="K89" s="58"/>
      <c r="L89" s="58"/>
      <c r="M89" s="58"/>
      <c r="N89" s="58"/>
      <c r="O89" s="58"/>
      <c r="P89" s="58"/>
    </row>
    <row r="90" spans="1:16" ht="15.6">
      <c r="A90" s="181" t="s">
        <v>20</v>
      </c>
      <c r="B90" s="181" t="s">
        <v>21</v>
      </c>
      <c r="C90" s="181" t="s">
        <v>186</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187</v>
      </c>
    </row>
    <row r="91" spans="1:16" ht="15.6">
      <c r="A91" s="180" t="str">
        <f>B81</f>
        <v>Electrolyser EoL, H2 plant construction EoL, SOFC-bat</v>
      </c>
      <c r="B91" s="180">
        <v>1</v>
      </c>
      <c r="C91" s="180"/>
      <c r="D91" s="180" t="s">
        <v>18</v>
      </c>
      <c r="E91" s="27" t="s">
        <v>2</v>
      </c>
      <c r="F91" s="58" t="s">
        <v>1450</v>
      </c>
      <c r="G91" s="180" t="s">
        <v>59</v>
      </c>
      <c r="H91" s="58" t="s">
        <v>30</v>
      </c>
      <c r="I91" s="58">
        <v>0</v>
      </c>
      <c r="J91" s="180" t="s">
        <v>31</v>
      </c>
      <c r="K91" s="180" t="s">
        <v>31</v>
      </c>
      <c r="L91" s="180" t="s">
        <v>31</v>
      </c>
      <c r="M91" s="180" t="s">
        <v>31</v>
      </c>
      <c r="N91" s="180" t="s">
        <v>31</v>
      </c>
      <c r="O91" s="180"/>
      <c r="P91" s="58"/>
    </row>
    <row r="92" spans="1:16" s="198" customFormat="1" ht="15.6">
      <c r="A92" s="198" t="str">
        <f>A12</f>
        <v>treatment of aluminium, H2 plant construction EoL, SOFC-bat</v>
      </c>
      <c r="B92" s="198">
        <v>96777.638855030091</v>
      </c>
      <c r="D92" s="199" t="s">
        <v>37</v>
      </c>
      <c r="E92" s="27" t="s">
        <v>2</v>
      </c>
      <c r="F92" s="200" t="s">
        <v>1450</v>
      </c>
      <c r="G92" s="199" t="s">
        <v>59</v>
      </c>
      <c r="H92" s="198" t="s">
        <v>33</v>
      </c>
      <c r="I92" s="200">
        <v>0</v>
      </c>
      <c r="J92" s="199" t="s">
        <v>31</v>
      </c>
      <c r="K92" s="199" t="s">
        <v>31</v>
      </c>
      <c r="L92" s="199" t="s">
        <v>31</v>
      </c>
      <c r="M92" s="199" t="s">
        <v>31</v>
      </c>
      <c r="N92" s="199" t="s">
        <v>31</v>
      </c>
      <c r="O92" s="198" t="s">
        <v>1463</v>
      </c>
    </row>
    <row r="93" spans="1:16" s="198" customFormat="1" ht="15.6">
      <c r="A93" s="198" t="str">
        <f>A27</f>
        <v>treatment of copper, H2 plant construction EoL, SOFC-bat</v>
      </c>
      <c r="B93" s="198">
        <v>61559.795896978147</v>
      </c>
      <c r="D93" s="199" t="s">
        <v>37</v>
      </c>
      <c r="E93" s="27" t="s">
        <v>2</v>
      </c>
      <c r="F93" s="200" t="s">
        <v>1450</v>
      </c>
      <c r="G93" s="199" t="s">
        <v>59</v>
      </c>
      <c r="H93" s="198" t="s">
        <v>33</v>
      </c>
      <c r="I93" s="200">
        <v>0</v>
      </c>
      <c r="J93" s="199" t="s">
        <v>31</v>
      </c>
      <c r="K93" s="199" t="s">
        <v>31</v>
      </c>
      <c r="L93" s="199" t="s">
        <v>31</v>
      </c>
      <c r="M93" s="199" t="s">
        <v>31</v>
      </c>
      <c r="N93" s="199" t="s">
        <v>31</v>
      </c>
      <c r="O93" s="198" t="s">
        <v>1464</v>
      </c>
    </row>
    <row r="94" spans="1:16" s="198" customFormat="1" ht="15.6">
      <c r="A94" s="198" t="str">
        <f>A55</f>
        <v>treatment of composites, H2 plant construction EoL, SOFC-bat</v>
      </c>
      <c r="B94" s="198">
        <v>10059.696843640051</v>
      </c>
      <c r="D94" s="199" t="s">
        <v>37</v>
      </c>
      <c r="E94" s="27" t="s">
        <v>2</v>
      </c>
      <c r="F94" s="200" t="s">
        <v>1450</v>
      </c>
      <c r="G94" s="199" t="s">
        <v>59</v>
      </c>
      <c r="H94" s="198" t="s">
        <v>33</v>
      </c>
      <c r="I94" s="200">
        <v>0</v>
      </c>
      <c r="J94" s="199" t="s">
        <v>31</v>
      </c>
      <c r="K94" s="199" t="s">
        <v>31</v>
      </c>
      <c r="L94" s="199" t="s">
        <v>31</v>
      </c>
      <c r="M94" s="199" t="s">
        <v>31</v>
      </c>
      <c r="N94" s="199" t="s">
        <v>31</v>
      </c>
      <c r="O94" s="198" t="s">
        <v>1465</v>
      </c>
    </row>
    <row r="95" spans="1:16" s="198" customFormat="1" ht="15.6">
      <c r="A95" s="198" t="str">
        <f>A55</f>
        <v>treatment of composites, H2 plant construction EoL, SOFC-bat</v>
      </c>
      <c r="B95" s="198">
        <v>9077.6155077441035</v>
      </c>
      <c r="D95" s="199" t="s">
        <v>37</v>
      </c>
      <c r="E95" s="27" t="s">
        <v>2</v>
      </c>
      <c r="F95" s="200" t="s">
        <v>1450</v>
      </c>
      <c r="G95" s="199" t="s">
        <v>59</v>
      </c>
      <c r="H95" s="198" t="s">
        <v>33</v>
      </c>
      <c r="I95" s="200">
        <v>0</v>
      </c>
      <c r="J95" s="199" t="s">
        <v>31</v>
      </c>
      <c r="K95" s="199" t="s">
        <v>31</v>
      </c>
      <c r="L95" s="199" t="s">
        <v>31</v>
      </c>
      <c r="M95" s="199" t="s">
        <v>31</v>
      </c>
      <c r="N95" s="199" t="s">
        <v>31</v>
      </c>
      <c r="O95" s="198" t="s">
        <v>1466</v>
      </c>
    </row>
    <row r="96" spans="1:16" s="198" customFormat="1" ht="15.6">
      <c r="A96" s="198" t="str">
        <f>A55</f>
        <v>treatment of composites, H2 plant construction EoL, SOFC-bat</v>
      </c>
      <c r="B96" s="198">
        <v>8563.0795206679304</v>
      </c>
      <c r="D96" s="199" t="s">
        <v>37</v>
      </c>
      <c r="E96" s="27" t="s">
        <v>2</v>
      </c>
      <c r="F96" s="200" t="s">
        <v>1450</v>
      </c>
      <c r="G96" s="199" t="s">
        <v>59</v>
      </c>
      <c r="H96" s="198" t="s">
        <v>33</v>
      </c>
      <c r="I96" s="200">
        <v>0</v>
      </c>
      <c r="J96" s="199" t="s">
        <v>31</v>
      </c>
      <c r="K96" s="199" t="s">
        <v>31</v>
      </c>
      <c r="L96" s="199" t="s">
        <v>31</v>
      </c>
      <c r="M96" s="199" t="s">
        <v>31</v>
      </c>
      <c r="N96" s="199" t="s">
        <v>31</v>
      </c>
      <c r="O96" s="198" t="s">
        <v>1467</v>
      </c>
    </row>
    <row r="97" spans="1:15" s="198" customFormat="1" ht="15.6">
      <c r="A97" s="198" t="str">
        <f>A55</f>
        <v>treatment of composites, H2 plant construction EoL, SOFC-bat</v>
      </c>
      <c r="B97" s="198">
        <v>8801.6000000000022</v>
      </c>
      <c r="D97" s="199" t="s">
        <v>37</v>
      </c>
      <c r="E97" s="27" t="s">
        <v>2</v>
      </c>
      <c r="F97" s="200" t="s">
        <v>1450</v>
      </c>
      <c r="G97" s="199" t="s">
        <v>59</v>
      </c>
      <c r="H97" s="198" t="s">
        <v>33</v>
      </c>
      <c r="I97" s="200">
        <v>0</v>
      </c>
      <c r="J97" s="199" t="s">
        <v>31</v>
      </c>
      <c r="K97" s="199" t="s">
        <v>31</v>
      </c>
      <c r="L97" s="199" t="s">
        <v>31</v>
      </c>
      <c r="M97" s="199" t="s">
        <v>31</v>
      </c>
      <c r="N97" s="199" t="s">
        <v>31</v>
      </c>
      <c r="O97" s="198" t="s">
        <v>1468</v>
      </c>
    </row>
    <row r="98" spans="1:15" s="198" customFormat="1" ht="15.6">
      <c r="A98" s="198" t="str">
        <f>A41</f>
        <v>treatment of steel, H2 plant construction EoL, SOFC-bat</v>
      </c>
      <c r="B98" s="198">
        <v>1246836.374252934</v>
      </c>
      <c r="D98" s="199" t="s">
        <v>37</v>
      </c>
      <c r="E98" s="27" t="s">
        <v>2</v>
      </c>
      <c r="F98" s="200" t="s">
        <v>1450</v>
      </c>
      <c r="G98" s="199" t="s">
        <v>59</v>
      </c>
      <c r="H98" s="198" t="s">
        <v>33</v>
      </c>
      <c r="I98" s="200">
        <v>0</v>
      </c>
      <c r="J98" s="199" t="s">
        <v>31</v>
      </c>
      <c r="K98" s="199" t="s">
        <v>31</v>
      </c>
      <c r="L98" s="199" t="s">
        <v>31</v>
      </c>
      <c r="M98" s="199" t="s">
        <v>31</v>
      </c>
      <c r="N98" s="199" t="s">
        <v>31</v>
      </c>
      <c r="O98" s="198" t="s">
        <v>356</v>
      </c>
    </row>
    <row r="99" spans="1:15" s="198" customFormat="1" ht="15.6">
      <c r="A99" s="198" t="str">
        <f>A55</f>
        <v>treatment of composites, H2 plant construction EoL, SOFC-bat</v>
      </c>
      <c r="B99" s="198">
        <v>52819.200000000004</v>
      </c>
      <c r="D99" s="199" t="s">
        <v>37</v>
      </c>
      <c r="E99" s="27" t="s">
        <v>2</v>
      </c>
      <c r="F99" s="200" t="s">
        <v>1450</v>
      </c>
      <c r="G99" s="199" t="s">
        <v>59</v>
      </c>
      <c r="H99" s="198" t="s">
        <v>33</v>
      </c>
      <c r="I99" s="200">
        <v>0</v>
      </c>
      <c r="J99" s="199" t="s">
        <v>31</v>
      </c>
      <c r="K99" s="199" t="s">
        <v>31</v>
      </c>
      <c r="L99" s="199" t="s">
        <v>31</v>
      </c>
      <c r="M99" s="199" t="s">
        <v>31</v>
      </c>
      <c r="N99" s="199" t="s">
        <v>31</v>
      </c>
      <c r="O99" s="198" t="s">
        <v>1469</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60AAE-81CF-4185-B377-B3F19AA0ABC5}">
  <dimension ref="A1:O18"/>
  <sheetViews>
    <sheetView workbookViewId="0">
      <selection activeCell="H21" sqref="H21"/>
    </sheetView>
  </sheetViews>
  <sheetFormatPr defaultRowHeight="14.45"/>
  <cols>
    <col min="1" max="1" width="36" bestFit="1" customWidth="1"/>
    <col min="2" max="2" width="54.28515625" bestFit="1" customWidth="1"/>
  </cols>
  <sheetData>
    <row r="1" spans="1:15" s="24" customFormat="1">
      <c r="A1" s="24" t="s">
        <v>0</v>
      </c>
      <c r="B1" s="24">
        <v>13</v>
      </c>
      <c r="C1" s="25"/>
      <c r="O1" s="27" t="str">
        <f ca="1">UPPER(CONCATENATE(DEC2HEX(RANDBETWEEN(0,POWER(16,8)),8),DEC2HEX(RANDBETWEEN(0,POWER(16,4)),4),"4",DEC2HEX(RANDBETWEEN(0,POWER(16,3)),3),DEC2HEX(RANDBETWEEN(8,11)),DEC2HEX(RANDBETWEEN(0,POWER(16,3)),3),DEC2HEX(RANDBETWEEN(0,POWER(16,8)),8),DEC2HEX(RANDBETWEEN(0,POWER(16,4)),4)))</f>
        <v>27B993B86D8B453E8E3A778C542D5619</v>
      </c>
    </row>
    <row r="2" spans="1:15" s="24" customFormat="1" ht="15.6">
      <c r="A2" s="28" t="s">
        <v>5</v>
      </c>
      <c r="B2" s="28" t="s">
        <v>1366</v>
      </c>
      <c r="C2" s="29"/>
      <c r="D2" s="30"/>
      <c r="E2" s="30"/>
      <c r="F2" s="30"/>
      <c r="G2" s="30"/>
      <c r="H2" s="30"/>
      <c r="I2" s="30"/>
      <c r="J2" s="30"/>
      <c r="K2" s="30"/>
      <c r="L2" s="30"/>
      <c r="M2" s="30"/>
      <c r="N2" s="30"/>
    </row>
    <row r="3" spans="1:15" s="27" customFormat="1" ht="12.95">
      <c r="A3" s="27" t="s">
        <v>7</v>
      </c>
      <c r="B3" s="27" t="s">
        <v>1353</v>
      </c>
    </row>
    <row r="4" spans="1:15" s="27" customFormat="1" ht="12.95">
      <c r="A4" s="27" t="s">
        <v>9</v>
      </c>
      <c r="B4" s="27" t="s">
        <v>1470</v>
      </c>
    </row>
    <row r="5" spans="1:15" s="27" customFormat="1" ht="39">
      <c r="A5" s="27" t="s">
        <v>11</v>
      </c>
      <c r="B5" s="196" t="s">
        <v>1471</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s="24" customFormat="1" ht="15.6">
      <c r="A10" s="26" t="s">
        <v>19</v>
      </c>
    </row>
    <row r="11" spans="1:15" s="24" customFormat="1"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2.95">
      <c r="A12" s="27" t="s">
        <v>1366</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27" t="s">
        <v>1411</v>
      </c>
      <c r="B13" s="27">
        <v>380000</v>
      </c>
      <c r="C13" s="27" t="s">
        <v>37</v>
      </c>
      <c r="D13" s="27" t="s">
        <v>40</v>
      </c>
      <c r="E13" s="27" t="s">
        <v>29</v>
      </c>
      <c r="F13" s="27" t="s">
        <v>59</v>
      </c>
      <c r="G13" s="27" t="s">
        <v>33</v>
      </c>
      <c r="H13" s="27">
        <v>2</v>
      </c>
      <c r="I13" s="27">
        <f>LN(B13)</f>
        <v>12.847926531702569</v>
      </c>
      <c r="J13" s="27">
        <v>1.2523227161918644</v>
      </c>
      <c r="K13" s="27" t="s">
        <v>31</v>
      </c>
      <c r="L13" s="27" t="s">
        <v>31</v>
      </c>
      <c r="M13" s="27" t="s">
        <v>31</v>
      </c>
    </row>
    <row r="14" spans="1:15">
      <c r="A14" s="27" t="s">
        <v>738</v>
      </c>
      <c r="B14" s="27">
        <v>595000</v>
      </c>
      <c r="C14" s="27" t="s">
        <v>37</v>
      </c>
      <c r="D14" s="27" t="s">
        <v>40</v>
      </c>
      <c r="E14" s="27" t="s">
        <v>29</v>
      </c>
      <c r="F14" s="27" t="s">
        <v>59</v>
      </c>
      <c r="G14" s="27" t="s">
        <v>33</v>
      </c>
      <c r="H14" s="27">
        <v>2</v>
      </c>
      <c r="I14" s="27">
        <f>LN(B14)</f>
        <v>13.296316684527767</v>
      </c>
      <c r="J14" s="27">
        <v>1.2523227161918644</v>
      </c>
      <c r="K14" s="27" t="s">
        <v>31</v>
      </c>
      <c r="L14" s="27" t="s">
        <v>31</v>
      </c>
      <c r="M14" s="27" t="s">
        <v>31</v>
      </c>
    </row>
    <row r="15" spans="1:15">
      <c r="A15" s="27" t="s">
        <v>120</v>
      </c>
      <c r="B15" s="27">
        <v>150000</v>
      </c>
      <c r="C15" s="27" t="s">
        <v>37</v>
      </c>
      <c r="D15" s="27" t="s">
        <v>40</v>
      </c>
      <c r="E15" s="27" t="s">
        <v>29</v>
      </c>
      <c r="F15" s="27" t="s">
        <v>59</v>
      </c>
      <c r="G15" s="27" t="s">
        <v>33</v>
      </c>
      <c r="H15" s="27">
        <v>2</v>
      </c>
      <c r="I15" s="27">
        <f>LN(B15)</f>
        <v>11.918390573078392</v>
      </c>
      <c r="J15" s="27">
        <v>1.2523227161918644</v>
      </c>
      <c r="K15" s="27" t="s">
        <v>31</v>
      </c>
      <c r="L15" s="27" t="s">
        <v>31</v>
      </c>
      <c r="M15" s="27" t="s">
        <v>31</v>
      </c>
    </row>
    <row r="16" spans="1:15">
      <c r="A16" s="27" t="s">
        <v>85</v>
      </c>
      <c r="B16" s="27">
        <v>140000</v>
      </c>
      <c r="C16" s="27" t="s">
        <v>37</v>
      </c>
      <c r="D16" s="27" t="s">
        <v>40</v>
      </c>
      <c r="E16" s="27" t="s">
        <v>29</v>
      </c>
      <c r="F16" s="27" t="s">
        <v>59</v>
      </c>
      <c r="G16" s="27" t="s">
        <v>33</v>
      </c>
      <c r="H16" s="27">
        <v>2</v>
      </c>
      <c r="I16" s="27">
        <f>LN(B16)</f>
        <v>11.849397701591441</v>
      </c>
      <c r="J16" s="27">
        <v>1.2523227161918644</v>
      </c>
      <c r="K16" s="27" t="s">
        <v>31</v>
      </c>
      <c r="L16" s="27" t="s">
        <v>31</v>
      </c>
      <c r="M16" s="27" t="s">
        <v>31</v>
      </c>
    </row>
    <row r="17" spans="1:13">
      <c r="A17" s="27" t="s">
        <v>1472</v>
      </c>
      <c r="B17" s="27">
        <v>23.31</v>
      </c>
      <c r="C17" s="27" t="s">
        <v>42</v>
      </c>
      <c r="D17" s="27" t="s">
        <v>40</v>
      </c>
      <c r="E17" s="27" t="s">
        <v>29</v>
      </c>
      <c r="F17" s="27" t="s">
        <v>59</v>
      </c>
      <c r="G17" s="27" t="s">
        <v>33</v>
      </c>
      <c r="H17" s="27">
        <v>2</v>
      </c>
      <c r="I17" s="27">
        <f>LN(B17)</f>
        <v>3.1488824530476656</v>
      </c>
      <c r="J17" s="27">
        <v>1.2523227161918644</v>
      </c>
      <c r="K17" s="27" t="s">
        <v>31</v>
      </c>
      <c r="L17" s="27" t="s">
        <v>31</v>
      </c>
      <c r="M17" s="27" t="s">
        <v>31</v>
      </c>
    </row>
    <row r="18" spans="1:13">
      <c r="A18" t="s">
        <v>1473</v>
      </c>
      <c r="B18" s="27">
        <v>1</v>
      </c>
      <c r="C18" s="27" t="s">
        <v>18</v>
      </c>
      <c r="D18" s="27">
        <v>1</v>
      </c>
      <c r="E18" s="27" t="s">
        <v>29</v>
      </c>
      <c r="F18" s="27" t="s">
        <v>59</v>
      </c>
      <c r="G18" s="27" t="s">
        <v>33</v>
      </c>
      <c r="H18" s="27">
        <v>1</v>
      </c>
      <c r="I18" s="27">
        <v>1</v>
      </c>
      <c r="J18" s="27" t="s">
        <v>31</v>
      </c>
      <c r="K18" s="27" t="s">
        <v>31</v>
      </c>
      <c r="L18" s="27" t="s">
        <v>31</v>
      </c>
      <c r="M18" s="27" t="s">
        <v>31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CB52-E378-4149-8E64-C850F4113ABF}">
  <dimension ref="A1:U80"/>
  <sheetViews>
    <sheetView topLeftCell="A50" zoomScale="85" zoomScaleNormal="85" workbookViewId="0">
      <selection activeCell="D51" sqref="D51:D53"/>
    </sheetView>
  </sheetViews>
  <sheetFormatPr defaultRowHeight="14.45"/>
  <cols>
    <col min="1" max="1" width="40" bestFit="1" customWidth="1"/>
    <col min="3" max="3" width="10.140625" bestFit="1" customWidth="1"/>
    <col min="4" max="4" width="28.85546875" bestFit="1" customWidth="1"/>
    <col min="5" max="5" width="31.28515625" bestFit="1" customWidth="1"/>
  </cols>
  <sheetData>
    <row r="1" spans="1:16">
      <c r="A1" t="s">
        <v>0</v>
      </c>
      <c r="B1">
        <v>14</v>
      </c>
    </row>
    <row r="2" spans="1:16" s="73" customFormat="1" ht="15.6">
      <c r="A2" s="178" t="s">
        <v>5</v>
      </c>
      <c r="B2" s="178" t="s">
        <v>1474</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tr">
        <f ca="1">UPPER(CONCATENATE(DEC2HEX(RANDBETWEEN(0,POWER(16,8)),8),DEC2HEX(RANDBETWEEN(0,POWER(16,4)),4),"4",DEC2HEX(RANDBETWEEN(0,POWER(16,3)),3),DEC2HEX(RANDBETWEEN(8,11)),DEC2HEX(RANDBETWEEN(0,POWER(16,3)),3),DEC2HEX(RANDBETWEEN(0,POWER(16,8)),8),DEC2HEX(RANDBETWEEN(0,POWER(16,4)),4)))</f>
        <v>C720F92BF4704D4EB77A928DA1BE0C91</v>
      </c>
      <c r="C4" s="58"/>
      <c r="D4" s="58"/>
      <c r="E4" s="58"/>
      <c r="F4" s="58"/>
      <c r="G4" s="58"/>
      <c r="H4" s="58"/>
      <c r="I4" s="58"/>
      <c r="J4" s="58"/>
      <c r="K4" s="58"/>
      <c r="L4" s="58"/>
      <c r="M4" s="58"/>
      <c r="N4" s="58"/>
      <c r="O4" s="58"/>
      <c r="P4" s="58"/>
    </row>
    <row r="5" spans="1:16">
      <c r="A5" s="58" t="s">
        <v>11</v>
      </c>
      <c r="B5" s="58" t="s">
        <v>1475</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 H2 liquefaction, SOFC-bat</v>
      </c>
      <c r="B12" s="180">
        <v>1</v>
      </c>
      <c r="C12" s="180"/>
      <c r="D12" s="180" t="s">
        <v>37</v>
      </c>
      <c r="E12" s="27" t="s">
        <v>2</v>
      </c>
      <c r="F12" s="58" t="s">
        <v>1476</v>
      </c>
      <c r="G12" s="180" t="s">
        <v>59</v>
      </c>
      <c r="H12" s="58" t="s">
        <v>30</v>
      </c>
      <c r="I12" s="58">
        <v>0</v>
      </c>
      <c r="J12" s="180" t="s">
        <v>31</v>
      </c>
      <c r="K12" s="180" t="s">
        <v>31</v>
      </c>
      <c r="L12" s="180" t="s">
        <v>31</v>
      </c>
      <c r="M12" s="180" t="s">
        <v>31</v>
      </c>
      <c r="N12" s="180" t="s">
        <v>31</v>
      </c>
      <c r="O12" s="180" t="s">
        <v>391</v>
      </c>
      <c r="P12" s="58"/>
    </row>
    <row r="13" spans="1:16" ht="15.6">
      <c r="A13" t="s">
        <v>201</v>
      </c>
      <c r="B13" s="23">
        <v>0.85</v>
      </c>
      <c r="C13" s="180"/>
      <c r="D13" s="180" t="s">
        <v>37</v>
      </c>
      <c r="E13" s="37" t="s">
        <v>40</v>
      </c>
      <c r="F13" s="58" t="s">
        <v>1476</v>
      </c>
      <c r="G13" s="180" t="s">
        <v>82</v>
      </c>
      <c r="H13" s="58" t="s">
        <v>33</v>
      </c>
      <c r="I13" s="58">
        <v>0</v>
      </c>
      <c r="J13" s="180" t="s">
        <v>31</v>
      </c>
      <c r="K13" s="180" t="s">
        <v>31</v>
      </c>
      <c r="L13" s="180" t="s">
        <v>31</v>
      </c>
      <c r="M13" s="180" t="s">
        <v>31</v>
      </c>
      <c r="N13" s="180" t="s">
        <v>31</v>
      </c>
      <c r="O13" s="58"/>
      <c r="P13" s="58"/>
    </row>
    <row r="14" spans="1:16" ht="15.6">
      <c r="A14" t="s">
        <v>202</v>
      </c>
      <c r="B14" s="23">
        <v>0.85</v>
      </c>
      <c r="C14" s="22" t="s">
        <v>203</v>
      </c>
      <c r="D14" t="s">
        <v>37</v>
      </c>
      <c r="E14" s="188" t="s">
        <v>40</v>
      </c>
      <c r="F14" s="58" t="s">
        <v>1476</v>
      </c>
      <c r="G14" s="180" t="s">
        <v>82</v>
      </c>
      <c r="H14" s="58" t="s">
        <v>33</v>
      </c>
      <c r="I14" s="58">
        <v>0</v>
      </c>
      <c r="J14" s="180" t="s">
        <v>31</v>
      </c>
      <c r="K14" s="180" t="s">
        <v>31</v>
      </c>
      <c r="L14" s="180" t="s">
        <v>31</v>
      </c>
      <c r="M14" s="180" t="s">
        <v>31</v>
      </c>
      <c r="N14" s="180" t="s">
        <v>31</v>
      </c>
      <c r="O14" s="180" t="s">
        <v>287</v>
      </c>
    </row>
    <row r="15" spans="1:16" ht="15.6">
      <c r="A15" t="s">
        <v>205</v>
      </c>
      <c r="B15" s="23">
        <f>B14*0.9</f>
        <v>0.76500000000000001</v>
      </c>
      <c r="D15" t="s">
        <v>37</v>
      </c>
      <c r="E15" s="188" t="s">
        <v>40</v>
      </c>
      <c r="F15" s="58" t="s">
        <v>1476</v>
      </c>
      <c r="G15" t="s">
        <v>59</v>
      </c>
      <c r="H15" s="58" t="s">
        <v>136</v>
      </c>
      <c r="I15" s="58">
        <v>0</v>
      </c>
      <c r="J15" s="180" t="s">
        <v>31</v>
      </c>
      <c r="K15" s="180" t="s">
        <v>31</v>
      </c>
      <c r="L15" s="180" t="s">
        <v>31</v>
      </c>
      <c r="M15" s="180" t="s">
        <v>31</v>
      </c>
      <c r="N15" s="180" t="s">
        <v>31</v>
      </c>
      <c r="O15" s="58"/>
      <c r="P15" s="180" t="s">
        <v>311</v>
      </c>
    </row>
    <row r="16" spans="1:16" ht="15.6">
      <c r="A16" t="s">
        <v>210</v>
      </c>
      <c r="B16" s="23">
        <f>-(1-B15)</f>
        <v>-0.23499999999999999</v>
      </c>
      <c r="D16" t="s">
        <v>37</v>
      </c>
      <c r="E16" s="84" t="s">
        <v>40</v>
      </c>
      <c r="F16" s="58" t="s">
        <v>1476</v>
      </c>
      <c r="G16" t="s">
        <v>59</v>
      </c>
      <c r="H16" t="s">
        <v>33</v>
      </c>
      <c r="I16">
        <v>0</v>
      </c>
      <c r="J16" t="s">
        <v>31</v>
      </c>
      <c r="K16" t="s">
        <v>31</v>
      </c>
      <c r="L16" t="s">
        <v>31</v>
      </c>
      <c r="M16" t="s">
        <v>31</v>
      </c>
      <c r="N16" t="s">
        <v>31</v>
      </c>
      <c r="O16" s="17"/>
      <c r="P16" s="58"/>
    </row>
    <row r="17" spans="1:16" s="73" customFormat="1" ht="15.6">
      <c r="A17" s="178" t="s">
        <v>5</v>
      </c>
      <c r="B17" s="178" t="s">
        <v>1477</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1478</v>
      </c>
      <c r="C19" s="58"/>
      <c r="D19" s="58"/>
      <c r="E19" s="58"/>
      <c r="F19" s="58"/>
      <c r="G19" s="58"/>
      <c r="H19" s="58"/>
      <c r="I19" s="58"/>
      <c r="J19" s="58"/>
      <c r="K19" s="58"/>
      <c r="L19" s="58"/>
      <c r="M19" s="58"/>
      <c r="N19" s="58"/>
      <c r="O19" s="58"/>
      <c r="P19" s="58"/>
    </row>
    <row r="20" spans="1:16">
      <c r="A20" s="58" t="s">
        <v>11</v>
      </c>
      <c r="B20" s="58" t="s">
        <v>1475</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copper, H2 liquefaction, SOFC-bat</v>
      </c>
      <c r="B27" s="180">
        <v>1</v>
      </c>
      <c r="C27" s="180"/>
      <c r="D27" s="180" t="s">
        <v>37</v>
      </c>
      <c r="E27" s="27" t="s">
        <v>2</v>
      </c>
      <c r="F27" s="58" t="s">
        <v>1476</v>
      </c>
      <c r="G27" s="180" t="s">
        <v>59</v>
      </c>
      <c r="H27" s="58" t="s">
        <v>30</v>
      </c>
      <c r="I27" s="58">
        <v>0</v>
      </c>
      <c r="J27" s="180" t="s">
        <v>31</v>
      </c>
      <c r="K27" s="180" t="s">
        <v>31</v>
      </c>
      <c r="L27" s="180" t="s">
        <v>31</v>
      </c>
      <c r="M27" s="180" t="s">
        <v>31</v>
      </c>
      <c r="N27" s="180" t="s">
        <v>31</v>
      </c>
      <c r="O27" s="180" t="s">
        <v>394</v>
      </c>
      <c r="P27" s="58"/>
    </row>
    <row r="28" spans="1:16" ht="15.6">
      <c r="A28" t="s">
        <v>207</v>
      </c>
      <c r="B28" s="197">
        <f>B27</f>
        <v>1</v>
      </c>
      <c r="C28" t="s">
        <v>208</v>
      </c>
      <c r="D28" t="s">
        <v>37</v>
      </c>
      <c r="E28" s="188" t="s">
        <v>40</v>
      </c>
      <c r="F28" s="58" t="s">
        <v>1476</v>
      </c>
      <c r="G28" t="s">
        <v>82</v>
      </c>
      <c r="H28" t="s">
        <v>33</v>
      </c>
      <c r="I28" s="58">
        <v>0</v>
      </c>
      <c r="J28" s="180" t="s">
        <v>31</v>
      </c>
      <c r="K28" s="180" t="s">
        <v>31</v>
      </c>
      <c r="L28" s="180" t="s">
        <v>31</v>
      </c>
      <c r="M28" s="180" t="s">
        <v>31</v>
      </c>
      <c r="N28" s="180" t="s">
        <v>31</v>
      </c>
    </row>
    <row r="29" spans="1:16" ht="15.6">
      <c r="A29" t="s">
        <v>209</v>
      </c>
      <c r="B29">
        <f>0.9*B28</f>
        <v>0.9</v>
      </c>
      <c r="D29" t="s">
        <v>37</v>
      </c>
      <c r="E29" s="188" t="s">
        <v>40</v>
      </c>
      <c r="F29" s="58" t="s">
        <v>1476</v>
      </c>
      <c r="G29" t="s">
        <v>59</v>
      </c>
      <c r="H29" t="s">
        <v>136</v>
      </c>
      <c r="I29" s="58">
        <v>0</v>
      </c>
      <c r="J29" s="180" t="s">
        <v>31</v>
      </c>
      <c r="K29" s="180" t="s">
        <v>31</v>
      </c>
      <c r="L29" s="180" t="s">
        <v>31</v>
      </c>
      <c r="M29" s="180" t="s">
        <v>31</v>
      </c>
      <c r="N29" s="180" t="s">
        <v>31</v>
      </c>
      <c r="O29" s="58" t="s">
        <v>206</v>
      </c>
    </row>
    <row r="30" spans="1:16" ht="15.6">
      <c r="A30" t="s">
        <v>210</v>
      </c>
      <c r="B30" s="23">
        <f>-(1-B29)</f>
        <v>-9.9999999999999978E-2</v>
      </c>
      <c r="D30" t="s">
        <v>37</v>
      </c>
      <c r="E30" s="84" t="s">
        <v>40</v>
      </c>
      <c r="F30" s="58" t="s">
        <v>1476</v>
      </c>
      <c r="G30" t="s">
        <v>59</v>
      </c>
      <c r="H30" t="s">
        <v>33</v>
      </c>
      <c r="I30">
        <v>0</v>
      </c>
      <c r="J30" t="s">
        <v>31</v>
      </c>
      <c r="K30" t="s">
        <v>31</v>
      </c>
      <c r="L30" t="s">
        <v>31</v>
      </c>
      <c r="M30" t="s">
        <v>31</v>
      </c>
      <c r="N30" t="s">
        <v>31</v>
      </c>
      <c r="O30" s="17"/>
      <c r="P30" s="58"/>
    </row>
    <row r="31" spans="1:16" s="73" customFormat="1" ht="15.6">
      <c r="A31" s="178" t="s">
        <v>5</v>
      </c>
      <c r="B31" s="178" t="s">
        <v>1479</v>
      </c>
      <c r="C31" s="178"/>
      <c r="D31" s="74"/>
      <c r="E31" s="150"/>
      <c r="F31" s="150"/>
      <c r="G31" s="150"/>
      <c r="H31" s="150"/>
      <c r="I31" s="150"/>
      <c r="J31" s="150"/>
      <c r="K31" s="150"/>
      <c r="L31" s="150"/>
      <c r="M31" s="150"/>
      <c r="N31" s="150"/>
      <c r="O31" s="150"/>
      <c r="P31" s="150"/>
    </row>
    <row r="32" spans="1:16">
      <c r="A32" s="58" t="s">
        <v>7</v>
      </c>
      <c r="B32" s="58" t="s">
        <v>1447</v>
      </c>
      <c r="C32" s="58"/>
      <c r="D32" s="58"/>
      <c r="E32" s="58"/>
      <c r="F32" s="58"/>
      <c r="G32" s="58"/>
      <c r="H32" s="58"/>
      <c r="I32" s="58"/>
      <c r="J32" s="58"/>
      <c r="K32" s="58"/>
      <c r="L32" s="58"/>
      <c r="M32" s="58"/>
      <c r="N32" s="58"/>
      <c r="O32" s="58"/>
      <c r="P32" s="58"/>
    </row>
    <row r="33" spans="1:16">
      <c r="A33" s="58" t="s">
        <v>9</v>
      </c>
      <c r="B33" s="186" t="s">
        <v>1480</v>
      </c>
      <c r="C33" s="58"/>
      <c r="D33" s="58"/>
      <c r="E33" s="58"/>
      <c r="F33" s="58"/>
      <c r="G33" s="58"/>
      <c r="H33" s="58"/>
      <c r="I33" s="58"/>
      <c r="J33" s="58"/>
      <c r="K33" s="58"/>
      <c r="L33" s="58"/>
      <c r="M33" s="58"/>
      <c r="N33" s="58"/>
      <c r="O33" s="58"/>
      <c r="P33" s="58"/>
    </row>
    <row r="34" spans="1:16">
      <c r="A34" s="58" t="s">
        <v>11</v>
      </c>
      <c r="B34" s="58" t="s">
        <v>1475</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6">
      <c r="A38" s="58" t="s">
        <v>18</v>
      </c>
      <c r="B38" s="180" t="s">
        <v>37</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tr">
        <f>B31</f>
        <v>treatment of steel, H2 liquefaction, SOFC-bat</v>
      </c>
      <c r="B41" s="180">
        <v>1</v>
      </c>
      <c r="C41" s="180"/>
      <c r="D41" s="180" t="s">
        <v>37</v>
      </c>
      <c r="E41" s="27" t="s">
        <v>2</v>
      </c>
      <c r="F41" s="58" t="s">
        <v>1476</v>
      </c>
      <c r="G41" s="180" t="s">
        <v>59</v>
      </c>
      <c r="H41" s="58" t="s">
        <v>30</v>
      </c>
      <c r="I41" s="58">
        <v>0</v>
      </c>
      <c r="J41" s="180" t="s">
        <v>31</v>
      </c>
      <c r="K41" s="180" t="s">
        <v>31</v>
      </c>
      <c r="L41" s="180" t="s">
        <v>31</v>
      </c>
      <c r="M41" s="180" t="s">
        <v>31</v>
      </c>
      <c r="N41" s="180" t="s">
        <v>31</v>
      </c>
      <c r="O41" s="180" t="s">
        <v>339</v>
      </c>
      <c r="P41" s="58"/>
    </row>
    <row r="42" spans="1:16" ht="15.6">
      <c r="A42" t="s">
        <v>135</v>
      </c>
      <c r="B42" s="23">
        <v>0.85</v>
      </c>
      <c r="C42" s="180"/>
      <c r="D42" s="180" t="s">
        <v>37</v>
      </c>
      <c r="E42" s="84" t="s">
        <v>40</v>
      </c>
      <c r="F42" s="58" t="s">
        <v>1476</v>
      </c>
      <c r="G42" s="180" t="s">
        <v>82</v>
      </c>
      <c r="H42" s="58" t="s">
        <v>33</v>
      </c>
      <c r="I42" s="58">
        <v>0</v>
      </c>
      <c r="J42" s="180" t="s">
        <v>31</v>
      </c>
      <c r="K42" s="180" t="s">
        <v>31</v>
      </c>
      <c r="L42" s="180" t="s">
        <v>31</v>
      </c>
      <c r="M42" s="180" t="s">
        <v>31</v>
      </c>
      <c r="N42" s="180" t="s">
        <v>31</v>
      </c>
      <c r="O42" s="58"/>
      <c r="P42" s="58"/>
    </row>
    <row r="43" spans="1:16" ht="15.6">
      <c r="A43" t="s">
        <v>237</v>
      </c>
      <c r="B43" s="23">
        <f>0.9*B42</f>
        <v>0.76500000000000001</v>
      </c>
      <c r="C43" s="180"/>
      <c r="D43" s="180" t="s">
        <v>37</v>
      </c>
      <c r="E43" s="84" t="s">
        <v>40</v>
      </c>
      <c r="F43" s="58" t="s">
        <v>1476</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1476</v>
      </c>
      <c r="G44" t="s">
        <v>59</v>
      </c>
      <c r="H44" t="s">
        <v>33</v>
      </c>
      <c r="I44">
        <v>0</v>
      </c>
      <c r="J44" t="s">
        <v>31</v>
      </c>
      <c r="K44" t="s">
        <v>31</v>
      </c>
      <c r="L44" t="s">
        <v>31</v>
      </c>
      <c r="M44" t="s">
        <v>31</v>
      </c>
      <c r="N44" t="s">
        <v>31</v>
      </c>
      <c r="O44" s="17"/>
      <c r="P44" s="58" t="s">
        <v>319</v>
      </c>
    </row>
    <row r="45" spans="1:16" s="73" customFormat="1" ht="15.6">
      <c r="A45" s="178" t="s">
        <v>5</v>
      </c>
      <c r="B45" s="178" t="s">
        <v>1481</v>
      </c>
      <c r="C45" s="178"/>
      <c r="D45" s="74"/>
      <c r="E45" s="150"/>
      <c r="F45" s="150"/>
      <c r="G45" s="150"/>
      <c r="H45" s="150"/>
      <c r="I45" s="150"/>
      <c r="J45" s="150"/>
      <c r="K45" s="150"/>
      <c r="L45" s="150"/>
      <c r="M45" s="150"/>
      <c r="N45" s="150"/>
      <c r="O45" s="150"/>
      <c r="P45" s="150"/>
    </row>
    <row r="46" spans="1:16">
      <c r="A46" s="58" t="s">
        <v>7</v>
      </c>
      <c r="B46" s="58" t="s">
        <v>1447</v>
      </c>
      <c r="C46" s="58"/>
      <c r="D46" s="58"/>
      <c r="E46" s="58"/>
      <c r="F46" s="58"/>
      <c r="G46" s="58"/>
      <c r="H46" s="58"/>
      <c r="I46" s="58"/>
      <c r="J46" s="58"/>
      <c r="K46" s="58"/>
      <c r="L46" s="58"/>
      <c r="M46" s="58"/>
      <c r="N46" s="58"/>
      <c r="O46" s="58"/>
      <c r="P46" s="58"/>
    </row>
    <row r="47" spans="1:16">
      <c r="A47" s="58" t="s">
        <v>9</v>
      </c>
      <c r="B47" s="186" t="s">
        <v>1482</v>
      </c>
      <c r="C47" s="58"/>
      <c r="D47" s="58"/>
      <c r="E47" s="58"/>
      <c r="F47" s="58"/>
      <c r="G47" s="58"/>
      <c r="H47" s="58"/>
      <c r="I47" s="58"/>
      <c r="J47" s="58"/>
      <c r="K47" s="58"/>
      <c r="L47" s="58"/>
      <c r="M47" s="58"/>
      <c r="N47" s="58"/>
      <c r="O47" s="58"/>
      <c r="P47" s="58"/>
    </row>
    <row r="48" spans="1:16">
      <c r="A48" s="58" t="s">
        <v>11</v>
      </c>
      <c r="B48" s="58" t="s">
        <v>1475</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6">
      <c r="A52" s="58" t="s">
        <v>18</v>
      </c>
      <c r="B52" s="180" t="s">
        <v>37</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tr">
        <f>B45</f>
        <v>treatment of concrete, H2 liquefaction, SOFC-bat</v>
      </c>
      <c r="B55" s="180">
        <v>1</v>
      </c>
      <c r="C55" s="180"/>
      <c r="D55" s="180" t="s">
        <v>37</v>
      </c>
      <c r="E55" s="27" t="s">
        <v>2</v>
      </c>
      <c r="F55" s="58" t="s">
        <v>1476</v>
      </c>
      <c r="G55" s="180" t="s">
        <v>59</v>
      </c>
      <c r="H55" s="58" t="s">
        <v>30</v>
      </c>
      <c r="I55" s="58">
        <v>0</v>
      </c>
      <c r="J55" s="180" t="s">
        <v>31</v>
      </c>
      <c r="K55" s="180" t="s">
        <v>31</v>
      </c>
      <c r="L55" s="180" t="s">
        <v>31</v>
      </c>
      <c r="M55" s="180" t="s">
        <v>31</v>
      </c>
      <c r="N55" s="180" t="s">
        <v>31</v>
      </c>
      <c r="O55" s="180"/>
      <c r="P55" s="58"/>
    </row>
    <row r="56" spans="1:16" ht="15.6">
      <c r="A56" s="84" t="s">
        <v>1483</v>
      </c>
      <c r="B56">
        <v>-1</v>
      </c>
      <c r="D56" s="180" t="s">
        <v>37</v>
      </c>
      <c r="E56" s="27" t="s">
        <v>2</v>
      </c>
      <c r="F56" s="58" t="s">
        <v>1476</v>
      </c>
      <c r="G56" t="s">
        <v>82</v>
      </c>
      <c r="H56" t="s">
        <v>33</v>
      </c>
      <c r="I56" s="58">
        <v>0</v>
      </c>
      <c r="J56" s="180" t="s">
        <v>31</v>
      </c>
      <c r="K56" s="180" t="s">
        <v>31</v>
      </c>
      <c r="L56" s="180" t="s">
        <v>31</v>
      </c>
      <c r="M56" s="180" t="s">
        <v>31</v>
      </c>
      <c r="N56" s="180" t="s">
        <v>31</v>
      </c>
    </row>
    <row r="57" spans="1:16" s="73" customFormat="1" ht="15.6">
      <c r="A57" s="178" t="s">
        <v>5</v>
      </c>
      <c r="B57" s="178" t="s">
        <v>1473</v>
      </c>
      <c r="C57" s="178"/>
      <c r="D57" s="74"/>
      <c r="E57" s="150"/>
      <c r="F57" s="150"/>
      <c r="G57" s="150"/>
      <c r="H57" s="150"/>
      <c r="I57" s="150"/>
      <c r="J57" s="150"/>
      <c r="K57" s="150"/>
      <c r="L57" s="150"/>
      <c r="M57" s="150"/>
      <c r="N57" s="150"/>
      <c r="O57" s="150"/>
      <c r="P57" s="150"/>
    </row>
    <row r="58" spans="1:16">
      <c r="A58" s="58" t="s">
        <v>7</v>
      </c>
      <c r="B58" s="58" t="s">
        <v>1447</v>
      </c>
      <c r="C58" s="58"/>
      <c r="D58" s="58"/>
      <c r="E58" s="58"/>
      <c r="F58" s="58"/>
      <c r="G58" s="58"/>
      <c r="H58" s="58"/>
      <c r="I58" s="58"/>
      <c r="J58" s="58"/>
      <c r="K58" s="58"/>
      <c r="L58" s="58"/>
      <c r="M58" s="58"/>
      <c r="N58" s="58"/>
      <c r="O58" s="58"/>
      <c r="P58" s="58"/>
    </row>
    <row r="59" spans="1:16">
      <c r="A59" s="58" t="s">
        <v>9</v>
      </c>
      <c r="B59" s="186" t="s">
        <v>1484</v>
      </c>
      <c r="C59" s="58"/>
      <c r="D59" s="58"/>
      <c r="E59" s="58"/>
      <c r="F59" s="58"/>
      <c r="G59" s="58"/>
      <c r="H59" s="58"/>
      <c r="I59" s="58"/>
      <c r="J59" s="58"/>
      <c r="K59" s="58"/>
      <c r="L59" s="58"/>
      <c r="M59" s="58"/>
      <c r="N59" s="58"/>
      <c r="O59" s="58"/>
      <c r="P59" s="58"/>
    </row>
    <row r="60" spans="1:16">
      <c r="A60" s="58" t="s">
        <v>11</v>
      </c>
      <c r="B60" s="58" t="s">
        <v>1475</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6">
      <c r="A64" s="58" t="s">
        <v>18</v>
      </c>
      <c r="B64" s="180" t="s">
        <v>18</v>
      </c>
      <c r="C64" s="58"/>
      <c r="D64" s="58"/>
      <c r="E64" s="58" t="s">
        <v>185</v>
      </c>
      <c r="F64" s="58"/>
      <c r="G64" s="58"/>
      <c r="H64" s="58"/>
      <c r="I64" s="58"/>
      <c r="J64" s="58"/>
      <c r="K64" s="58"/>
      <c r="L64" s="58"/>
      <c r="M64" s="58"/>
      <c r="N64" s="58"/>
      <c r="O64" s="58"/>
      <c r="P64" s="58"/>
    </row>
    <row r="65" spans="1:21" ht="15.6">
      <c r="A65" s="181" t="s">
        <v>19</v>
      </c>
      <c r="B65" s="58"/>
      <c r="C65" s="58"/>
      <c r="D65" s="58"/>
      <c r="E65" s="58"/>
      <c r="F65" s="58"/>
      <c r="G65" s="58"/>
      <c r="H65" s="58"/>
      <c r="I65" s="58"/>
      <c r="J65" s="58"/>
      <c r="K65" s="58"/>
      <c r="L65" s="58"/>
      <c r="M65" s="58"/>
      <c r="N65" s="58"/>
      <c r="O65" s="58"/>
      <c r="P65" s="58"/>
    </row>
    <row r="66" spans="1:21"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21" ht="15.6">
      <c r="A67" s="180" t="str">
        <f>B57</f>
        <v>treatment of H2 liquefaction system, H2 liquefaction, SOFC-bat</v>
      </c>
      <c r="B67" s="180">
        <v>1</v>
      </c>
      <c r="C67" s="180"/>
      <c r="D67" s="180" t="s">
        <v>18</v>
      </c>
      <c r="E67" s="27" t="s">
        <v>2</v>
      </c>
      <c r="F67" s="58" t="s">
        <v>1476</v>
      </c>
      <c r="G67" s="180" t="s">
        <v>59</v>
      </c>
      <c r="H67" s="58" t="s">
        <v>30</v>
      </c>
      <c r="I67" s="58">
        <v>0</v>
      </c>
      <c r="J67" s="180" t="s">
        <v>31</v>
      </c>
      <c r="K67" s="180" t="s">
        <v>31</v>
      </c>
      <c r="L67" s="180" t="s">
        <v>31</v>
      </c>
      <c r="M67" s="180" t="s">
        <v>31</v>
      </c>
      <c r="N67" s="180" t="s">
        <v>31</v>
      </c>
      <c r="O67" s="180"/>
      <c r="P67" s="58"/>
    </row>
    <row r="68" spans="1:21" ht="15.6">
      <c r="A68" t="s">
        <v>1481</v>
      </c>
      <c r="B68">
        <f>T68</f>
        <v>53636</v>
      </c>
      <c r="D68" s="180" t="s">
        <v>37</v>
      </c>
      <c r="E68" s="27" t="s">
        <v>2</v>
      </c>
      <c r="F68" t="s">
        <v>1476</v>
      </c>
      <c r="G68" t="s">
        <v>59</v>
      </c>
      <c r="H68" t="s">
        <v>30</v>
      </c>
      <c r="I68">
        <v>0</v>
      </c>
      <c r="J68" t="s">
        <v>31</v>
      </c>
      <c r="K68" t="s">
        <v>31</v>
      </c>
      <c r="L68" t="s">
        <v>31</v>
      </c>
      <c r="M68" t="s">
        <v>31</v>
      </c>
      <c r="N68" t="s">
        <v>31</v>
      </c>
      <c r="P68" t="s">
        <v>1485</v>
      </c>
      <c r="S68" t="s">
        <v>1486</v>
      </c>
      <c r="T68">
        <f>23.32*2300</f>
        <v>53636</v>
      </c>
      <c r="U68" t="s">
        <v>275</v>
      </c>
    </row>
    <row r="69" spans="1:21" ht="15.6">
      <c r="A69" t="s">
        <v>1479</v>
      </c>
      <c r="B69">
        <v>975000</v>
      </c>
      <c r="D69" s="180" t="s">
        <v>37</v>
      </c>
      <c r="E69" s="27" t="s">
        <v>2</v>
      </c>
      <c r="F69" t="s">
        <v>1476</v>
      </c>
      <c r="G69" t="s">
        <v>59</v>
      </c>
      <c r="H69" t="s">
        <v>30</v>
      </c>
      <c r="I69">
        <v>0</v>
      </c>
      <c r="J69" t="s">
        <v>31</v>
      </c>
      <c r="K69" t="s">
        <v>31</v>
      </c>
      <c r="L69" t="s">
        <v>31</v>
      </c>
      <c r="M69" t="s">
        <v>31</v>
      </c>
      <c r="N69" t="s">
        <v>31</v>
      </c>
    </row>
    <row r="70" spans="1:21" ht="15.6">
      <c r="A70" t="s">
        <v>1477</v>
      </c>
      <c r="B70" s="27">
        <v>150000</v>
      </c>
      <c r="D70" s="180" t="s">
        <v>37</v>
      </c>
      <c r="E70" s="27" t="s">
        <v>2</v>
      </c>
      <c r="F70" t="s">
        <v>1476</v>
      </c>
      <c r="G70" t="s">
        <v>59</v>
      </c>
      <c r="H70" t="s">
        <v>30</v>
      </c>
      <c r="I70">
        <v>0</v>
      </c>
      <c r="J70" t="s">
        <v>31</v>
      </c>
      <c r="K70" t="s">
        <v>31</v>
      </c>
      <c r="L70" t="s">
        <v>31</v>
      </c>
      <c r="M70" t="s">
        <v>31</v>
      </c>
      <c r="N70" t="s">
        <v>31</v>
      </c>
    </row>
    <row r="71" spans="1:21" ht="15.6">
      <c r="A71" t="s">
        <v>1474</v>
      </c>
      <c r="B71" s="27">
        <v>140000</v>
      </c>
      <c r="D71" s="180" t="s">
        <v>37</v>
      </c>
      <c r="E71" s="27" t="s">
        <v>2</v>
      </c>
      <c r="F71" t="s">
        <v>1476</v>
      </c>
      <c r="G71" t="s">
        <v>59</v>
      </c>
      <c r="H71" t="s">
        <v>30</v>
      </c>
      <c r="I71">
        <v>0</v>
      </c>
      <c r="J71" t="s">
        <v>31</v>
      </c>
      <c r="K71" t="s">
        <v>31</v>
      </c>
      <c r="L71" t="s">
        <v>31</v>
      </c>
      <c r="M71" t="s">
        <v>31</v>
      </c>
      <c r="N71" t="s">
        <v>31</v>
      </c>
    </row>
    <row r="76" spans="1:21">
      <c r="A76" s="27"/>
      <c r="B76" s="27"/>
      <c r="C76" s="27"/>
      <c r="D76" s="27"/>
      <c r="E76" s="27"/>
      <c r="F76" s="27"/>
      <c r="G76" s="27"/>
      <c r="H76" s="27"/>
      <c r="I76" s="27"/>
      <c r="J76" s="27"/>
      <c r="K76" s="27"/>
      <c r="L76" s="27"/>
      <c r="M76" s="27"/>
      <c r="N76" s="27"/>
    </row>
    <row r="77" spans="1:21">
      <c r="A77" s="27"/>
      <c r="B77" s="27"/>
      <c r="C77" s="27"/>
      <c r="D77" s="27"/>
      <c r="E77" s="27"/>
      <c r="F77" s="27"/>
      <c r="G77" s="27"/>
      <c r="H77" s="27"/>
      <c r="I77" s="27"/>
      <c r="J77" s="27"/>
      <c r="K77" s="27"/>
      <c r="L77" s="27"/>
      <c r="M77" s="27"/>
    </row>
    <row r="78" spans="1:21">
      <c r="A78" s="27"/>
      <c r="B78" s="27"/>
      <c r="C78" s="27"/>
      <c r="D78" s="27"/>
      <c r="E78" s="27"/>
      <c r="F78" s="27"/>
      <c r="G78" s="27"/>
      <c r="H78" s="27"/>
      <c r="I78" s="27"/>
      <c r="J78" s="27"/>
      <c r="K78" s="27"/>
      <c r="L78" s="27"/>
      <c r="M78" s="27"/>
    </row>
    <row r="79" spans="1:21">
      <c r="A79" s="27"/>
      <c r="B79" s="27"/>
      <c r="C79" s="27"/>
      <c r="D79" s="27"/>
      <c r="E79" s="27"/>
      <c r="F79" s="27"/>
      <c r="G79" s="27"/>
      <c r="H79" s="27"/>
      <c r="I79" s="27"/>
      <c r="J79" s="27"/>
      <c r="K79" s="27"/>
      <c r="L79" s="27"/>
      <c r="M79" s="27"/>
    </row>
    <row r="80" spans="1:21">
      <c r="A80" s="27"/>
      <c r="B80" s="27"/>
      <c r="C80" s="27"/>
      <c r="D80" s="27"/>
      <c r="E80" s="27"/>
      <c r="F80" s="27"/>
      <c r="G80" s="27"/>
      <c r="H80" s="27"/>
      <c r="I80" s="27"/>
      <c r="J80" s="27"/>
      <c r="K80" s="27"/>
      <c r="L80" s="27"/>
      <c r="M80" s="2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40C7-AB04-4EF0-8C35-9297E6220CDB}">
  <dimension ref="A1:O32"/>
  <sheetViews>
    <sheetView zoomScale="70" zoomScaleNormal="70" workbookViewId="0">
      <selection activeCell="D51" sqref="D51:D53"/>
    </sheetView>
  </sheetViews>
  <sheetFormatPr defaultRowHeight="14.45"/>
  <cols>
    <col min="1" max="1" width="44.42578125" bestFit="1" customWidth="1"/>
    <col min="2" max="2" width="54.28515625" bestFit="1" customWidth="1"/>
    <col min="4" max="4" width="33.140625" bestFit="1" customWidth="1"/>
  </cols>
  <sheetData>
    <row r="1" spans="1:15">
      <c r="A1" s="24" t="s">
        <v>0</v>
      </c>
      <c r="B1" s="24">
        <v>13</v>
      </c>
      <c r="C1" s="25"/>
      <c r="D1" s="24"/>
      <c r="E1" s="24"/>
      <c r="F1" s="24"/>
      <c r="G1" s="24"/>
      <c r="H1" s="24"/>
      <c r="I1" s="24"/>
      <c r="J1" s="24"/>
      <c r="K1" s="24"/>
      <c r="L1" s="24"/>
      <c r="M1" s="24"/>
      <c r="N1" s="24"/>
      <c r="O1" s="27" t="str">
        <f ca="1">UPPER(CONCATENATE(DEC2HEX(RANDBETWEEN(0,POWER(16,8)),8),DEC2HEX(RANDBETWEEN(0,POWER(16,4)),4),"4",DEC2HEX(RANDBETWEEN(0,POWER(16,3)),3),DEC2HEX(RANDBETWEEN(8,11)),DEC2HEX(RANDBETWEEN(0,POWER(16,3)),3),DEC2HEX(RANDBETWEEN(0,POWER(16,8)),8),DEC2HEX(RANDBETWEEN(0,POWER(16,4)),4)))</f>
        <v>E14EF1895DF244A6A891647C2CF96292</v>
      </c>
    </row>
    <row r="2" spans="1:15" ht="15.6">
      <c r="A2" s="28" t="s">
        <v>5</v>
      </c>
      <c r="B2" s="28" t="s">
        <v>1376</v>
      </c>
      <c r="C2" s="29"/>
      <c r="D2" s="30"/>
      <c r="E2" s="30"/>
      <c r="F2" s="30"/>
      <c r="G2" s="30"/>
      <c r="H2" s="30"/>
      <c r="I2" s="30"/>
      <c r="J2" s="30"/>
      <c r="K2" s="30"/>
      <c r="L2" s="30"/>
      <c r="M2" s="30"/>
      <c r="N2" s="30"/>
      <c r="O2" s="24"/>
    </row>
    <row r="3" spans="1:15">
      <c r="A3" s="27" t="s">
        <v>7</v>
      </c>
      <c r="B3" s="27" t="s">
        <v>1353</v>
      </c>
      <c r="C3" s="27"/>
      <c r="D3" s="27"/>
      <c r="E3" s="27"/>
      <c r="F3" s="27"/>
      <c r="G3" s="27"/>
      <c r="H3" s="27"/>
      <c r="I3" s="27"/>
      <c r="J3" s="27"/>
      <c r="K3" s="27"/>
      <c r="L3" s="27"/>
      <c r="M3" s="27"/>
      <c r="N3" s="27"/>
      <c r="O3" s="27"/>
    </row>
    <row r="4" spans="1:15">
      <c r="A4" s="27" t="s">
        <v>9</v>
      </c>
      <c r="B4" s="27" t="s">
        <v>1487</v>
      </c>
      <c r="C4" s="27"/>
      <c r="D4" s="27"/>
      <c r="E4" s="27"/>
      <c r="F4" s="27"/>
      <c r="G4" s="27"/>
      <c r="H4" s="27"/>
      <c r="I4" s="27"/>
      <c r="J4" s="27"/>
      <c r="K4" s="27"/>
      <c r="L4" s="27"/>
      <c r="M4" s="27"/>
      <c r="N4" s="27"/>
      <c r="O4" s="27"/>
    </row>
    <row r="5" spans="1:15" ht="39">
      <c r="A5" s="27" t="s">
        <v>11</v>
      </c>
      <c r="B5" s="196" t="s">
        <v>1488</v>
      </c>
      <c r="C5" s="27"/>
      <c r="D5" s="27"/>
      <c r="E5" s="27"/>
      <c r="F5" s="27"/>
      <c r="G5" s="27"/>
      <c r="H5" s="27"/>
      <c r="I5" s="27"/>
      <c r="J5" s="27"/>
      <c r="K5" s="27"/>
      <c r="L5" s="27"/>
      <c r="M5" s="27"/>
      <c r="N5" s="27"/>
      <c r="O5" s="27"/>
    </row>
    <row r="6" spans="1:15">
      <c r="A6" s="27" t="s">
        <v>13</v>
      </c>
      <c r="B6" s="27" t="s">
        <v>14</v>
      </c>
      <c r="C6" s="27"/>
      <c r="D6" s="27"/>
      <c r="E6" s="27"/>
      <c r="F6" s="27"/>
      <c r="G6" s="27"/>
      <c r="H6" s="27"/>
      <c r="I6" s="27"/>
      <c r="J6" s="27"/>
      <c r="K6" s="27"/>
      <c r="L6" s="27"/>
      <c r="M6" s="27"/>
      <c r="N6" s="27"/>
      <c r="O6" s="27"/>
    </row>
    <row r="7" spans="1:15">
      <c r="A7" s="27" t="s">
        <v>15</v>
      </c>
      <c r="B7" s="37">
        <v>1</v>
      </c>
      <c r="C7" s="27"/>
      <c r="D7" s="27"/>
      <c r="E7" s="27"/>
      <c r="F7" s="27"/>
      <c r="G7" s="27"/>
      <c r="H7" s="27"/>
      <c r="I7" s="27"/>
      <c r="J7" s="27"/>
      <c r="K7" s="27"/>
      <c r="L7" s="27"/>
      <c r="M7" s="27"/>
      <c r="N7" s="27"/>
      <c r="O7" s="27"/>
    </row>
    <row r="8" spans="1:15">
      <c r="A8" s="27" t="s">
        <v>16</v>
      </c>
      <c r="B8" s="27" t="s">
        <v>17</v>
      </c>
      <c r="C8" s="27"/>
      <c r="D8" s="27"/>
      <c r="E8" s="27"/>
      <c r="F8" s="27"/>
      <c r="G8" s="27"/>
      <c r="H8" s="27"/>
      <c r="I8" s="27"/>
      <c r="J8" s="27"/>
      <c r="K8" s="27"/>
      <c r="L8" s="27"/>
      <c r="M8" s="27"/>
      <c r="N8" s="27"/>
      <c r="O8" s="27"/>
    </row>
    <row r="9" spans="1:15">
      <c r="A9" s="27" t="s">
        <v>18</v>
      </c>
      <c r="B9" s="27" t="s">
        <v>18</v>
      </c>
      <c r="C9" s="27"/>
      <c r="D9" s="27"/>
      <c r="E9" s="27"/>
      <c r="F9" s="27"/>
      <c r="G9" s="27"/>
      <c r="H9" s="27"/>
      <c r="I9" s="27"/>
      <c r="J9" s="27"/>
      <c r="K9" s="27"/>
      <c r="L9" s="27"/>
      <c r="M9" s="27"/>
      <c r="N9" s="27"/>
      <c r="O9" s="27"/>
    </row>
    <row r="10" spans="1:15" ht="15.6">
      <c r="A10" s="26" t="s">
        <v>19</v>
      </c>
      <c r="B10" s="24"/>
      <c r="C10" s="24"/>
      <c r="D10" s="24"/>
      <c r="E10" s="24"/>
      <c r="F10" s="24"/>
      <c r="G10" s="24"/>
      <c r="H10" s="24"/>
      <c r="I10" s="24"/>
      <c r="J10" s="24"/>
      <c r="K10" s="24"/>
      <c r="L10" s="24"/>
      <c r="M10" s="24"/>
      <c r="N10" s="24"/>
      <c r="O10" s="24"/>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c r="O11" s="24"/>
    </row>
    <row r="12" spans="1:15">
      <c r="A12" s="27" t="s">
        <v>1376</v>
      </c>
      <c r="B12" s="27">
        <f>B7</f>
        <v>1</v>
      </c>
      <c r="C12" s="27" t="str">
        <f>B9</f>
        <v>unit</v>
      </c>
      <c r="D12" s="27" t="s">
        <v>2</v>
      </c>
      <c r="E12" s="27" t="s">
        <v>29</v>
      </c>
      <c r="F12" s="27" t="str">
        <f>B6</f>
        <v>EUR</v>
      </c>
      <c r="G12" s="27" t="s">
        <v>30</v>
      </c>
      <c r="H12" s="27">
        <v>0</v>
      </c>
      <c r="I12" s="27">
        <f>B12</f>
        <v>1</v>
      </c>
      <c r="J12" s="27" t="s">
        <v>31</v>
      </c>
      <c r="K12" s="27" t="s">
        <v>31</v>
      </c>
      <c r="L12" s="27" t="s">
        <v>31</v>
      </c>
      <c r="M12" s="27" t="s">
        <v>31</v>
      </c>
      <c r="N12" s="27"/>
      <c r="O12" s="27"/>
    </row>
    <row r="13" spans="1:15">
      <c r="A13" s="27" t="s">
        <v>1489</v>
      </c>
      <c r="B13" s="27">
        <f>1*48.8/1000</f>
        <v>4.8799999999999996E-2</v>
      </c>
      <c r="C13" s="27" t="s">
        <v>1490</v>
      </c>
      <c r="D13" s="27" t="s">
        <v>40</v>
      </c>
      <c r="E13" s="27" t="s">
        <v>29</v>
      </c>
      <c r="F13" s="27" t="s">
        <v>272</v>
      </c>
      <c r="G13" s="27" t="s">
        <v>33</v>
      </c>
      <c r="H13" s="27">
        <v>0</v>
      </c>
      <c r="I13" s="27">
        <f>B13</f>
        <v>4.8799999999999996E-2</v>
      </c>
      <c r="J13" s="27" t="s">
        <v>31</v>
      </c>
      <c r="K13" s="27" t="s">
        <v>31</v>
      </c>
      <c r="L13" s="27" t="s">
        <v>31</v>
      </c>
      <c r="M13" s="27" t="s">
        <v>31</v>
      </c>
      <c r="N13" s="27"/>
      <c r="O13" s="27"/>
    </row>
    <row r="14" spans="1:15">
      <c r="A14" s="27" t="s">
        <v>1491</v>
      </c>
      <c r="B14" s="193">
        <v>9.6499999999999997E-8</v>
      </c>
      <c r="C14" s="27" t="s">
        <v>18</v>
      </c>
      <c r="D14" s="27" t="s">
        <v>2</v>
      </c>
      <c r="E14" s="27" t="s">
        <v>29</v>
      </c>
      <c r="F14" s="27" t="s">
        <v>14</v>
      </c>
      <c r="G14" s="27" t="s">
        <v>33</v>
      </c>
      <c r="H14" s="27">
        <v>0</v>
      </c>
      <c r="I14" s="27">
        <f>B14</f>
        <v>9.6499999999999997E-8</v>
      </c>
      <c r="J14" s="27" t="s">
        <v>31</v>
      </c>
      <c r="K14" s="27" t="s">
        <v>31</v>
      </c>
      <c r="L14" s="27" t="s">
        <v>31</v>
      </c>
      <c r="M14" s="27" t="s">
        <v>31</v>
      </c>
      <c r="N14" s="27" t="s">
        <v>1492</v>
      </c>
      <c r="O14" s="27"/>
    </row>
    <row r="15" spans="1:15" ht="15.6">
      <c r="A15" s="28" t="s">
        <v>5</v>
      </c>
      <c r="B15" s="28" t="s">
        <v>1491</v>
      </c>
      <c r="C15" s="29"/>
      <c r="D15" s="30"/>
      <c r="E15" s="30"/>
      <c r="F15" s="30"/>
      <c r="G15" s="30"/>
      <c r="H15" s="30"/>
      <c r="I15" s="30"/>
      <c r="J15" s="30"/>
      <c r="K15" s="30"/>
      <c r="L15" s="30"/>
      <c r="M15" s="30"/>
      <c r="N15" s="30"/>
    </row>
    <row r="16" spans="1:15">
      <c r="A16" s="27" t="s">
        <v>7</v>
      </c>
      <c r="B16" s="27" t="s">
        <v>1353</v>
      </c>
      <c r="C16" s="27"/>
      <c r="D16" s="27"/>
      <c r="E16" s="27"/>
      <c r="F16" s="27"/>
      <c r="G16" s="27"/>
      <c r="H16" s="27"/>
      <c r="I16" s="27"/>
      <c r="J16" s="27"/>
      <c r="K16" s="27"/>
      <c r="L16" s="27"/>
      <c r="M16" s="27"/>
      <c r="N16" s="27"/>
    </row>
    <row r="17" spans="1:14">
      <c r="A17" s="27" t="s">
        <v>9</v>
      </c>
      <c r="B17" s="27" t="s">
        <v>1493</v>
      </c>
      <c r="C17" s="27"/>
      <c r="D17" s="27"/>
      <c r="E17" s="27"/>
      <c r="F17" s="27"/>
      <c r="G17" s="27"/>
      <c r="H17" s="27"/>
      <c r="I17" s="27"/>
      <c r="J17" s="27"/>
      <c r="K17" s="27"/>
      <c r="L17" s="27"/>
      <c r="M17" s="27"/>
      <c r="N17" s="27"/>
    </row>
    <row r="18" spans="1:14" ht="26.1">
      <c r="A18" s="27" t="s">
        <v>11</v>
      </c>
      <c r="B18" s="196" t="s">
        <v>1494</v>
      </c>
      <c r="C18" s="27"/>
      <c r="D18" s="27"/>
      <c r="E18" s="27"/>
      <c r="F18" s="27"/>
      <c r="G18" s="27"/>
      <c r="H18" s="27"/>
      <c r="I18" s="27"/>
      <c r="J18" s="27"/>
      <c r="K18" s="27"/>
      <c r="L18" s="27"/>
      <c r="M18" s="27"/>
      <c r="N18" s="27"/>
    </row>
    <row r="19" spans="1:14">
      <c r="A19" s="27" t="s">
        <v>13</v>
      </c>
      <c r="B19" s="27" t="s">
        <v>14</v>
      </c>
      <c r="C19" s="27"/>
      <c r="D19" s="27"/>
      <c r="E19" s="27"/>
      <c r="F19" s="27"/>
      <c r="G19" s="27"/>
      <c r="H19" s="27"/>
      <c r="I19" s="27"/>
      <c r="J19" s="27"/>
      <c r="K19" s="27"/>
      <c r="L19" s="27"/>
      <c r="M19" s="27"/>
      <c r="N19" s="27"/>
    </row>
    <row r="20" spans="1:14">
      <c r="A20" s="27" t="s">
        <v>15</v>
      </c>
      <c r="B20" s="37">
        <v>1</v>
      </c>
      <c r="C20" s="27"/>
      <c r="D20" s="27"/>
      <c r="E20" s="27"/>
      <c r="F20" s="27"/>
      <c r="G20" s="27"/>
      <c r="H20" s="27"/>
      <c r="I20" s="27"/>
      <c r="J20" s="27"/>
      <c r="K20" s="27"/>
      <c r="L20" s="27"/>
      <c r="M20" s="27"/>
      <c r="N20" s="27"/>
    </row>
    <row r="21" spans="1:14">
      <c r="A21" s="27" t="s">
        <v>16</v>
      </c>
      <c r="B21" s="27" t="s">
        <v>17</v>
      </c>
      <c r="C21" s="27"/>
      <c r="D21" s="27"/>
      <c r="E21" s="27"/>
      <c r="F21" s="27"/>
      <c r="G21" s="27"/>
      <c r="H21" s="27"/>
      <c r="I21" s="27"/>
      <c r="J21" s="27"/>
      <c r="K21" s="27"/>
      <c r="L21" s="27"/>
      <c r="M21" s="27"/>
      <c r="N21" s="27"/>
    </row>
    <row r="22" spans="1:14">
      <c r="A22" s="27" t="s">
        <v>18</v>
      </c>
      <c r="B22" s="27" t="s">
        <v>18</v>
      </c>
      <c r="C22" s="27"/>
      <c r="D22" s="27"/>
      <c r="E22" s="27"/>
      <c r="F22" s="27"/>
      <c r="G22" s="27"/>
      <c r="H22" s="27"/>
      <c r="I22" s="27"/>
      <c r="J22" s="27"/>
      <c r="K22" s="27"/>
      <c r="L22" s="27"/>
      <c r="M22" s="27"/>
      <c r="N22" s="27"/>
    </row>
    <row r="23" spans="1:14" ht="15.6">
      <c r="A23" s="26" t="s">
        <v>19</v>
      </c>
      <c r="B23" s="24"/>
      <c r="C23" s="24"/>
      <c r="D23" s="24"/>
      <c r="E23" s="24"/>
      <c r="F23" s="24"/>
      <c r="G23" s="24"/>
      <c r="H23" s="24"/>
      <c r="I23" s="24"/>
      <c r="J23" s="24"/>
      <c r="K23" s="24"/>
      <c r="L23" s="24"/>
      <c r="M23" s="24"/>
      <c r="N23" s="24"/>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c r="A25" s="27" t="s">
        <v>1491</v>
      </c>
      <c r="B25" s="27">
        <v>1</v>
      </c>
      <c r="C25" s="27" t="str">
        <f>B22</f>
        <v>unit</v>
      </c>
      <c r="D25" s="27" t="s">
        <v>2</v>
      </c>
      <c r="E25" s="27" t="s">
        <v>29</v>
      </c>
      <c r="F25" s="27" t="str">
        <f>B19</f>
        <v>EUR</v>
      </c>
      <c r="G25" s="27" t="s">
        <v>30</v>
      </c>
      <c r="H25" s="27">
        <v>0</v>
      </c>
      <c r="I25" s="27">
        <f>B25</f>
        <v>1</v>
      </c>
      <c r="J25" s="27" t="s">
        <v>31</v>
      </c>
      <c r="K25" s="27" t="s">
        <v>31</v>
      </c>
      <c r="L25" s="27" t="s">
        <v>31</v>
      </c>
      <c r="M25" s="27" t="s">
        <v>31</v>
      </c>
      <c r="N25" s="27"/>
    </row>
    <row r="26" spans="1:14">
      <c r="A26" s="27" t="s">
        <v>85</v>
      </c>
      <c r="B26" s="27">
        <v>3141</v>
      </c>
      <c r="C26" s="27" t="s">
        <v>37</v>
      </c>
      <c r="D26" s="27" t="s">
        <v>40</v>
      </c>
      <c r="E26" s="27" t="s">
        <v>29</v>
      </c>
      <c r="F26" s="27" t="s">
        <v>59</v>
      </c>
      <c r="G26" s="27" t="s">
        <v>33</v>
      </c>
      <c r="H26" s="27">
        <v>5</v>
      </c>
      <c r="I26" s="27">
        <f>B26</f>
        <v>3141</v>
      </c>
      <c r="J26" s="27" t="s">
        <v>31</v>
      </c>
      <c r="K26" s="27" t="s">
        <v>31</v>
      </c>
      <c r="L26" s="27">
        <f>I26*0.9</f>
        <v>2826.9</v>
      </c>
      <c r="M26" s="27">
        <f>I26*1.1</f>
        <v>3455.1000000000004</v>
      </c>
      <c r="N26" s="27"/>
    </row>
    <row r="27" spans="1:14">
      <c r="A27" s="27" t="s">
        <v>527</v>
      </c>
      <c r="B27" s="27">
        <v>3141</v>
      </c>
      <c r="C27" s="27" t="s">
        <v>37</v>
      </c>
      <c r="D27" s="27" t="s">
        <v>40</v>
      </c>
      <c r="E27" s="27" t="s">
        <v>29</v>
      </c>
      <c r="F27" s="27" t="s">
        <v>59</v>
      </c>
      <c r="G27" s="27" t="s">
        <v>33</v>
      </c>
      <c r="H27" s="27">
        <v>5</v>
      </c>
      <c r="I27" s="27">
        <f t="shared" ref="I27:I28" si="0">B27</f>
        <v>3141</v>
      </c>
      <c r="J27" s="27" t="s">
        <v>31</v>
      </c>
      <c r="K27" s="27" t="s">
        <v>31</v>
      </c>
      <c r="L27" s="27">
        <f>I27*0.9</f>
        <v>2826.9</v>
      </c>
      <c r="M27" s="27">
        <f>I27*1.1</f>
        <v>3455.1000000000004</v>
      </c>
      <c r="N27" s="27"/>
    </row>
    <row r="28" spans="1:14">
      <c r="A28" s="27" t="s">
        <v>1396</v>
      </c>
      <c r="B28" s="27">
        <v>2256</v>
      </c>
      <c r="C28" s="27" t="s">
        <v>37</v>
      </c>
      <c r="D28" s="27" t="s">
        <v>40</v>
      </c>
      <c r="E28" s="27" t="s">
        <v>29</v>
      </c>
      <c r="F28" s="27" t="s">
        <v>35</v>
      </c>
      <c r="G28" s="27" t="s">
        <v>33</v>
      </c>
      <c r="H28" s="27">
        <v>5</v>
      </c>
      <c r="I28" s="27">
        <f t="shared" si="0"/>
        <v>2256</v>
      </c>
      <c r="J28" s="27" t="s">
        <v>31</v>
      </c>
      <c r="K28" s="27" t="s">
        <v>31</v>
      </c>
      <c r="L28" s="27">
        <f>I28*0.9</f>
        <v>2030.4</v>
      </c>
      <c r="M28" s="27">
        <f>I28*1.1</f>
        <v>2481.6000000000004</v>
      </c>
      <c r="N28" s="27"/>
    </row>
    <row r="29" spans="1:14">
      <c r="A29" s="27" t="s">
        <v>38</v>
      </c>
      <c r="B29" s="27">
        <v>1890</v>
      </c>
      <c r="C29" s="27" t="s">
        <v>39</v>
      </c>
      <c r="D29" s="27" t="s">
        <v>40</v>
      </c>
      <c r="E29" s="27" t="s">
        <v>29</v>
      </c>
      <c r="F29" s="27" t="s">
        <v>14</v>
      </c>
      <c r="G29" s="27" t="s">
        <v>33</v>
      </c>
      <c r="H29" s="27">
        <v>0</v>
      </c>
      <c r="I29" s="27">
        <f>B29</f>
        <v>1890</v>
      </c>
      <c r="J29" s="27" t="s">
        <v>31</v>
      </c>
      <c r="K29" s="27" t="s">
        <v>31</v>
      </c>
      <c r="L29" s="27" t="s">
        <v>31</v>
      </c>
      <c r="M29" s="27" t="s">
        <v>31</v>
      </c>
    </row>
    <row r="30" spans="1:14">
      <c r="A30" t="s">
        <v>1495</v>
      </c>
      <c r="B30" s="27">
        <v>1</v>
      </c>
      <c r="C30" s="27" t="s">
        <v>18</v>
      </c>
      <c r="D30" s="27" t="s">
        <v>40</v>
      </c>
      <c r="E30" s="27" t="s">
        <v>29</v>
      </c>
      <c r="F30" s="27" t="s">
        <v>59</v>
      </c>
      <c r="G30" s="27" t="s">
        <v>33</v>
      </c>
      <c r="H30" s="27">
        <v>0</v>
      </c>
      <c r="I30" s="27">
        <f t="shared" ref="I30" si="1">B30</f>
        <v>1</v>
      </c>
      <c r="J30" s="27" t="s">
        <v>31</v>
      </c>
      <c r="K30" s="27" t="s">
        <v>31</v>
      </c>
      <c r="L30" s="27" t="s">
        <v>31</v>
      </c>
      <c r="M30" s="27" t="s">
        <v>31</v>
      </c>
    </row>
    <row r="32" spans="1:14">
      <c r="E32" s="27"/>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4F52-0F74-403A-B788-D911333F3BE7}">
  <dimension ref="A1:P42"/>
  <sheetViews>
    <sheetView topLeftCell="A23" zoomScale="85" zoomScaleNormal="85" workbookViewId="0">
      <selection activeCell="D51" sqref="D51:D53"/>
    </sheetView>
  </sheetViews>
  <sheetFormatPr defaultRowHeight="14.45"/>
  <cols>
    <col min="1" max="1" width="73.7109375" bestFit="1" customWidth="1"/>
    <col min="5" max="5" width="31.28515625" bestFit="1" customWidth="1"/>
  </cols>
  <sheetData>
    <row r="1" spans="1:16">
      <c r="A1" t="s">
        <v>0</v>
      </c>
      <c r="B1">
        <v>14</v>
      </c>
    </row>
    <row r="2" spans="1:16" s="73" customFormat="1" ht="15.6">
      <c r="A2" s="178" t="s">
        <v>5</v>
      </c>
      <c r="B2" s="178" t="s">
        <v>1496</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
        <v>1497</v>
      </c>
      <c r="C4" s="58"/>
      <c r="D4" s="58"/>
      <c r="E4" s="58"/>
      <c r="F4" s="58"/>
      <c r="G4" s="58"/>
      <c r="H4" s="58"/>
      <c r="I4" s="58"/>
      <c r="J4" s="58"/>
      <c r="K4" s="58"/>
      <c r="L4" s="58"/>
      <c r="M4" s="58"/>
      <c r="N4" s="58"/>
      <c r="O4" s="58"/>
      <c r="P4" s="58"/>
    </row>
    <row r="5" spans="1:16">
      <c r="A5" s="58" t="s">
        <v>11</v>
      </c>
      <c r="B5" s="58" t="s">
        <v>1475</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 H2 storage tank (transport), SOFC-bat</v>
      </c>
      <c r="B12" s="180">
        <v>1</v>
      </c>
      <c r="C12" s="180"/>
      <c r="D12" s="180" t="s">
        <v>37</v>
      </c>
      <c r="E12" s="27" t="s">
        <v>2</v>
      </c>
      <c r="F12" s="58" t="s">
        <v>1498</v>
      </c>
      <c r="G12" s="180" t="s">
        <v>59</v>
      </c>
      <c r="H12" s="58" t="s">
        <v>30</v>
      </c>
      <c r="I12" s="58">
        <v>0</v>
      </c>
      <c r="J12" s="180" t="s">
        <v>31</v>
      </c>
      <c r="K12" s="180" t="s">
        <v>31</v>
      </c>
      <c r="L12" s="180" t="s">
        <v>31</v>
      </c>
      <c r="M12" s="180" t="s">
        <v>31</v>
      </c>
      <c r="N12" s="180" t="s">
        <v>31</v>
      </c>
      <c r="O12" s="180" t="s">
        <v>391</v>
      </c>
      <c r="P12" s="58"/>
    </row>
    <row r="13" spans="1:16" ht="15.6">
      <c r="A13" t="s">
        <v>201</v>
      </c>
      <c r="B13" s="23">
        <v>0.85</v>
      </c>
      <c r="C13" s="180"/>
      <c r="D13" s="180" t="s">
        <v>37</v>
      </c>
      <c r="E13" s="37" t="s">
        <v>40</v>
      </c>
      <c r="F13" s="58" t="s">
        <v>1498</v>
      </c>
      <c r="G13" s="180" t="s">
        <v>82</v>
      </c>
      <c r="H13" s="58" t="s">
        <v>33</v>
      </c>
      <c r="I13" s="58">
        <v>0</v>
      </c>
      <c r="J13" s="180" t="s">
        <v>31</v>
      </c>
      <c r="K13" s="180" t="s">
        <v>31</v>
      </c>
      <c r="L13" s="180" t="s">
        <v>31</v>
      </c>
      <c r="M13" s="180" t="s">
        <v>31</v>
      </c>
      <c r="N13" s="180" t="s">
        <v>31</v>
      </c>
      <c r="O13" s="58"/>
      <c r="P13" s="58"/>
    </row>
    <row r="14" spans="1:16" ht="15.6">
      <c r="A14" t="s">
        <v>202</v>
      </c>
      <c r="B14" s="23">
        <v>0.85</v>
      </c>
      <c r="C14" s="22" t="s">
        <v>203</v>
      </c>
      <c r="D14" t="s">
        <v>37</v>
      </c>
      <c r="E14" s="188" t="s">
        <v>40</v>
      </c>
      <c r="F14" s="58" t="s">
        <v>1498</v>
      </c>
      <c r="G14" s="180" t="s">
        <v>82</v>
      </c>
      <c r="H14" s="58" t="s">
        <v>33</v>
      </c>
      <c r="I14" s="58">
        <v>0</v>
      </c>
      <c r="J14" s="180" t="s">
        <v>31</v>
      </c>
      <c r="K14" s="180" t="s">
        <v>31</v>
      </c>
      <c r="L14" s="180" t="s">
        <v>31</v>
      </c>
      <c r="M14" s="180" t="s">
        <v>31</v>
      </c>
      <c r="N14" s="180" t="s">
        <v>31</v>
      </c>
      <c r="O14" s="180" t="s">
        <v>287</v>
      </c>
    </row>
    <row r="15" spans="1:16" ht="15.6">
      <c r="A15" t="s">
        <v>205</v>
      </c>
      <c r="B15" s="23">
        <f>B14*0.9</f>
        <v>0.76500000000000001</v>
      </c>
      <c r="D15" t="s">
        <v>37</v>
      </c>
      <c r="E15" s="188" t="s">
        <v>40</v>
      </c>
      <c r="F15" s="58" t="s">
        <v>1498</v>
      </c>
      <c r="G15" t="s">
        <v>59</v>
      </c>
      <c r="H15" s="58" t="s">
        <v>136</v>
      </c>
      <c r="I15" s="58">
        <v>0</v>
      </c>
      <c r="J15" s="180" t="s">
        <v>31</v>
      </c>
      <c r="K15" s="180" t="s">
        <v>31</v>
      </c>
      <c r="L15" s="180" t="s">
        <v>31</v>
      </c>
      <c r="M15" s="180" t="s">
        <v>31</v>
      </c>
      <c r="N15" s="180" t="s">
        <v>31</v>
      </c>
      <c r="O15" s="58"/>
      <c r="P15" s="180" t="s">
        <v>311</v>
      </c>
    </row>
    <row r="16" spans="1:16" ht="15.6">
      <c r="A16" t="s">
        <v>210</v>
      </c>
      <c r="B16" s="23">
        <f>-(1-B15)</f>
        <v>-0.23499999999999999</v>
      </c>
      <c r="D16" t="s">
        <v>37</v>
      </c>
      <c r="E16" s="84" t="s">
        <v>40</v>
      </c>
      <c r="F16" s="58" t="s">
        <v>1498</v>
      </c>
      <c r="G16" t="s">
        <v>59</v>
      </c>
      <c r="H16" t="s">
        <v>33</v>
      </c>
      <c r="I16">
        <v>0</v>
      </c>
      <c r="J16" t="s">
        <v>31</v>
      </c>
      <c r="K16" t="s">
        <v>31</v>
      </c>
      <c r="L16" t="s">
        <v>31</v>
      </c>
      <c r="M16" t="s">
        <v>31</v>
      </c>
      <c r="N16" t="s">
        <v>31</v>
      </c>
      <c r="O16" s="17"/>
      <c r="P16" s="58"/>
    </row>
    <row r="17" spans="1:16" s="73" customFormat="1" ht="15.6">
      <c r="A17" s="178" t="s">
        <v>5</v>
      </c>
      <c r="B17" s="178" t="s">
        <v>1499</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1500</v>
      </c>
      <c r="C19" s="58"/>
      <c r="D19" s="58"/>
      <c r="E19" s="58"/>
      <c r="F19" s="58"/>
      <c r="G19" s="58"/>
      <c r="H19" s="58"/>
      <c r="I19" s="58"/>
      <c r="J19" s="58"/>
      <c r="K19" s="58"/>
      <c r="L19" s="58"/>
      <c r="M19" s="58"/>
      <c r="N19" s="58"/>
      <c r="O19" s="58"/>
      <c r="P19" s="58"/>
    </row>
    <row r="20" spans="1:16">
      <c r="A20" s="58" t="s">
        <v>11</v>
      </c>
      <c r="B20" s="58" t="s">
        <v>1457</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polyurethane, H2 storage tank (transport), SOFC-bat</v>
      </c>
      <c r="B27" s="180">
        <v>1</v>
      </c>
      <c r="C27" s="180"/>
      <c r="D27" s="180" t="s">
        <v>37</v>
      </c>
      <c r="E27" s="27" t="s">
        <v>2</v>
      </c>
      <c r="F27" s="58" t="s">
        <v>1498</v>
      </c>
      <c r="G27" s="180" t="s">
        <v>59</v>
      </c>
      <c r="H27" s="58" t="s">
        <v>30</v>
      </c>
      <c r="I27" s="58">
        <v>0</v>
      </c>
      <c r="J27" s="180" t="s">
        <v>31</v>
      </c>
      <c r="K27" s="180" t="s">
        <v>31</v>
      </c>
      <c r="L27" s="180" t="s">
        <v>31</v>
      </c>
      <c r="M27" s="180" t="s">
        <v>31</v>
      </c>
      <c r="N27" s="180" t="s">
        <v>31</v>
      </c>
      <c r="O27" s="180" t="s">
        <v>336</v>
      </c>
      <c r="P27" s="58"/>
    </row>
    <row r="28" spans="1:16" ht="15.6">
      <c r="A28" s="84" t="s">
        <v>400</v>
      </c>
      <c r="B28">
        <v>-1</v>
      </c>
      <c r="D28" s="180" t="s">
        <v>37</v>
      </c>
      <c r="E28" s="84" t="s">
        <v>40</v>
      </c>
      <c r="F28" s="58" t="s">
        <v>1498</v>
      </c>
      <c r="G28" t="s">
        <v>82</v>
      </c>
      <c r="H28" t="s">
        <v>33</v>
      </c>
      <c r="I28">
        <v>0</v>
      </c>
      <c r="J28" t="s">
        <v>31</v>
      </c>
      <c r="K28" t="s">
        <v>31</v>
      </c>
      <c r="L28" t="s">
        <v>31</v>
      </c>
      <c r="M28" t="s">
        <v>31</v>
      </c>
      <c r="N28" t="s">
        <v>31</v>
      </c>
    </row>
    <row r="29" spans="1:16" s="73" customFormat="1" ht="15.6">
      <c r="A29" s="178" t="s">
        <v>5</v>
      </c>
      <c r="B29" s="178" t="s">
        <v>1495</v>
      </c>
      <c r="C29" s="178"/>
      <c r="D29" s="74"/>
      <c r="E29" s="150"/>
      <c r="F29" s="150"/>
      <c r="G29" s="150"/>
      <c r="H29" s="150"/>
      <c r="I29" s="150"/>
      <c r="J29" s="150"/>
      <c r="K29" s="150"/>
      <c r="L29" s="150"/>
      <c r="M29" s="150"/>
      <c r="N29" s="150"/>
      <c r="O29" s="150"/>
      <c r="P29" s="150"/>
    </row>
    <row r="30" spans="1:16">
      <c r="A30" s="58" t="s">
        <v>7</v>
      </c>
      <c r="B30" s="58" t="s">
        <v>1447</v>
      </c>
      <c r="C30" s="58"/>
      <c r="D30" s="58"/>
      <c r="E30" s="58"/>
      <c r="F30" s="58"/>
      <c r="G30" s="58"/>
      <c r="H30" s="58"/>
      <c r="I30" s="58"/>
      <c r="J30" s="58"/>
      <c r="K30" s="58"/>
      <c r="L30" s="58"/>
      <c r="M30" s="58"/>
      <c r="N30" s="58"/>
      <c r="O30" s="58"/>
      <c r="P30" s="58"/>
    </row>
    <row r="31" spans="1:16">
      <c r="A31" s="58" t="s">
        <v>9</v>
      </c>
      <c r="B31" s="186" t="s">
        <v>1501</v>
      </c>
      <c r="C31" s="58"/>
      <c r="D31" s="58"/>
      <c r="E31" s="58"/>
      <c r="F31" s="58"/>
      <c r="G31" s="58"/>
      <c r="H31" s="58"/>
      <c r="I31" s="58"/>
      <c r="J31" s="58"/>
      <c r="K31" s="58"/>
      <c r="L31" s="58"/>
      <c r="M31" s="58"/>
      <c r="N31" s="58"/>
      <c r="O31" s="58"/>
      <c r="P31" s="58"/>
    </row>
    <row r="32" spans="1:16">
      <c r="A32" s="58" t="s">
        <v>11</v>
      </c>
      <c r="B32" s="58" t="s">
        <v>1457</v>
      </c>
      <c r="C32" s="58"/>
      <c r="D32" s="58"/>
      <c r="E32" s="58"/>
      <c r="F32" s="58"/>
      <c r="G32" s="58"/>
      <c r="H32" s="58"/>
      <c r="I32" s="58"/>
      <c r="J32" s="58"/>
      <c r="K32" s="58"/>
      <c r="L32" s="58"/>
      <c r="M32" s="58"/>
      <c r="N32" s="58"/>
      <c r="O32" s="58"/>
      <c r="P32" s="58"/>
    </row>
    <row r="33" spans="1:16">
      <c r="A33" s="58" t="s">
        <v>13</v>
      </c>
      <c r="B33" s="58" t="s">
        <v>59</v>
      </c>
      <c r="C33" s="58"/>
      <c r="D33" s="58"/>
      <c r="E33" s="58"/>
      <c r="F33" s="58"/>
      <c r="G33" s="58"/>
      <c r="H33" s="58"/>
      <c r="I33" s="58"/>
      <c r="J33" s="58"/>
      <c r="K33" s="58"/>
      <c r="L33" s="58"/>
      <c r="M33" s="58"/>
      <c r="N33" s="58"/>
      <c r="O33" s="58"/>
      <c r="P33" s="58"/>
    </row>
    <row r="34" spans="1:16">
      <c r="A34" s="58" t="s">
        <v>15</v>
      </c>
      <c r="B34" s="58">
        <v>1</v>
      </c>
      <c r="C34" s="58"/>
      <c r="D34" s="58"/>
      <c r="E34" s="58"/>
      <c r="F34" s="58"/>
      <c r="G34" s="58"/>
      <c r="H34" s="58"/>
      <c r="I34" s="58"/>
      <c r="J34" s="58"/>
      <c r="K34" s="58"/>
      <c r="L34" s="58"/>
      <c r="M34" s="58"/>
      <c r="N34" s="58"/>
      <c r="O34" s="58"/>
      <c r="P34" s="58"/>
    </row>
    <row r="35" spans="1:16">
      <c r="A35" s="58" t="s">
        <v>16</v>
      </c>
      <c r="B35" s="58" t="s">
        <v>17</v>
      </c>
      <c r="C35" s="58"/>
      <c r="D35" s="58"/>
      <c r="E35" s="58"/>
      <c r="F35" s="58"/>
      <c r="G35" s="58"/>
      <c r="H35" s="58"/>
      <c r="I35" s="58"/>
      <c r="J35" s="58"/>
      <c r="K35" s="58"/>
      <c r="L35" s="58"/>
      <c r="M35" s="58"/>
      <c r="N35" s="58"/>
      <c r="O35" s="58"/>
      <c r="P35" s="58"/>
    </row>
    <row r="36" spans="1:16" ht="15.6">
      <c r="A36" s="58" t="s">
        <v>18</v>
      </c>
      <c r="B36" s="180" t="s">
        <v>18</v>
      </c>
      <c r="C36" s="58"/>
      <c r="D36" s="58"/>
      <c r="E36" s="58" t="s">
        <v>185</v>
      </c>
      <c r="F36" s="58"/>
      <c r="G36" s="58"/>
      <c r="H36" s="58"/>
      <c r="I36" s="58"/>
      <c r="J36" s="58"/>
      <c r="K36" s="58"/>
      <c r="L36" s="58"/>
      <c r="M36" s="58"/>
      <c r="N36" s="58"/>
      <c r="O36" s="58"/>
      <c r="P36" s="58"/>
    </row>
    <row r="37" spans="1:16" ht="15.6">
      <c r="A37" s="181" t="s">
        <v>19</v>
      </c>
      <c r="B37" s="58"/>
      <c r="C37" s="58"/>
      <c r="D37" s="58"/>
      <c r="E37" s="58"/>
      <c r="F37" s="58"/>
      <c r="G37" s="58"/>
      <c r="H37" s="58"/>
      <c r="I37" s="58"/>
      <c r="J37" s="58"/>
      <c r="K37" s="58"/>
      <c r="L37" s="58"/>
      <c r="M37" s="58"/>
      <c r="N37" s="58"/>
      <c r="O37" s="58"/>
      <c r="P37" s="58"/>
    </row>
    <row r="38" spans="1:16" ht="15.6">
      <c r="A38" s="181" t="s">
        <v>20</v>
      </c>
      <c r="B38" s="181" t="s">
        <v>21</v>
      </c>
      <c r="C38" s="181" t="s">
        <v>186</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187</v>
      </c>
    </row>
    <row r="39" spans="1:16" ht="15.6">
      <c r="A39" s="180" t="str">
        <f>B29</f>
        <v>treatment of H2 storage tank (transport), SOFC-bat</v>
      </c>
      <c r="B39" s="180">
        <v>1</v>
      </c>
      <c r="C39" s="180"/>
      <c r="D39" s="180" t="s">
        <v>18</v>
      </c>
      <c r="E39" s="27" t="s">
        <v>2</v>
      </c>
      <c r="F39" s="58" t="s">
        <v>1498</v>
      </c>
      <c r="G39" s="180" t="s">
        <v>59</v>
      </c>
      <c r="H39" s="58" t="s">
        <v>30</v>
      </c>
      <c r="I39" s="58">
        <v>0</v>
      </c>
      <c r="J39" s="180" t="s">
        <v>31</v>
      </c>
      <c r="K39" s="180" t="s">
        <v>31</v>
      </c>
      <c r="L39" s="180" t="s">
        <v>31</v>
      </c>
      <c r="M39" s="180" t="s">
        <v>31</v>
      </c>
      <c r="N39" s="180" t="s">
        <v>31</v>
      </c>
      <c r="O39" s="180" t="s">
        <v>336</v>
      </c>
      <c r="P39" s="58"/>
    </row>
    <row r="40" spans="1:16" ht="15.6">
      <c r="A40" t="str">
        <f>A12</f>
        <v>treatment of aluminium, H2 storage tank (transport), SOFC-bat</v>
      </c>
      <c r="B40" s="27">
        <v>3141</v>
      </c>
      <c r="D40" s="180" t="s">
        <v>37</v>
      </c>
      <c r="E40" s="27" t="s">
        <v>2</v>
      </c>
      <c r="F40" s="58" t="s">
        <v>1498</v>
      </c>
      <c r="G40" s="180" t="s">
        <v>59</v>
      </c>
      <c r="H40" s="58" t="s">
        <v>30</v>
      </c>
      <c r="I40" s="58">
        <v>0</v>
      </c>
      <c r="J40" s="180" t="s">
        <v>31</v>
      </c>
      <c r="K40" s="180" t="s">
        <v>31</v>
      </c>
      <c r="L40" s="180" t="s">
        <v>31</v>
      </c>
      <c r="M40" s="180" t="s">
        <v>31</v>
      </c>
      <c r="N40" s="180" t="s">
        <v>31</v>
      </c>
    </row>
    <row r="41" spans="1:16" ht="15.6">
      <c r="A41" t="str">
        <f>A27</f>
        <v>treatment of polyurethane, H2 storage tank (transport), SOFC-bat</v>
      </c>
      <c r="B41" s="27">
        <v>2256</v>
      </c>
      <c r="D41" s="180" t="s">
        <v>37</v>
      </c>
      <c r="E41" s="27" t="s">
        <v>2</v>
      </c>
      <c r="F41" s="58" t="s">
        <v>1498</v>
      </c>
      <c r="G41" s="180" t="s">
        <v>59</v>
      </c>
      <c r="H41" s="58" t="s">
        <v>30</v>
      </c>
      <c r="I41" s="58">
        <v>0</v>
      </c>
      <c r="J41" s="180" t="s">
        <v>31</v>
      </c>
      <c r="K41" s="180" t="s">
        <v>31</v>
      </c>
      <c r="L41" s="180" t="s">
        <v>31</v>
      </c>
      <c r="M41" s="180" t="s">
        <v>31</v>
      </c>
      <c r="N41" s="180" t="s">
        <v>31</v>
      </c>
    </row>
    <row r="42" spans="1:16">
      <c r="F42" s="58"/>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538D-F8B4-4E3D-9AC6-A041CB4191DF}">
  <dimension ref="A1:Q49"/>
  <sheetViews>
    <sheetView workbookViewId="0">
      <selection activeCell="A2" sqref="A2:XFD3"/>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7">
      <c r="A1" s="24" t="s">
        <v>0</v>
      </c>
      <c r="B1" s="24">
        <v>13</v>
      </c>
      <c r="C1" s="25"/>
    </row>
    <row r="2" spans="1:17" ht="15.6">
      <c r="A2" s="28" t="s">
        <v>5</v>
      </c>
      <c r="B2" s="28" t="s">
        <v>34</v>
      </c>
      <c r="C2" s="29"/>
      <c r="D2" s="30"/>
      <c r="E2" s="30"/>
      <c r="F2" s="30"/>
      <c r="G2" s="30"/>
      <c r="H2" s="30"/>
      <c r="I2" s="30"/>
      <c r="J2" s="30"/>
      <c r="K2" s="30"/>
      <c r="L2" s="30"/>
      <c r="M2" s="30"/>
      <c r="N2" s="30"/>
    </row>
    <row r="3" spans="1:17" s="27" customFormat="1" ht="12.95">
      <c r="A3" s="27" t="s">
        <v>7</v>
      </c>
      <c r="B3" s="27" t="s">
        <v>1502</v>
      </c>
      <c r="O3" s="479" t="s">
        <v>1503</v>
      </c>
      <c r="P3" s="480"/>
      <c r="Q3" s="481"/>
    </row>
    <row r="4" spans="1:17" s="27" customFormat="1" ht="12.95">
      <c r="A4" s="27" t="s">
        <v>9</v>
      </c>
      <c r="B4" s="27" t="s">
        <v>1504</v>
      </c>
      <c r="O4" s="31" t="s">
        <v>1505</v>
      </c>
      <c r="P4" s="32" t="s">
        <v>1506</v>
      </c>
      <c r="Q4" s="33" t="s">
        <v>1507</v>
      </c>
    </row>
    <row r="5" spans="1:17" s="27" customFormat="1" ht="12.95">
      <c r="A5" s="27" t="s">
        <v>11</v>
      </c>
      <c r="B5" s="27" t="s">
        <v>1508</v>
      </c>
      <c r="O5" s="34" t="s">
        <v>34</v>
      </c>
      <c r="P5" s="35">
        <v>1</v>
      </c>
      <c r="Q5" s="36">
        <f>P5/P5</f>
        <v>1</v>
      </c>
    </row>
    <row r="6" spans="1:17" s="27" customFormat="1" ht="12.95">
      <c r="A6" s="27" t="s">
        <v>13</v>
      </c>
      <c r="B6" s="27" t="s">
        <v>35</v>
      </c>
      <c r="O6" s="34" t="s">
        <v>1509</v>
      </c>
      <c r="P6" s="35">
        <v>100</v>
      </c>
      <c r="Q6" s="36">
        <f>P5/P6</f>
        <v>0.01</v>
      </c>
    </row>
    <row r="7" spans="1:17" s="27" customFormat="1" ht="12.95">
      <c r="A7" s="27" t="s">
        <v>15</v>
      </c>
      <c r="B7" s="37">
        <v>1</v>
      </c>
      <c r="O7" s="38" t="s">
        <v>1510</v>
      </c>
      <c r="P7" s="39">
        <v>100</v>
      </c>
      <c r="Q7" s="40">
        <f>P5/P7</f>
        <v>0.01</v>
      </c>
    </row>
    <row r="8" spans="1:17" s="27" customFormat="1" ht="12.95">
      <c r="A8" s="27" t="s">
        <v>16</v>
      </c>
      <c r="B8" s="27" t="s">
        <v>17</v>
      </c>
    </row>
    <row r="9" spans="1:17" s="27" customFormat="1" ht="12.95">
      <c r="A9" s="27" t="s">
        <v>18</v>
      </c>
      <c r="B9" s="27" t="s">
        <v>18</v>
      </c>
    </row>
    <row r="10" spans="1:17" ht="15.6">
      <c r="A10" s="26" t="s">
        <v>19</v>
      </c>
    </row>
    <row r="11" spans="1:17"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7" s="27" customFormat="1" ht="12.95">
      <c r="A12" s="27" t="str">
        <f>B2</f>
        <v>airport use</v>
      </c>
      <c r="B12" s="27">
        <f>B7</f>
        <v>1</v>
      </c>
      <c r="C12" s="27" t="str">
        <f>B9</f>
        <v>unit</v>
      </c>
      <c r="D12" s="27" t="s">
        <v>2</v>
      </c>
      <c r="E12" s="27" t="s">
        <v>29</v>
      </c>
      <c r="F12" s="27" t="str">
        <f>B6</f>
        <v>RER</v>
      </c>
      <c r="G12" s="27" t="s">
        <v>30</v>
      </c>
      <c r="H12" s="27">
        <v>0</v>
      </c>
      <c r="I12" s="27">
        <f>B12</f>
        <v>1</v>
      </c>
      <c r="J12" s="27" t="s">
        <v>31</v>
      </c>
      <c r="K12" s="27" t="s">
        <v>31</v>
      </c>
      <c r="L12" s="27" t="s">
        <v>31</v>
      </c>
      <c r="M12" s="27" t="s">
        <v>31</v>
      </c>
    </row>
    <row r="13" spans="1:17" s="27" customFormat="1" ht="12.95">
      <c r="A13" s="37" t="s">
        <v>1509</v>
      </c>
      <c r="B13" s="41">
        <f>1*Q6</f>
        <v>0.01</v>
      </c>
      <c r="C13" s="27" t="s">
        <v>18</v>
      </c>
      <c r="D13" s="27" t="s">
        <v>2</v>
      </c>
      <c r="E13" s="27" t="s">
        <v>29</v>
      </c>
      <c r="F13" s="27" t="s">
        <v>1511</v>
      </c>
      <c r="G13" s="27" t="s">
        <v>33</v>
      </c>
      <c r="H13" s="27">
        <v>0</v>
      </c>
      <c r="I13" s="27">
        <f t="shared" ref="I13" si="0">B13</f>
        <v>0.01</v>
      </c>
      <c r="J13" s="27" t="s">
        <v>31</v>
      </c>
      <c r="K13" s="27" t="s">
        <v>31</v>
      </c>
      <c r="L13" s="27" t="s">
        <v>31</v>
      </c>
      <c r="M13" s="27" t="s">
        <v>31</v>
      </c>
      <c r="N13" s="27" t="s">
        <v>1512</v>
      </c>
    </row>
    <row r="14" spans="1:17" s="27" customFormat="1" ht="12.95">
      <c r="A14" s="37" t="s">
        <v>438</v>
      </c>
      <c r="B14" s="42">
        <f>(0)*0.846</f>
        <v>0</v>
      </c>
      <c r="C14" s="27" t="s">
        <v>37</v>
      </c>
      <c r="D14" s="27" t="s">
        <v>40</v>
      </c>
      <c r="E14" s="27" t="s">
        <v>29</v>
      </c>
      <c r="F14" s="27" t="s">
        <v>59</v>
      </c>
      <c r="G14" s="27" t="s">
        <v>33</v>
      </c>
      <c r="H14" s="27">
        <v>1</v>
      </c>
      <c r="I14" s="27">
        <v>0</v>
      </c>
      <c r="J14" s="27">
        <v>1.0523125754508578</v>
      </c>
      <c r="K14" s="27" t="s">
        <v>31</v>
      </c>
      <c r="L14" s="27" t="s">
        <v>31</v>
      </c>
      <c r="M14" s="27" t="s">
        <v>31</v>
      </c>
      <c r="N14" s="27" t="s">
        <v>1513</v>
      </c>
    </row>
    <row r="15" spans="1:17" s="27" customFormat="1" ht="12.95">
      <c r="A15" s="37" t="s">
        <v>1514</v>
      </c>
      <c r="B15" s="42">
        <v>1170.7317073170732</v>
      </c>
      <c r="C15" s="27" t="s">
        <v>37</v>
      </c>
      <c r="D15" s="27" t="s">
        <v>40</v>
      </c>
      <c r="E15" s="27" t="s">
        <v>29</v>
      </c>
      <c r="F15" s="27" t="s">
        <v>59</v>
      </c>
      <c r="G15" s="27" t="s">
        <v>33</v>
      </c>
      <c r="H15" s="27">
        <v>2</v>
      </c>
      <c r="I15" s="27">
        <f>LN(B15)</f>
        <v>7.0653842231857205</v>
      </c>
      <c r="J15" s="27">
        <v>1.0268106203456886</v>
      </c>
      <c r="K15" s="27" t="s">
        <v>31</v>
      </c>
      <c r="L15" s="27" t="s">
        <v>31</v>
      </c>
      <c r="M15" s="27" t="s">
        <v>31</v>
      </c>
      <c r="N15" s="27" t="s">
        <v>1515</v>
      </c>
    </row>
    <row r="16" spans="1:17" s="27" customFormat="1" ht="12.95">
      <c r="A16" s="37" t="s">
        <v>265</v>
      </c>
      <c r="B16" s="42">
        <f>3495301+(1320+14842+640+4000)</f>
        <v>3516103</v>
      </c>
      <c r="C16" s="27" t="s">
        <v>39</v>
      </c>
      <c r="D16" s="27" t="s">
        <v>40</v>
      </c>
      <c r="E16" s="27" t="s">
        <v>29</v>
      </c>
      <c r="F16" s="27" t="s">
        <v>14</v>
      </c>
      <c r="G16" s="27" t="s">
        <v>33</v>
      </c>
      <c r="H16" s="27">
        <v>2</v>
      </c>
      <c r="I16" s="27">
        <f>LN(B16)</f>
        <v>15.072863832011139</v>
      </c>
      <c r="J16" s="27">
        <v>1.0523125754508578</v>
      </c>
      <c r="K16" s="27" t="s">
        <v>31</v>
      </c>
      <c r="L16" s="27" t="s">
        <v>31</v>
      </c>
      <c r="M16" s="27" t="s">
        <v>31</v>
      </c>
      <c r="N16" s="27" t="s">
        <v>1516</v>
      </c>
    </row>
    <row r="17" spans="1:14" s="27" customFormat="1" ht="12.95">
      <c r="A17" s="37" t="s">
        <v>69</v>
      </c>
      <c r="B17" s="42">
        <v>315000</v>
      </c>
      <c r="C17" s="27" t="s">
        <v>42</v>
      </c>
      <c r="D17" s="27" t="s">
        <v>40</v>
      </c>
      <c r="E17" s="27" t="s">
        <v>29</v>
      </c>
      <c r="F17" s="27" t="s">
        <v>14</v>
      </c>
      <c r="G17" s="27" t="s">
        <v>33</v>
      </c>
      <c r="H17" s="27">
        <v>2</v>
      </c>
      <c r="I17" s="27">
        <f>LN(B17)</f>
        <v>12.66032791780777</v>
      </c>
      <c r="J17" s="27">
        <v>1.0523125754508578</v>
      </c>
      <c r="K17" s="27" t="s">
        <v>31</v>
      </c>
      <c r="L17" s="27" t="s">
        <v>31</v>
      </c>
      <c r="M17" s="27" t="s">
        <v>31</v>
      </c>
      <c r="N17" s="27" t="s">
        <v>1517</v>
      </c>
    </row>
    <row r="18" spans="1:14" s="27" customFormat="1" ht="12.95">
      <c r="A18" s="37" t="s">
        <v>75</v>
      </c>
      <c r="B18" s="42">
        <v>31369447</v>
      </c>
      <c r="C18" s="27" t="s">
        <v>37</v>
      </c>
      <c r="D18" s="27" t="s">
        <v>40</v>
      </c>
      <c r="E18" s="27" t="s">
        <v>29</v>
      </c>
      <c r="F18" s="27" t="s">
        <v>35</v>
      </c>
      <c r="G18" s="27" t="s">
        <v>33</v>
      </c>
      <c r="H18" s="27">
        <v>2</v>
      </c>
      <c r="I18" s="27">
        <f>LN(B18)</f>
        <v>17.261344951704181</v>
      </c>
      <c r="J18" s="27">
        <v>1.0268106203456886</v>
      </c>
      <c r="K18" s="27" t="s">
        <v>31</v>
      </c>
      <c r="L18" s="27" t="s">
        <v>31</v>
      </c>
      <c r="M18" s="27" t="s">
        <v>31</v>
      </c>
      <c r="N18" s="27" t="s">
        <v>1518</v>
      </c>
    </row>
    <row r="19" spans="1:14" s="27" customFormat="1" ht="12.95">
      <c r="A19" s="37" t="s">
        <v>1519</v>
      </c>
      <c r="B19" s="42">
        <f>0.437*2349028</f>
        <v>1026525.236</v>
      </c>
      <c r="C19" s="27" t="s">
        <v>37</v>
      </c>
      <c r="D19" s="27" t="s">
        <v>2</v>
      </c>
      <c r="E19" s="27" t="s">
        <v>29</v>
      </c>
      <c r="F19" s="27" t="s">
        <v>35</v>
      </c>
      <c r="G19" s="27" t="s">
        <v>33</v>
      </c>
      <c r="H19" s="27">
        <v>2</v>
      </c>
      <c r="I19" s="27">
        <f t="shared" ref="I19:I20" si="1">LN(B19)</f>
        <v>13.841690099649403</v>
      </c>
      <c r="J19" s="27">
        <v>1.223608598770918</v>
      </c>
      <c r="K19" s="27" t="s">
        <v>31</v>
      </c>
      <c r="L19" s="27" t="s">
        <v>31</v>
      </c>
      <c r="M19" s="27" t="s">
        <v>31</v>
      </c>
      <c r="N19" s="27" t="s">
        <v>1520</v>
      </c>
    </row>
    <row r="20" spans="1:14" s="27" customFormat="1" ht="12.95">
      <c r="A20" s="37" t="s">
        <v>1521</v>
      </c>
      <c r="B20" s="42">
        <f>0.45*1170364</f>
        <v>526663.80000000005</v>
      </c>
      <c r="C20" s="27" t="s">
        <v>37</v>
      </c>
      <c r="D20" s="27" t="s">
        <v>2</v>
      </c>
      <c r="E20" s="27" t="s">
        <v>29</v>
      </c>
      <c r="F20" s="27" t="s">
        <v>35</v>
      </c>
      <c r="G20" s="27" t="s">
        <v>33</v>
      </c>
      <c r="H20" s="27">
        <v>2</v>
      </c>
      <c r="I20" s="27">
        <f t="shared" si="1"/>
        <v>13.174317673282252</v>
      </c>
      <c r="J20" s="27">
        <v>1.223608598770918</v>
      </c>
      <c r="K20" s="27" t="s">
        <v>31</v>
      </c>
      <c r="L20" s="27" t="s">
        <v>31</v>
      </c>
      <c r="M20" s="27" t="s">
        <v>31</v>
      </c>
      <c r="N20" s="27" t="s">
        <v>1522</v>
      </c>
    </row>
    <row r="21" spans="1:14" s="27" customFormat="1" ht="12.95">
      <c r="A21" s="37" t="s">
        <v>1523</v>
      </c>
      <c r="B21" s="41">
        <f>1*Q7</f>
        <v>0.01</v>
      </c>
      <c r="C21" s="27" t="s">
        <v>18</v>
      </c>
      <c r="D21" s="27" t="s">
        <v>2</v>
      </c>
      <c r="E21" s="27" t="s">
        <v>29</v>
      </c>
      <c r="F21" s="27" t="s">
        <v>35</v>
      </c>
      <c r="G21" s="27" t="s">
        <v>33</v>
      </c>
      <c r="H21" s="27">
        <v>0</v>
      </c>
      <c r="I21" s="27">
        <f t="shared" ref="I21" si="2">B21</f>
        <v>0.01</v>
      </c>
      <c r="J21" s="27" t="s">
        <v>31</v>
      </c>
      <c r="K21" s="27" t="s">
        <v>31</v>
      </c>
      <c r="L21" s="27" t="s">
        <v>31</v>
      </c>
      <c r="M21" s="27" t="s">
        <v>31</v>
      </c>
      <c r="N21" s="27" t="s">
        <v>1524</v>
      </c>
    </row>
    <row r="22" spans="1:14" s="27" customFormat="1" ht="12.95">
      <c r="A22" s="37" t="s">
        <v>1525</v>
      </c>
      <c r="B22" s="41">
        <f>1/20</f>
        <v>0.05</v>
      </c>
      <c r="C22" s="27" t="s">
        <v>18</v>
      </c>
      <c r="D22" s="27" t="s">
        <v>2</v>
      </c>
      <c r="E22" s="27" t="s">
        <v>1526</v>
      </c>
      <c r="F22" s="27" t="s">
        <v>59</v>
      </c>
      <c r="G22" s="27" t="s">
        <v>33</v>
      </c>
      <c r="H22" s="27">
        <v>0</v>
      </c>
      <c r="I22" s="27">
        <f t="shared" ref="I22" si="3">B22</f>
        <v>0.05</v>
      </c>
      <c r="J22" s="27" t="s">
        <v>31</v>
      </c>
      <c r="K22" s="27" t="s">
        <v>31</v>
      </c>
      <c r="L22" s="27" t="s">
        <v>31</v>
      </c>
      <c r="M22" s="27" t="s">
        <v>31</v>
      </c>
    </row>
    <row r="23" spans="1:14" ht="15.6">
      <c r="A23" s="28" t="s">
        <v>5</v>
      </c>
      <c r="B23" s="28" t="s">
        <v>1519</v>
      </c>
      <c r="C23" s="29"/>
      <c r="D23" s="30"/>
      <c r="E23" s="30"/>
      <c r="F23" s="30"/>
      <c r="G23" s="30"/>
      <c r="H23" s="30"/>
      <c r="I23" s="30"/>
      <c r="J23" s="30"/>
      <c r="K23" s="30"/>
      <c r="L23" s="30"/>
      <c r="M23" s="30"/>
      <c r="N23" s="30"/>
    </row>
    <row r="24" spans="1:14" s="27" customFormat="1" ht="12.95">
      <c r="A24" s="27" t="s">
        <v>7</v>
      </c>
      <c r="B24" s="27" t="s">
        <v>1502</v>
      </c>
    </row>
    <row r="25" spans="1:14" s="27" customFormat="1" ht="12.95">
      <c r="A25" s="27" t="s">
        <v>9</v>
      </c>
      <c r="B25" s="27" t="s">
        <v>1527</v>
      </c>
    </row>
    <row r="26" spans="1:14" s="27" customFormat="1" ht="12.95">
      <c r="A26" s="27" t="s">
        <v>11</v>
      </c>
      <c r="B26" s="27" t="s">
        <v>1528</v>
      </c>
    </row>
    <row r="27" spans="1:14" s="27" customFormat="1" ht="12.95">
      <c r="A27" s="27" t="s">
        <v>13</v>
      </c>
      <c r="B27" s="27" t="s">
        <v>35</v>
      </c>
    </row>
    <row r="28" spans="1:14" s="27" customFormat="1" ht="12.95">
      <c r="A28" s="27" t="s">
        <v>15</v>
      </c>
      <c r="B28" s="37">
        <v>1</v>
      </c>
    </row>
    <row r="29" spans="1:14" s="27" customFormat="1" ht="12.95">
      <c r="A29" s="27" t="s">
        <v>16</v>
      </c>
      <c r="B29" s="27" t="s">
        <v>17</v>
      </c>
    </row>
    <row r="30" spans="1:14" s="27" customFormat="1" ht="12.95">
      <c r="A30" s="27" t="s">
        <v>18</v>
      </c>
      <c r="B30" s="27" t="s">
        <v>37</v>
      </c>
    </row>
    <row r="31" spans="1:14" ht="15.6">
      <c r="A31" s="26" t="s">
        <v>19</v>
      </c>
    </row>
    <row r="32" spans="1:14" ht="15.6">
      <c r="A32" s="26" t="s">
        <v>20</v>
      </c>
      <c r="B32" s="26" t="s">
        <v>21</v>
      </c>
      <c r="C32" s="26" t="s">
        <v>18</v>
      </c>
      <c r="D32" s="26" t="s">
        <v>22</v>
      </c>
      <c r="E32" s="26" t="s">
        <v>7</v>
      </c>
      <c r="F32" s="26" t="s">
        <v>13</v>
      </c>
      <c r="G32" s="26" t="s">
        <v>16</v>
      </c>
      <c r="H32" s="26" t="s">
        <v>23</v>
      </c>
      <c r="I32" s="26" t="s">
        <v>24</v>
      </c>
      <c r="J32" s="26" t="s">
        <v>25</v>
      </c>
      <c r="K32" s="26" t="s">
        <v>26</v>
      </c>
      <c r="L32" s="26" t="s">
        <v>27</v>
      </c>
      <c r="M32" s="26" t="s">
        <v>28</v>
      </c>
      <c r="N32" s="26" t="s">
        <v>723</v>
      </c>
    </row>
    <row r="33" spans="1:14" s="27" customFormat="1" ht="12.95">
      <c r="A33" s="27" t="str">
        <f>B23</f>
        <v>solid waste from terminals</v>
      </c>
      <c r="B33" s="27">
        <f>B28</f>
        <v>1</v>
      </c>
      <c r="C33" s="27" t="str">
        <f>B30</f>
        <v>kilogram</v>
      </c>
      <c r="D33" s="27" t="s">
        <v>2</v>
      </c>
      <c r="E33" s="27" t="s">
        <v>29</v>
      </c>
      <c r="F33" s="27" t="str">
        <f>B27</f>
        <v>RER</v>
      </c>
      <c r="G33" s="27" t="s">
        <v>30</v>
      </c>
      <c r="H33" s="27">
        <v>0</v>
      </c>
      <c r="I33" s="27">
        <f>B33</f>
        <v>1</v>
      </c>
      <c r="J33" s="27" t="s">
        <v>31</v>
      </c>
      <c r="K33" s="27" t="s">
        <v>31</v>
      </c>
      <c r="L33" s="27" t="s">
        <v>31</v>
      </c>
      <c r="M33" s="27" t="s">
        <v>31</v>
      </c>
    </row>
    <row r="34" spans="1:14" s="27" customFormat="1" ht="12.95">
      <c r="A34" s="27" t="s">
        <v>1529</v>
      </c>
      <c r="B34" s="42">
        <v>-1</v>
      </c>
      <c r="C34" s="27" t="s">
        <v>37</v>
      </c>
      <c r="D34" s="27" t="s">
        <v>40</v>
      </c>
      <c r="E34" s="27" t="s">
        <v>29</v>
      </c>
      <c r="F34" s="27" t="s">
        <v>35</v>
      </c>
      <c r="G34" s="27" t="s">
        <v>33</v>
      </c>
      <c r="H34" s="27">
        <v>0</v>
      </c>
      <c r="I34" s="42">
        <f>B34</f>
        <v>-1</v>
      </c>
      <c r="J34" s="27" t="s">
        <v>31</v>
      </c>
      <c r="K34" s="27" t="s">
        <v>31</v>
      </c>
      <c r="L34" s="27" t="s">
        <v>31</v>
      </c>
      <c r="M34" s="27" t="s">
        <v>31</v>
      </c>
      <c r="N34" s="27" t="s">
        <v>1530</v>
      </c>
    </row>
    <row r="35" spans="1:14" ht="15.6">
      <c r="A35" s="28" t="s">
        <v>5</v>
      </c>
      <c r="B35" s="28" t="s">
        <v>1521</v>
      </c>
      <c r="C35" s="29"/>
      <c r="D35" s="30"/>
      <c r="E35" s="30"/>
      <c r="F35" s="30"/>
      <c r="G35" s="30"/>
      <c r="H35" s="30"/>
      <c r="I35" s="30"/>
      <c r="J35" s="30"/>
      <c r="K35" s="30"/>
      <c r="L35" s="30"/>
      <c r="M35" s="30"/>
      <c r="N35" s="30"/>
    </row>
    <row r="36" spans="1:14" s="27" customFormat="1" ht="12.95">
      <c r="A36" s="27" t="s">
        <v>7</v>
      </c>
      <c r="B36" s="27" t="s">
        <v>1502</v>
      </c>
    </row>
    <row r="37" spans="1:14" s="27" customFormat="1" ht="12.95">
      <c r="A37" s="27" t="s">
        <v>9</v>
      </c>
      <c r="B37" s="27" t="s">
        <v>1531</v>
      </c>
    </row>
    <row r="38" spans="1:14" s="27" customFormat="1" ht="12.95">
      <c r="A38" s="27" t="s">
        <v>11</v>
      </c>
      <c r="B38" s="27" t="s">
        <v>1532</v>
      </c>
    </row>
    <row r="39" spans="1:14" s="27" customFormat="1" ht="12.95">
      <c r="A39" s="27" t="s">
        <v>13</v>
      </c>
      <c r="B39" s="27" t="s">
        <v>35</v>
      </c>
    </row>
    <row r="40" spans="1:14" s="27" customFormat="1" ht="12.95">
      <c r="A40" s="27" t="s">
        <v>15</v>
      </c>
      <c r="B40" s="37">
        <v>1</v>
      </c>
    </row>
    <row r="41" spans="1:14" s="27" customFormat="1" ht="12.95">
      <c r="A41" s="27" t="s">
        <v>16</v>
      </c>
      <c r="B41" s="27" t="s">
        <v>17</v>
      </c>
    </row>
    <row r="42" spans="1:14" s="27" customFormat="1" ht="12.95">
      <c r="A42" s="27" t="s">
        <v>18</v>
      </c>
      <c r="B42" s="27" t="s">
        <v>37</v>
      </c>
    </row>
    <row r="43" spans="1:14" ht="15.6">
      <c r="A43" s="26" t="s">
        <v>19</v>
      </c>
    </row>
    <row r="44" spans="1:14" ht="15.6">
      <c r="A44" s="26" t="s">
        <v>20</v>
      </c>
      <c r="B44" s="26" t="s">
        <v>21</v>
      </c>
      <c r="C44" s="26" t="s">
        <v>18</v>
      </c>
      <c r="D44" s="26" t="s">
        <v>22</v>
      </c>
      <c r="E44" s="26" t="s">
        <v>7</v>
      </c>
      <c r="F44" s="26" t="s">
        <v>13</v>
      </c>
      <c r="G44" s="26" t="s">
        <v>16</v>
      </c>
      <c r="H44" s="26" t="s">
        <v>23</v>
      </c>
      <c r="I44" s="26" t="s">
        <v>24</v>
      </c>
      <c r="J44" s="26" t="s">
        <v>25</v>
      </c>
      <c r="K44" s="26" t="s">
        <v>26</v>
      </c>
      <c r="L44" s="26" t="s">
        <v>27</v>
      </c>
      <c r="M44" s="26" t="s">
        <v>28</v>
      </c>
      <c r="N44" s="26" t="s">
        <v>723</v>
      </c>
    </row>
    <row r="45" spans="1:14" s="27" customFormat="1" ht="12.95">
      <c r="A45" s="27" t="str">
        <f>B35</f>
        <v>solid waste from planes</v>
      </c>
      <c r="B45" s="27">
        <f>B40</f>
        <v>1</v>
      </c>
      <c r="C45" s="27" t="str">
        <f>B42</f>
        <v>kilogram</v>
      </c>
      <c r="D45" s="27" t="s">
        <v>2</v>
      </c>
      <c r="E45" s="27" t="s">
        <v>29</v>
      </c>
      <c r="F45" s="27" t="str">
        <f>B39</f>
        <v>RER</v>
      </c>
      <c r="G45" s="27" t="s">
        <v>30</v>
      </c>
      <c r="H45" s="27">
        <v>0</v>
      </c>
      <c r="I45" s="27">
        <f>B45</f>
        <v>1</v>
      </c>
      <c r="J45" s="27" t="s">
        <v>31</v>
      </c>
      <c r="K45" s="27" t="s">
        <v>31</v>
      </c>
      <c r="L45" s="27" t="s">
        <v>31</v>
      </c>
      <c r="M45" s="27" t="s">
        <v>31</v>
      </c>
    </row>
    <row r="46" spans="1:14" s="27" customFormat="1" ht="12.95">
      <c r="A46" s="27" t="s">
        <v>1529</v>
      </c>
      <c r="B46" s="42">
        <v>-1</v>
      </c>
      <c r="C46" s="27" t="s">
        <v>37</v>
      </c>
      <c r="D46" s="27" t="s">
        <v>40</v>
      </c>
      <c r="E46" s="27" t="s">
        <v>29</v>
      </c>
      <c r="F46" s="27" t="s">
        <v>35</v>
      </c>
      <c r="G46" s="27" t="s">
        <v>33</v>
      </c>
      <c r="H46" s="27">
        <v>0</v>
      </c>
      <c r="I46" s="27">
        <f t="shared" ref="I46" si="4">B46</f>
        <v>-1</v>
      </c>
      <c r="J46" s="27" t="s">
        <v>31</v>
      </c>
      <c r="K46" s="27" t="s">
        <v>31</v>
      </c>
      <c r="L46" s="27" t="s">
        <v>31</v>
      </c>
      <c r="M46" s="27" t="s">
        <v>31</v>
      </c>
      <c r="N46" s="27" t="s">
        <v>1533</v>
      </c>
    </row>
    <row r="47" spans="1:14">
      <c r="A47" s="30"/>
      <c r="B47" s="30"/>
      <c r="C47" s="30"/>
      <c r="D47" s="30"/>
      <c r="E47" s="30"/>
      <c r="F47" s="30"/>
      <c r="G47" s="30"/>
      <c r="H47" s="30"/>
      <c r="I47" s="30"/>
      <c r="J47" s="30"/>
      <c r="K47" s="30"/>
      <c r="L47" s="30"/>
      <c r="M47" s="30"/>
      <c r="N47" s="30"/>
    </row>
    <row r="48" spans="1:14">
      <c r="A48" s="37"/>
    </row>
    <row r="49" spans="1:1">
      <c r="A49" s="37"/>
    </row>
  </sheetData>
  <mergeCells count="1">
    <mergeCell ref="O3:Q3"/>
  </mergeCells>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F432-F766-4C68-BFB0-AF24BC8C22BE}">
  <dimension ref="A1:P201"/>
  <sheetViews>
    <sheetView workbookViewId="0">
      <selection activeCell="D13" sqref="D13"/>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6">
      <c r="A1" s="24" t="s">
        <v>0</v>
      </c>
      <c r="B1" s="24">
        <v>13</v>
      </c>
      <c r="C1" s="25"/>
    </row>
    <row r="2" spans="1:16" ht="15.6">
      <c r="A2" s="28" t="s">
        <v>5</v>
      </c>
      <c r="B2" s="28" t="s">
        <v>1509</v>
      </c>
      <c r="C2" s="29"/>
      <c r="D2" s="30"/>
      <c r="E2" s="30"/>
      <c r="F2" s="30"/>
      <c r="G2" s="30"/>
      <c r="H2" s="30"/>
      <c r="I2" s="30"/>
      <c r="J2" s="30"/>
      <c r="K2" s="30"/>
      <c r="L2" s="30"/>
      <c r="M2" s="30"/>
      <c r="N2" s="30"/>
    </row>
    <row r="3" spans="1:16" s="27" customFormat="1" ht="12.95">
      <c r="A3" s="27" t="s">
        <v>7</v>
      </c>
      <c r="B3" s="27" t="s">
        <v>1502</v>
      </c>
      <c r="O3" s="479" t="s">
        <v>1503</v>
      </c>
      <c r="P3" s="481"/>
    </row>
    <row r="4" spans="1:16" s="27" customFormat="1" ht="12.95">
      <c r="A4" s="27" t="s">
        <v>9</v>
      </c>
      <c r="B4" s="27" t="s">
        <v>1534</v>
      </c>
      <c r="O4" s="31" t="s">
        <v>1505</v>
      </c>
      <c r="P4" s="33" t="s">
        <v>1506</v>
      </c>
    </row>
    <row r="5" spans="1:16" s="27" customFormat="1" ht="12.95">
      <c r="A5" s="27" t="s">
        <v>11</v>
      </c>
      <c r="B5" s="27" t="s">
        <v>1535</v>
      </c>
      <c r="O5" s="34" t="s">
        <v>1536</v>
      </c>
      <c r="P5" s="43">
        <v>100</v>
      </c>
    </row>
    <row r="6" spans="1:16" s="27" customFormat="1" ht="12.95">
      <c r="A6" s="27" t="s">
        <v>13</v>
      </c>
      <c r="B6" s="27" t="s">
        <v>1511</v>
      </c>
      <c r="O6" s="38" t="s">
        <v>1537</v>
      </c>
      <c r="P6" s="44">
        <v>33.33</v>
      </c>
    </row>
    <row r="7" spans="1:16" s="27" customFormat="1" ht="12.95">
      <c r="A7" s="27" t="s">
        <v>15</v>
      </c>
      <c r="B7" s="37">
        <v>1</v>
      </c>
      <c r="O7" s="45" t="s">
        <v>1507</v>
      </c>
      <c r="P7" s="44">
        <f>P5/P6</f>
        <v>3.0003000300030003</v>
      </c>
    </row>
    <row r="8" spans="1:16" s="27" customFormat="1" ht="12.95">
      <c r="A8" s="27" t="s">
        <v>16</v>
      </c>
      <c r="B8" s="27" t="s">
        <v>17</v>
      </c>
    </row>
    <row r="9" spans="1:16" s="27" customFormat="1" ht="12.95">
      <c r="A9" s="27" t="s">
        <v>18</v>
      </c>
      <c r="B9" s="27" t="s">
        <v>18</v>
      </c>
    </row>
    <row r="10" spans="1:16" ht="15.6">
      <c r="A10" s="26" t="s">
        <v>19</v>
      </c>
    </row>
    <row r="11" spans="1:16"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6" s="27" customFormat="1" ht="12.95">
      <c r="A12" s="27" t="str">
        <f>B2</f>
        <v>airport construction</v>
      </c>
      <c r="B12" s="27">
        <f>B7</f>
        <v>1</v>
      </c>
      <c r="C12" s="27" t="str">
        <f>B9</f>
        <v>unit</v>
      </c>
      <c r="D12" s="27" t="s">
        <v>2</v>
      </c>
      <c r="E12" s="27" t="s">
        <v>29</v>
      </c>
      <c r="F12" s="27" t="str">
        <f>B6</f>
        <v>NL</v>
      </c>
      <c r="G12" s="27" t="s">
        <v>30</v>
      </c>
      <c r="H12" s="27">
        <v>0</v>
      </c>
      <c r="I12" s="27">
        <f>B12</f>
        <v>1</v>
      </c>
    </row>
    <row r="13" spans="1:16" s="27" customFormat="1" ht="12.95">
      <c r="A13" s="37" t="s">
        <v>1538</v>
      </c>
      <c r="B13" s="42">
        <v>1</v>
      </c>
      <c r="C13" s="27" t="s">
        <v>18</v>
      </c>
      <c r="D13" s="27" t="s">
        <v>2</v>
      </c>
      <c r="E13" s="27" t="s">
        <v>29</v>
      </c>
      <c r="F13" s="27" t="s">
        <v>35</v>
      </c>
      <c r="G13" s="27" t="s">
        <v>33</v>
      </c>
      <c r="H13" s="27">
        <v>0</v>
      </c>
      <c r="I13" s="27">
        <f t="shared" ref="I13:I14" si="0">B13</f>
        <v>1</v>
      </c>
      <c r="J13" s="27" t="s">
        <v>31</v>
      </c>
      <c r="K13" s="27" t="s">
        <v>31</v>
      </c>
      <c r="L13" s="27" t="s">
        <v>31</v>
      </c>
      <c r="M13" s="27" t="s">
        <v>31</v>
      </c>
      <c r="N13" s="27" t="s">
        <v>1539</v>
      </c>
    </row>
    <row r="14" spans="1:16" s="27" customFormat="1" ht="12.95">
      <c r="A14" s="37" t="s">
        <v>1540</v>
      </c>
      <c r="B14" s="42">
        <v>1</v>
      </c>
      <c r="C14" s="27" t="s">
        <v>18</v>
      </c>
      <c r="D14" s="27" t="s">
        <v>2</v>
      </c>
      <c r="E14" s="27" t="s">
        <v>29</v>
      </c>
      <c r="F14" s="27" t="s">
        <v>35</v>
      </c>
      <c r="G14" s="27" t="s">
        <v>33</v>
      </c>
      <c r="H14" s="27">
        <v>0</v>
      </c>
      <c r="I14" s="27">
        <f t="shared" si="0"/>
        <v>1</v>
      </c>
      <c r="J14" s="27" t="s">
        <v>31</v>
      </c>
      <c r="K14" s="27" t="s">
        <v>31</v>
      </c>
      <c r="L14" s="27" t="s">
        <v>31</v>
      </c>
      <c r="M14" s="27" t="s">
        <v>31</v>
      </c>
      <c r="N14" s="27" t="s">
        <v>1541</v>
      </c>
    </row>
    <row r="15" spans="1:16" ht="15.6">
      <c r="A15" s="28" t="s">
        <v>5</v>
      </c>
      <c r="B15" s="28" t="s">
        <v>1538</v>
      </c>
      <c r="C15" s="29"/>
      <c r="D15" s="30"/>
      <c r="E15" s="30"/>
      <c r="F15" s="30"/>
      <c r="G15" s="30"/>
      <c r="H15" s="30"/>
      <c r="I15" s="30"/>
      <c r="J15" s="30"/>
      <c r="K15" s="30"/>
      <c r="L15" s="30"/>
      <c r="M15" s="30"/>
      <c r="N15" s="30"/>
    </row>
    <row r="16" spans="1:16" s="27" customFormat="1" ht="12.95">
      <c r="A16" s="27" t="s">
        <v>7</v>
      </c>
      <c r="B16" s="27" t="s">
        <v>1502</v>
      </c>
    </row>
    <row r="17" spans="1:14" s="27" customFormat="1" ht="12.95">
      <c r="A17" s="27" t="s">
        <v>9</v>
      </c>
      <c r="B17" s="27" t="s">
        <v>1542</v>
      </c>
    </row>
    <row r="18" spans="1:14" s="27" customFormat="1" ht="12.95">
      <c r="A18" s="27" t="s">
        <v>11</v>
      </c>
      <c r="B18" s="27" t="s">
        <v>1543</v>
      </c>
    </row>
    <row r="19" spans="1:14" s="27" customFormat="1" ht="12.95">
      <c r="A19" s="27" t="s">
        <v>13</v>
      </c>
      <c r="B19" s="27" t="s">
        <v>35</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2.95">
      <c r="A25" s="27" t="str">
        <f>B15</f>
        <v>landside construction</v>
      </c>
      <c r="B25" s="27">
        <f>B20</f>
        <v>1</v>
      </c>
      <c r="C25" s="27" t="str">
        <f>B22</f>
        <v>unit</v>
      </c>
      <c r="D25" s="27" t="s">
        <v>2</v>
      </c>
      <c r="E25" s="27" t="s">
        <v>29</v>
      </c>
      <c r="F25" s="27" t="str">
        <f>B19</f>
        <v>RER</v>
      </c>
      <c r="G25" s="27" t="s">
        <v>30</v>
      </c>
      <c r="H25" s="27">
        <v>0</v>
      </c>
      <c r="I25" s="27">
        <f>B25</f>
        <v>1</v>
      </c>
      <c r="J25" s="27" t="s">
        <v>31</v>
      </c>
      <c r="K25" s="27" t="s">
        <v>31</v>
      </c>
      <c r="L25" s="27" t="s">
        <v>31</v>
      </c>
      <c r="M25" s="27" t="s">
        <v>31</v>
      </c>
    </row>
    <row r="26" spans="1:14" s="27" customFormat="1" ht="12.95">
      <c r="A26" s="37" t="s">
        <v>1544</v>
      </c>
      <c r="B26" s="42">
        <v>1</v>
      </c>
      <c r="C26" s="27" t="s">
        <v>18</v>
      </c>
      <c r="D26" s="27" t="s">
        <v>2</v>
      </c>
      <c r="E26" s="27" t="s">
        <v>29</v>
      </c>
      <c r="F26" s="27" t="s">
        <v>35</v>
      </c>
      <c r="G26" s="27" t="s">
        <v>33</v>
      </c>
      <c r="H26" s="27">
        <v>0</v>
      </c>
      <c r="I26" s="27">
        <f>B26</f>
        <v>1</v>
      </c>
      <c r="J26" s="27" t="s">
        <v>31</v>
      </c>
      <c r="K26" s="27" t="s">
        <v>31</v>
      </c>
      <c r="L26" s="27" t="s">
        <v>31</v>
      </c>
      <c r="M26" s="27" t="s">
        <v>31</v>
      </c>
      <c r="N26" s="27" t="s">
        <v>1545</v>
      </c>
    </row>
    <row r="27" spans="1:14" s="27" customFormat="1" ht="12.95">
      <c r="A27" s="37" t="s">
        <v>1546</v>
      </c>
      <c r="B27" s="42">
        <v>1</v>
      </c>
      <c r="C27" s="27" t="s">
        <v>18</v>
      </c>
      <c r="D27" s="27" t="s">
        <v>2</v>
      </c>
      <c r="E27" s="27" t="s">
        <v>29</v>
      </c>
      <c r="F27" s="27" t="s">
        <v>35</v>
      </c>
      <c r="G27" s="27" t="s">
        <v>33</v>
      </c>
      <c r="H27" s="27">
        <v>0</v>
      </c>
      <c r="I27" s="27">
        <f>B27</f>
        <v>1</v>
      </c>
      <c r="J27" s="27" t="s">
        <v>31</v>
      </c>
      <c r="K27" s="27" t="s">
        <v>31</v>
      </c>
      <c r="L27" s="27" t="s">
        <v>31</v>
      </c>
      <c r="M27" s="27" t="s">
        <v>31</v>
      </c>
      <c r="N27" s="27" t="s">
        <v>1547</v>
      </c>
    </row>
    <row r="28" spans="1:14" s="27" customFormat="1" ht="12.95">
      <c r="A28" s="37" t="s">
        <v>1548</v>
      </c>
      <c r="B28" s="42">
        <v>1</v>
      </c>
      <c r="C28" s="27" t="s">
        <v>18</v>
      </c>
      <c r="D28" s="27" t="s">
        <v>2</v>
      </c>
      <c r="E28" s="27" t="s">
        <v>29</v>
      </c>
      <c r="F28" s="27" t="s">
        <v>35</v>
      </c>
      <c r="G28" s="27" t="s">
        <v>33</v>
      </c>
      <c r="H28" s="27">
        <v>0</v>
      </c>
      <c r="I28" s="27">
        <f>B28</f>
        <v>1</v>
      </c>
      <c r="J28" s="27" t="s">
        <v>31</v>
      </c>
      <c r="K28" s="27" t="s">
        <v>31</v>
      </c>
      <c r="L28" s="27" t="s">
        <v>31</v>
      </c>
      <c r="M28" s="27" t="s">
        <v>31</v>
      </c>
      <c r="N28" s="27" t="s">
        <v>1541</v>
      </c>
    </row>
    <row r="29" spans="1:14" ht="15.6">
      <c r="A29" s="28" t="s">
        <v>5</v>
      </c>
      <c r="B29" s="28" t="s">
        <v>1544</v>
      </c>
      <c r="C29" s="29"/>
      <c r="D29" s="30"/>
      <c r="E29" s="30"/>
      <c r="F29" s="30"/>
      <c r="G29" s="30"/>
      <c r="H29" s="30"/>
      <c r="I29" s="30"/>
      <c r="J29" s="30"/>
      <c r="K29" s="30"/>
      <c r="L29" s="30"/>
      <c r="M29" s="30"/>
      <c r="N29" s="30"/>
    </row>
    <row r="30" spans="1:14" s="27" customFormat="1" ht="12.95">
      <c r="A30" s="27" t="s">
        <v>7</v>
      </c>
      <c r="B30" s="27" t="s">
        <v>1502</v>
      </c>
    </row>
    <row r="31" spans="1:14" s="27" customFormat="1" ht="12.95">
      <c r="A31" s="27" t="s">
        <v>9</v>
      </c>
      <c r="B31" s="27" t="s">
        <v>1549</v>
      </c>
    </row>
    <row r="32" spans="1:14" s="27" customFormat="1" ht="12.95">
      <c r="A32" s="27" t="s">
        <v>11</v>
      </c>
      <c r="B32" s="27" t="s">
        <v>1550</v>
      </c>
    </row>
    <row r="33" spans="1:14" s="27" customFormat="1" ht="12.95">
      <c r="A33" s="27" t="s">
        <v>13</v>
      </c>
      <c r="B33" s="27" t="s">
        <v>35</v>
      </c>
    </row>
    <row r="34" spans="1:14" s="27" customFormat="1" ht="12.95">
      <c r="A34" s="27" t="s">
        <v>15</v>
      </c>
      <c r="B34" s="37">
        <v>1</v>
      </c>
    </row>
    <row r="35" spans="1:14" s="27" customFormat="1" ht="12.95">
      <c r="A35" s="27" t="s">
        <v>16</v>
      </c>
      <c r="B35" s="27" t="s">
        <v>17</v>
      </c>
    </row>
    <row r="36" spans="1:14" s="27" customFormat="1" ht="12.95">
      <c r="A36" s="27" t="s">
        <v>18</v>
      </c>
      <c r="B36" s="27" t="s">
        <v>18</v>
      </c>
    </row>
    <row r="37" spans="1:14" ht="15.6">
      <c r="A37" s="26" t="s">
        <v>19</v>
      </c>
    </row>
    <row r="38" spans="1:14"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4" s="27" customFormat="1" ht="12.95">
      <c r="A39" s="27" t="str">
        <f>B29</f>
        <v>landside building construction</v>
      </c>
      <c r="B39" s="27">
        <f>B34</f>
        <v>1</v>
      </c>
      <c r="C39" s="27" t="str">
        <f>B36</f>
        <v>unit</v>
      </c>
      <c r="D39" s="27" t="s">
        <v>2</v>
      </c>
      <c r="E39" s="27" t="s">
        <v>29</v>
      </c>
      <c r="F39" s="27" t="str">
        <f>B33</f>
        <v>RER</v>
      </c>
      <c r="G39" s="27" t="s">
        <v>30</v>
      </c>
      <c r="H39" s="27">
        <v>0</v>
      </c>
      <c r="I39" s="27">
        <f>B39</f>
        <v>1</v>
      </c>
      <c r="J39" s="27" t="s">
        <v>31</v>
      </c>
      <c r="K39" s="27" t="s">
        <v>31</v>
      </c>
      <c r="L39" s="27" t="s">
        <v>31</v>
      </c>
      <c r="M39" s="27" t="s">
        <v>31</v>
      </c>
    </row>
    <row r="40" spans="1:14" s="27" customFormat="1" ht="12.95">
      <c r="A40" s="27" t="s">
        <v>1551</v>
      </c>
      <c r="B40" s="27">
        <v>49625</v>
      </c>
      <c r="C40" s="27" t="s">
        <v>853</v>
      </c>
      <c r="D40" s="27" t="s">
        <v>43</v>
      </c>
      <c r="E40" s="27" t="s">
        <v>1552</v>
      </c>
      <c r="F40" s="27" t="s">
        <v>29</v>
      </c>
      <c r="G40" s="27" t="s">
        <v>45</v>
      </c>
      <c r="H40" s="27">
        <v>0</v>
      </c>
      <c r="I40" s="27">
        <f>B40</f>
        <v>49625</v>
      </c>
      <c r="J40" s="27" t="s">
        <v>31</v>
      </c>
      <c r="K40" s="27" t="s">
        <v>31</v>
      </c>
      <c r="L40" s="27" t="s">
        <v>31</v>
      </c>
      <c r="M40" s="27" t="s">
        <v>31</v>
      </c>
      <c r="N40" s="27" t="s">
        <v>1553</v>
      </c>
    </row>
    <row r="41" spans="1:14" s="27" customFormat="1" ht="12.95">
      <c r="A41" s="27" t="s">
        <v>1554</v>
      </c>
      <c r="B41" s="27">
        <f>100*B40</f>
        <v>4962500</v>
      </c>
      <c r="C41" s="27" t="s">
        <v>1555</v>
      </c>
      <c r="D41" s="27" t="s">
        <v>43</v>
      </c>
      <c r="E41" s="27" t="s">
        <v>1552</v>
      </c>
      <c r="F41" s="27" t="s">
        <v>29</v>
      </c>
      <c r="G41" s="27" t="s">
        <v>45</v>
      </c>
      <c r="H41" s="27">
        <v>0</v>
      </c>
      <c r="I41" s="27">
        <f>B41</f>
        <v>4962500</v>
      </c>
      <c r="J41" s="27" t="s">
        <v>31</v>
      </c>
      <c r="K41" s="27" t="s">
        <v>31</v>
      </c>
      <c r="L41" s="27" t="s">
        <v>31</v>
      </c>
      <c r="M41" s="27" t="s">
        <v>31</v>
      </c>
      <c r="N41" s="27" t="s">
        <v>1556</v>
      </c>
    </row>
    <row r="42" spans="1:14" s="27" customFormat="1" ht="12.95">
      <c r="A42" s="37" t="s">
        <v>1557</v>
      </c>
      <c r="B42" s="42">
        <f>B40*0.7</f>
        <v>34737.5</v>
      </c>
      <c r="C42" s="27" t="s">
        <v>853</v>
      </c>
      <c r="D42" s="27" t="s">
        <v>40</v>
      </c>
      <c r="E42" s="27" t="s">
        <v>29</v>
      </c>
      <c r="F42" s="27" t="s">
        <v>59</v>
      </c>
      <c r="G42" s="27" t="s">
        <v>33</v>
      </c>
      <c r="H42" s="27">
        <v>0</v>
      </c>
      <c r="I42" s="27">
        <f t="shared" ref="I42:I43" si="1">B42</f>
        <v>34737.5</v>
      </c>
      <c r="J42" s="27" t="s">
        <v>31</v>
      </c>
      <c r="K42" s="27" t="s">
        <v>31</v>
      </c>
      <c r="L42" s="27" t="s">
        <v>31</v>
      </c>
      <c r="M42" s="27" t="s">
        <v>31</v>
      </c>
      <c r="N42" s="27" t="s">
        <v>1558</v>
      </c>
    </row>
    <row r="43" spans="1:14" s="27" customFormat="1" ht="12.95">
      <c r="A43" s="46" t="s">
        <v>1559</v>
      </c>
      <c r="B43" s="42">
        <f>B40*0.3*5*2.5*P7</f>
        <v>558337.0837083708</v>
      </c>
      <c r="C43" s="27" t="s">
        <v>42</v>
      </c>
      <c r="D43" s="27" t="s">
        <v>40</v>
      </c>
      <c r="E43" s="27" t="s">
        <v>29</v>
      </c>
      <c r="F43" s="27" t="s">
        <v>59</v>
      </c>
      <c r="G43" s="27" t="s">
        <v>33</v>
      </c>
      <c r="H43" s="27">
        <v>0</v>
      </c>
      <c r="I43" s="27">
        <f t="shared" si="1"/>
        <v>558337.0837083708</v>
      </c>
      <c r="J43" s="27" t="s">
        <v>31</v>
      </c>
      <c r="K43" s="27" t="s">
        <v>31</v>
      </c>
      <c r="L43" s="27" t="s">
        <v>31</v>
      </c>
      <c r="M43" s="27" t="s">
        <v>31</v>
      </c>
      <c r="N43" s="27" t="s">
        <v>1560</v>
      </c>
    </row>
    <row r="44" spans="1:14" ht="15.6">
      <c r="A44" s="28" t="s">
        <v>5</v>
      </c>
      <c r="B44" s="28" t="s">
        <v>1546</v>
      </c>
      <c r="C44" s="29"/>
      <c r="D44" s="30"/>
      <c r="E44" s="30"/>
      <c r="F44" s="30"/>
      <c r="G44" s="30"/>
      <c r="H44" s="30"/>
      <c r="I44" s="30"/>
      <c r="J44" s="30"/>
      <c r="K44" s="30"/>
      <c r="L44" s="30"/>
      <c r="M44" s="30"/>
      <c r="N44" s="30"/>
    </row>
    <row r="45" spans="1:14" s="27" customFormat="1" ht="12.95">
      <c r="A45" s="27" t="s">
        <v>7</v>
      </c>
      <c r="B45" s="27" t="s">
        <v>1502</v>
      </c>
    </row>
    <row r="46" spans="1:14" s="27" customFormat="1" ht="12.95">
      <c r="A46" s="27" t="s">
        <v>9</v>
      </c>
      <c r="B46" s="27" t="s">
        <v>1561</v>
      </c>
    </row>
    <row r="47" spans="1:14" s="27" customFormat="1" ht="12.95">
      <c r="A47" s="27" t="s">
        <v>11</v>
      </c>
      <c r="B47" s="27" t="s">
        <v>1562</v>
      </c>
    </row>
    <row r="48" spans="1:14" s="27" customFormat="1" ht="12.95">
      <c r="A48" s="27" t="s">
        <v>13</v>
      </c>
      <c r="B48" s="27" t="s">
        <v>35</v>
      </c>
    </row>
    <row r="49" spans="1:14" s="27" customFormat="1" ht="12.95">
      <c r="A49" s="27" t="s">
        <v>15</v>
      </c>
      <c r="B49" s="37">
        <v>1</v>
      </c>
    </row>
    <row r="50" spans="1:14" s="27" customFormat="1" ht="12.95">
      <c r="A50" s="27" t="s">
        <v>16</v>
      </c>
      <c r="B50" s="27" t="s">
        <v>17</v>
      </c>
    </row>
    <row r="51" spans="1:14" s="27" customFormat="1" ht="12.95">
      <c r="A51" s="27" t="s">
        <v>18</v>
      </c>
      <c r="B51" s="27" t="s">
        <v>18</v>
      </c>
    </row>
    <row r="52" spans="1:14" ht="15.6">
      <c r="A52" s="26" t="s">
        <v>19</v>
      </c>
    </row>
    <row r="53" spans="1:14" ht="15.6">
      <c r="A53" s="26" t="s">
        <v>20</v>
      </c>
      <c r="B53" s="26" t="s">
        <v>21</v>
      </c>
      <c r="C53" s="26" t="s">
        <v>18</v>
      </c>
      <c r="D53" s="26" t="s">
        <v>22</v>
      </c>
      <c r="E53" s="26" t="s">
        <v>7</v>
      </c>
      <c r="F53" s="26" t="s">
        <v>13</v>
      </c>
      <c r="G53" s="26" t="s">
        <v>16</v>
      </c>
      <c r="H53" s="26" t="s">
        <v>23</v>
      </c>
      <c r="I53" s="26" t="s">
        <v>24</v>
      </c>
      <c r="J53" s="26" t="s">
        <v>25</v>
      </c>
      <c r="K53" s="26" t="s">
        <v>26</v>
      </c>
      <c r="L53" s="26" t="s">
        <v>27</v>
      </c>
      <c r="M53" s="26" t="s">
        <v>28</v>
      </c>
      <c r="N53" s="26" t="s">
        <v>723</v>
      </c>
    </row>
    <row r="54" spans="1:14" s="27" customFormat="1" ht="12.95">
      <c r="A54" s="27" t="str">
        <f>B44</f>
        <v>parking construction</v>
      </c>
      <c r="B54" s="27">
        <f>B49</f>
        <v>1</v>
      </c>
      <c r="C54" s="27" t="str">
        <f>B51</f>
        <v>unit</v>
      </c>
      <c r="D54" s="27" t="s">
        <v>2</v>
      </c>
      <c r="E54" s="27" t="s">
        <v>29</v>
      </c>
      <c r="F54" s="27" t="str">
        <f>B48</f>
        <v>RER</v>
      </c>
      <c r="G54" s="27" t="s">
        <v>30</v>
      </c>
      <c r="H54" s="27">
        <v>0</v>
      </c>
      <c r="I54" s="27">
        <f>B54</f>
        <v>1</v>
      </c>
      <c r="J54" s="27" t="s">
        <v>31</v>
      </c>
      <c r="K54" s="27" t="s">
        <v>31</v>
      </c>
      <c r="L54" s="27" t="s">
        <v>31</v>
      </c>
      <c r="M54" s="27" t="s">
        <v>31</v>
      </c>
    </row>
    <row r="55" spans="1:14" s="27" customFormat="1" ht="12.95">
      <c r="A55" s="37" t="s">
        <v>1563</v>
      </c>
      <c r="B55" s="27">
        <v>96841</v>
      </c>
      <c r="C55" s="27" t="s">
        <v>853</v>
      </c>
      <c r="D55" s="27" t="s">
        <v>43</v>
      </c>
      <c r="E55" s="27" t="s">
        <v>1552</v>
      </c>
      <c r="F55" s="27" t="s">
        <v>29</v>
      </c>
      <c r="G55" s="27" t="s">
        <v>45</v>
      </c>
      <c r="H55" s="27">
        <v>0</v>
      </c>
      <c r="I55" s="27">
        <f>B55</f>
        <v>96841</v>
      </c>
      <c r="J55" s="27" t="s">
        <v>31</v>
      </c>
      <c r="K55" s="27" t="s">
        <v>31</v>
      </c>
      <c r="L55" s="27" t="s">
        <v>31</v>
      </c>
      <c r="M55" s="27" t="s">
        <v>31</v>
      </c>
      <c r="N55" s="27" t="s">
        <v>1553</v>
      </c>
    </row>
    <row r="56" spans="1:14" s="27" customFormat="1" ht="12.95">
      <c r="A56" s="27" t="s">
        <v>1564</v>
      </c>
      <c r="B56" s="27">
        <f>100*B55</f>
        <v>9684100</v>
      </c>
      <c r="C56" s="27" t="s">
        <v>1555</v>
      </c>
      <c r="D56" s="27" t="s">
        <v>43</v>
      </c>
      <c r="E56" s="27" t="s">
        <v>1552</v>
      </c>
      <c r="F56" s="27" t="s">
        <v>29</v>
      </c>
      <c r="G56" s="27" t="s">
        <v>45</v>
      </c>
      <c r="H56" s="27">
        <v>0</v>
      </c>
      <c r="I56" s="27">
        <f>B56</f>
        <v>9684100</v>
      </c>
      <c r="J56" s="27" t="s">
        <v>31</v>
      </c>
      <c r="K56" s="27" t="s">
        <v>31</v>
      </c>
      <c r="L56" s="27" t="s">
        <v>31</v>
      </c>
      <c r="M56" s="27" t="s">
        <v>31</v>
      </c>
      <c r="N56" s="27" t="s">
        <v>1556</v>
      </c>
    </row>
    <row r="57" spans="1:14" s="27" customFormat="1" ht="12.95">
      <c r="A57" s="47" t="s">
        <v>1565</v>
      </c>
      <c r="B57" s="42">
        <f>B55*0.3*P7</f>
        <v>87165.616561656163</v>
      </c>
      <c r="C57" s="27" t="s">
        <v>42</v>
      </c>
      <c r="D57" s="27" t="s">
        <v>40</v>
      </c>
      <c r="E57" s="27" t="s">
        <v>29</v>
      </c>
      <c r="F57" s="27" t="s">
        <v>82</v>
      </c>
      <c r="G57" s="27" t="s">
        <v>33</v>
      </c>
      <c r="H57" s="27">
        <v>0</v>
      </c>
      <c r="I57" s="27">
        <f t="shared" ref="I57" si="2">B57</f>
        <v>87165.616561656163</v>
      </c>
      <c r="J57" s="27" t="s">
        <v>31</v>
      </c>
      <c r="K57" s="27" t="s">
        <v>31</v>
      </c>
      <c r="L57" s="27" t="s">
        <v>31</v>
      </c>
      <c r="M57" s="27" t="s">
        <v>31</v>
      </c>
      <c r="N57" s="27" t="s">
        <v>1566</v>
      </c>
    </row>
    <row r="58" spans="1:14" ht="15.6">
      <c r="A58" s="28" t="s">
        <v>5</v>
      </c>
      <c r="B58" s="28" t="s">
        <v>1548</v>
      </c>
      <c r="C58" s="29"/>
      <c r="D58" s="30"/>
      <c r="E58" s="30"/>
      <c r="F58" s="30"/>
      <c r="G58" s="30"/>
      <c r="H58" s="30"/>
      <c r="I58" s="30"/>
      <c r="J58" s="30"/>
      <c r="K58" s="30"/>
      <c r="L58" s="30"/>
      <c r="M58" s="30"/>
      <c r="N58" s="30"/>
    </row>
    <row r="59" spans="1:14" s="27" customFormat="1" ht="12.95">
      <c r="A59" s="27" t="s">
        <v>7</v>
      </c>
      <c r="B59" s="27" t="s">
        <v>1502</v>
      </c>
    </row>
    <row r="60" spans="1:14" s="27" customFormat="1" ht="12.95">
      <c r="A60" s="27" t="s">
        <v>9</v>
      </c>
      <c r="B60" s="27" t="s">
        <v>1567</v>
      </c>
    </row>
    <row r="61" spans="1:14" s="27" customFormat="1" ht="12.95">
      <c r="A61" s="27" t="s">
        <v>11</v>
      </c>
      <c r="B61" s="27" t="s">
        <v>1568</v>
      </c>
    </row>
    <row r="62" spans="1:14" s="27" customFormat="1" ht="12.95">
      <c r="A62" s="27" t="s">
        <v>13</v>
      </c>
      <c r="B62" s="27" t="s">
        <v>35</v>
      </c>
    </row>
    <row r="63" spans="1:14" s="27" customFormat="1" ht="12.95">
      <c r="A63" s="27" t="s">
        <v>15</v>
      </c>
      <c r="B63" s="37">
        <v>1</v>
      </c>
    </row>
    <row r="64" spans="1:14" s="27" customFormat="1" ht="12.95">
      <c r="A64" s="27" t="s">
        <v>16</v>
      </c>
      <c r="B64" s="27" t="s">
        <v>17</v>
      </c>
    </row>
    <row r="65" spans="1:14" s="27" customFormat="1" ht="12.95">
      <c r="A65" s="27" t="s">
        <v>18</v>
      </c>
      <c r="B65" s="27" t="s">
        <v>18</v>
      </c>
    </row>
    <row r="66" spans="1:14" ht="15.6">
      <c r="A66" s="26" t="s">
        <v>19</v>
      </c>
    </row>
    <row r="67" spans="1:14" ht="15.6">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723</v>
      </c>
    </row>
    <row r="68" spans="1:14" s="27" customFormat="1" ht="12.95">
      <c r="A68" s="27" t="str">
        <f>B58</f>
        <v>landside green areas</v>
      </c>
      <c r="B68" s="27">
        <f>B63</f>
        <v>1</v>
      </c>
      <c r="C68" s="27" t="str">
        <f>B65</f>
        <v>unit</v>
      </c>
      <c r="D68" s="27" t="s">
        <v>2</v>
      </c>
      <c r="E68" s="27" t="s">
        <v>29</v>
      </c>
      <c r="F68" s="27" t="str">
        <f>B62</f>
        <v>RER</v>
      </c>
      <c r="G68" s="27" t="s">
        <v>30</v>
      </c>
      <c r="H68" s="27">
        <v>0</v>
      </c>
      <c r="I68" s="27">
        <f>B68</f>
        <v>1</v>
      </c>
      <c r="J68" s="27" t="s">
        <v>31</v>
      </c>
      <c r="K68" s="27" t="s">
        <v>31</v>
      </c>
      <c r="L68" s="27" t="s">
        <v>31</v>
      </c>
      <c r="M68" s="27" t="s">
        <v>31</v>
      </c>
    </row>
    <row r="69" spans="1:14" s="27" customFormat="1" ht="12.95">
      <c r="A69" s="37" t="s">
        <v>1569</v>
      </c>
      <c r="B69" s="42">
        <f>466000-B40-B55</f>
        <v>319534</v>
      </c>
      <c r="C69" s="27" t="s">
        <v>853</v>
      </c>
      <c r="D69" s="27" t="s">
        <v>43</v>
      </c>
      <c r="E69" s="27" t="s">
        <v>1552</v>
      </c>
      <c r="F69" s="27" t="s">
        <v>29</v>
      </c>
      <c r="G69" s="27" t="s">
        <v>45</v>
      </c>
      <c r="H69" s="27">
        <v>0</v>
      </c>
      <c r="I69" s="27">
        <f t="shared" ref="I69" si="3">B69</f>
        <v>319534</v>
      </c>
      <c r="J69" s="27" t="s">
        <v>31</v>
      </c>
      <c r="K69" s="27" t="s">
        <v>31</v>
      </c>
      <c r="L69" s="27" t="s">
        <v>31</v>
      </c>
      <c r="M69" s="27" t="s">
        <v>31</v>
      </c>
      <c r="N69" s="27" t="s">
        <v>1553</v>
      </c>
    </row>
    <row r="70" spans="1:14" s="27" customFormat="1" ht="15.6">
      <c r="A70" s="28" t="s">
        <v>5</v>
      </c>
      <c r="B70" s="28" t="s">
        <v>1540</v>
      </c>
      <c r="C70" s="29"/>
      <c r="D70" s="30"/>
      <c r="E70" s="30"/>
      <c r="F70" s="30"/>
      <c r="G70" s="30"/>
      <c r="H70" s="30"/>
      <c r="I70" s="30"/>
      <c r="J70" s="30"/>
      <c r="K70" s="30"/>
      <c r="L70" s="30"/>
      <c r="M70" s="30"/>
      <c r="N70" s="30"/>
    </row>
    <row r="71" spans="1:14" s="27" customFormat="1" ht="12.95">
      <c r="A71" s="27" t="s">
        <v>7</v>
      </c>
      <c r="B71" s="27" t="s">
        <v>1502</v>
      </c>
    </row>
    <row r="72" spans="1:14" s="27" customFormat="1" ht="12.95">
      <c r="A72" s="27" t="s">
        <v>9</v>
      </c>
      <c r="B72" s="27" t="s">
        <v>1570</v>
      </c>
    </row>
    <row r="73" spans="1:14">
      <c r="A73" s="27" t="s">
        <v>11</v>
      </c>
      <c r="B73" s="27" t="s">
        <v>1571</v>
      </c>
      <c r="C73" s="27"/>
      <c r="D73" s="27"/>
      <c r="E73" s="27"/>
      <c r="F73" s="27"/>
      <c r="G73" s="27"/>
      <c r="H73" s="27"/>
      <c r="I73" s="27"/>
      <c r="J73" s="27"/>
      <c r="K73" s="27"/>
      <c r="L73" s="27"/>
      <c r="M73" s="27"/>
      <c r="N73" s="27"/>
    </row>
    <row r="74" spans="1:14">
      <c r="A74" s="27" t="s">
        <v>13</v>
      </c>
      <c r="B74" s="27" t="s">
        <v>35</v>
      </c>
      <c r="C74" s="27"/>
      <c r="D74" s="27"/>
      <c r="E74" s="27"/>
      <c r="F74" s="27"/>
      <c r="G74" s="27"/>
      <c r="H74" s="27"/>
      <c r="I74" s="27"/>
      <c r="J74" s="27"/>
      <c r="K74" s="27"/>
      <c r="L74" s="27"/>
      <c r="M74" s="27"/>
      <c r="N74" s="27"/>
    </row>
    <row r="75" spans="1:14">
      <c r="A75" s="27" t="s">
        <v>15</v>
      </c>
      <c r="B75" s="37">
        <v>1</v>
      </c>
      <c r="C75" s="27"/>
      <c r="D75" s="27"/>
      <c r="E75" s="27"/>
      <c r="F75" s="27"/>
      <c r="G75" s="27"/>
      <c r="H75" s="27"/>
      <c r="I75" s="27"/>
      <c r="J75" s="27"/>
      <c r="K75" s="27"/>
      <c r="L75" s="27"/>
      <c r="M75" s="27"/>
      <c r="N75" s="27"/>
    </row>
    <row r="76" spans="1:14">
      <c r="A76" s="27" t="s">
        <v>16</v>
      </c>
      <c r="B76" s="27" t="s">
        <v>17</v>
      </c>
      <c r="C76" s="27"/>
      <c r="D76" s="27"/>
      <c r="E76" s="27"/>
      <c r="F76" s="27"/>
      <c r="G76" s="27"/>
      <c r="H76" s="27"/>
      <c r="I76" s="27"/>
      <c r="J76" s="27"/>
      <c r="K76" s="27"/>
      <c r="L76" s="27"/>
      <c r="M76" s="27"/>
      <c r="N76" s="27"/>
    </row>
    <row r="77" spans="1:14">
      <c r="A77" s="27" t="s">
        <v>18</v>
      </c>
      <c r="B77" s="27" t="s">
        <v>18</v>
      </c>
      <c r="C77" s="27"/>
      <c r="D77" s="27"/>
      <c r="E77" s="27"/>
      <c r="F77" s="27"/>
      <c r="G77" s="27"/>
      <c r="H77" s="27"/>
      <c r="I77" s="27"/>
      <c r="J77" s="27"/>
      <c r="K77" s="27"/>
      <c r="L77" s="27"/>
      <c r="M77" s="27"/>
      <c r="N77" s="27"/>
    </row>
    <row r="78" spans="1:14" ht="15.6">
      <c r="A78" s="26" t="s">
        <v>19</v>
      </c>
    </row>
    <row r="79" spans="1:14" ht="15.6">
      <c r="A79" s="26" t="s">
        <v>20</v>
      </c>
      <c r="B79" s="26" t="s">
        <v>21</v>
      </c>
      <c r="C79" s="26" t="s">
        <v>18</v>
      </c>
      <c r="D79" s="26" t="s">
        <v>22</v>
      </c>
      <c r="E79" s="26" t="s">
        <v>7</v>
      </c>
      <c r="F79" s="26" t="s">
        <v>13</v>
      </c>
      <c r="G79" s="26" t="s">
        <v>16</v>
      </c>
      <c r="H79" s="26" t="s">
        <v>23</v>
      </c>
      <c r="I79" s="26" t="s">
        <v>24</v>
      </c>
      <c r="J79" s="26" t="s">
        <v>25</v>
      </c>
      <c r="K79" s="26" t="s">
        <v>26</v>
      </c>
      <c r="L79" s="26" t="s">
        <v>27</v>
      </c>
      <c r="M79" s="26" t="s">
        <v>28</v>
      </c>
      <c r="N79" s="26" t="s">
        <v>723</v>
      </c>
    </row>
    <row r="80" spans="1:14">
      <c r="A80" s="27" t="str">
        <f>B70</f>
        <v>airside construction</v>
      </c>
      <c r="B80" s="27">
        <f>B75</f>
        <v>1</v>
      </c>
      <c r="C80" s="27" t="str">
        <f>B77</f>
        <v>unit</v>
      </c>
      <c r="D80" s="27" t="s">
        <v>2</v>
      </c>
      <c r="E80" s="27" t="s">
        <v>29</v>
      </c>
      <c r="F80" s="27" t="str">
        <f>B74</f>
        <v>RER</v>
      </c>
      <c r="G80" s="27" t="s">
        <v>30</v>
      </c>
      <c r="H80" s="27">
        <v>0</v>
      </c>
      <c r="I80" s="27">
        <f>B80</f>
        <v>1</v>
      </c>
      <c r="J80" s="27" t="s">
        <v>31</v>
      </c>
      <c r="K80" s="27" t="s">
        <v>31</v>
      </c>
      <c r="L80" s="27" t="s">
        <v>31</v>
      </c>
      <c r="M80" s="27" t="s">
        <v>31</v>
      </c>
      <c r="N80" s="27"/>
    </row>
    <row r="81" spans="1:14">
      <c r="A81" s="37" t="s">
        <v>1572</v>
      </c>
      <c r="B81" s="42">
        <v>1</v>
      </c>
      <c r="C81" s="27" t="s">
        <v>18</v>
      </c>
      <c r="D81" s="27" t="s">
        <v>2</v>
      </c>
      <c r="E81" s="27" t="s">
        <v>29</v>
      </c>
      <c r="F81" s="27" t="s">
        <v>35</v>
      </c>
      <c r="G81" s="27" t="s">
        <v>33</v>
      </c>
      <c r="H81" s="27">
        <v>0</v>
      </c>
      <c r="I81" s="27">
        <f>B81</f>
        <v>1</v>
      </c>
      <c r="J81" s="27" t="s">
        <v>31</v>
      </c>
      <c r="K81" s="27" t="s">
        <v>31</v>
      </c>
      <c r="L81" s="27" t="s">
        <v>31</v>
      </c>
      <c r="M81" s="27" t="s">
        <v>31</v>
      </c>
      <c r="N81" s="27" t="s">
        <v>1573</v>
      </c>
    </row>
    <row r="82" spans="1:14">
      <c r="A82" s="37" t="s">
        <v>1574</v>
      </c>
      <c r="B82" s="42">
        <v>1</v>
      </c>
      <c r="C82" s="27" t="s">
        <v>18</v>
      </c>
      <c r="D82" s="27" t="s">
        <v>2</v>
      </c>
      <c r="E82" s="27" t="s">
        <v>29</v>
      </c>
      <c r="F82" s="27" t="s">
        <v>35</v>
      </c>
      <c r="G82" s="27" t="s">
        <v>33</v>
      </c>
      <c r="H82" s="27">
        <v>0</v>
      </c>
      <c r="I82" s="27">
        <f>B82</f>
        <v>1</v>
      </c>
      <c r="J82" s="27" t="s">
        <v>31</v>
      </c>
      <c r="K82" s="27" t="s">
        <v>31</v>
      </c>
      <c r="L82" s="27" t="s">
        <v>31</v>
      </c>
      <c r="M82" s="27" t="s">
        <v>31</v>
      </c>
      <c r="N82" s="27" t="s">
        <v>1575</v>
      </c>
    </row>
    <row r="83" spans="1:14">
      <c r="A83" s="37" t="s">
        <v>1576</v>
      </c>
      <c r="B83" s="42">
        <v>1</v>
      </c>
      <c r="C83" s="27" t="s">
        <v>18</v>
      </c>
      <c r="D83" s="27" t="s">
        <v>2</v>
      </c>
      <c r="E83" s="27" t="s">
        <v>29</v>
      </c>
      <c r="F83" s="27" t="s">
        <v>35</v>
      </c>
      <c r="G83" s="27" t="s">
        <v>33</v>
      </c>
      <c r="H83" s="27">
        <v>0</v>
      </c>
      <c r="I83" s="27">
        <f>B83</f>
        <v>1</v>
      </c>
      <c r="J83" s="27" t="s">
        <v>31</v>
      </c>
      <c r="K83" s="27" t="s">
        <v>31</v>
      </c>
      <c r="L83" s="27" t="s">
        <v>31</v>
      </c>
      <c r="M83" s="27" t="s">
        <v>31</v>
      </c>
      <c r="N83" s="27" t="s">
        <v>1577</v>
      </c>
    </row>
    <row r="84" spans="1:14">
      <c r="A84" s="37" t="s">
        <v>1578</v>
      </c>
      <c r="B84" s="42">
        <v>1</v>
      </c>
      <c r="C84" s="27" t="s">
        <v>18</v>
      </c>
      <c r="D84" s="27" t="s">
        <v>2</v>
      </c>
      <c r="E84" s="27" t="s">
        <v>29</v>
      </c>
      <c r="F84" s="27" t="s">
        <v>35</v>
      </c>
      <c r="G84" s="27" t="s">
        <v>33</v>
      </c>
      <c r="H84" s="27">
        <v>0</v>
      </c>
      <c r="I84" s="27">
        <f t="shared" ref="I84:I87" si="4">B84</f>
        <v>1</v>
      </c>
      <c r="J84" s="27" t="s">
        <v>31</v>
      </c>
      <c r="K84" s="27" t="s">
        <v>31</v>
      </c>
      <c r="L84" s="27" t="s">
        <v>31</v>
      </c>
      <c r="M84" s="27" t="s">
        <v>31</v>
      </c>
      <c r="N84" s="27" t="s">
        <v>1579</v>
      </c>
    </row>
    <row r="85" spans="1:14">
      <c r="A85" s="37" t="s">
        <v>1580</v>
      </c>
      <c r="B85" s="42">
        <v>1</v>
      </c>
      <c r="C85" s="27" t="s">
        <v>18</v>
      </c>
      <c r="D85" s="27" t="s">
        <v>2</v>
      </c>
      <c r="E85" s="27" t="s">
        <v>29</v>
      </c>
      <c r="F85" s="27" t="s">
        <v>35</v>
      </c>
      <c r="G85" s="27" t="s">
        <v>33</v>
      </c>
      <c r="H85" s="27">
        <v>0</v>
      </c>
      <c r="I85" s="27">
        <f t="shared" si="4"/>
        <v>1</v>
      </c>
      <c r="J85" s="27" t="s">
        <v>31</v>
      </c>
      <c r="K85" s="27" t="s">
        <v>31</v>
      </c>
      <c r="L85" s="27" t="s">
        <v>31</v>
      </c>
      <c r="M85" s="27" t="s">
        <v>31</v>
      </c>
      <c r="N85" s="27" t="s">
        <v>1581</v>
      </c>
    </row>
    <row r="86" spans="1:14">
      <c r="A86" s="37" t="s">
        <v>1582</v>
      </c>
      <c r="B86" s="42">
        <v>1</v>
      </c>
      <c r="C86" s="27" t="s">
        <v>18</v>
      </c>
      <c r="D86" s="27" t="s">
        <v>2</v>
      </c>
      <c r="E86" s="27" t="s">
        <v>29</v>
      </c>
      <c r="F86" s="27" t="s">
        <v>35</v>
      </c>
      <c r="G86" s="27" t="s">
        <v>33</v>
      </c>
      <c r="H86" s="27">
        <v>0</v>
      </c>
      <c r="I86" s="27">
        <f t="shared" si="4"/>
        <v>1</v>
      </c>
      <c r="J86" s="27" t="s">
        <v>31</v>
      </c>
      <c r="K86" s="27" t="s">
        <v>31</v>
      </c>
      <c r="L86" s="27" t="s">
        <v>31</v>
      </c>
      <c r="M86" s="27" t="s">
        <v>31</v>
      </c>
      <c r="N86" s="27" t="s">
        <v>1583</v>
      </c>
    </row>
    <row r="87" spans="1:14">
      <c r="A87" s="37" t="s">
        <v>1584</v>
      </c>
      <c r="B87" s="42">
        <v>1</v>
      </c>
      <c r="C87" s="27" t="s">
        <v>18</v>
      </c>
      <c r="D87" s="27" t="s">
        <v>2</v>
      </c>
      <c r="E87" s="27" t="s">
        <v>29</v>
      </c>
      <c r="F87" s="27" t="s">
        <v>35</v>
      </c>
      <c r="G87" s="27" t="s">
        <v>33</v>
      </c>
      <c r="H87" s="27">
        <v>0</v>
      </c>
      <c r="I87" s="27">
        <f t="shared" si="4"/>
        <v>1</v>
      </c>
      <c r="J87" s="27" t="s">
        <v>31</v>
      </c>
      <c r="K87" s="27" t="s">
        <v>31</v>
      </c>
      <c r="L87" s="27" t="s">
        <v>31</v>
      </c>
      <c r="M87" s="27" t="s">
        <v>31</v>
      </c>
      <c r="N87" s="27" t="s">
        <v>1585</v>
      </c>
    </row>
    <row r="88" spans="1:14" ht="15.6">
      <c r="A88" s="28" t="s">
        <v>5</v>
      </c>
      <c r="B88" s="28" t="s">
        <v>1572</v>
      </c>
      <c r="C88" s="29"/>
      <c r="D88" s="30"/>
      <c r="E88" s="30"/>
      <c r="F88" s="30"/>
      <c r="G88" s="30"/>
      <c r="H88" s="30"/>
      <c r="I88" s="30"/>
      <c r="J88" s="30"/>
      <c r="K88" s="30"/>
      <c r="L88" s="30"/>
      <c r="M88" s="30"/>
      <c r="N88" s="30"/>
    </row>
    <row r="89" spans="1:14">
      <c r="A89" s="27" t="s">
        <v>7</v>
      </c>
      <c r="B89" s="27" t="s">
        <v>1502</v>
      </c>
      <c r="C89" s="27"/>
      <c r="D89" s="27"/>
      <c r="E89" s="27"/>
      <c r="F89" s="27"/>
      <c r="G89" s="27"/>
      <c r="H89" s="27"/>
      <c r="I89" s="27"/>
      <c r="J89" s="27"/>
      <c r="K89" s="27"/>
      <c r="L89" s="27"/>
      <c r="M89" s="27"/>
      <c r="N89" s="27"/>
    </row>
    <row r="90" spans="1:14">
      <c r="A90" s="27" t="s">
        <v>9</v>
      </c>
      <c r="B90" s="27" t="s">
        <v>1586</v>
      </c>
      <c r="C90" s="27"/>
      <c r="D90" s="27"/>
      <c r="E90" s="27"/>
      <c r="F90" s="27"/>
      <c r="G90" s="27"/>
      <c r="H90" s="27"/>
      <c r="I90" s="27"/>
      <c r="J90" s="27"/>
      <c r="K90" s="27"/>
      <c r="L90" s="27"/>
      <c r="M90" s="27"/>
      <c r="N90" s="27"/>
    </row>
    <row r="91" spans="1:14">
      <c r="A91" s="27" t="s">
        <v>11</v>
      </c>
      <c r="B91" s="27" t="s">
        <v>1587</v>
      </c>
      <c r="C91" s="27"/>
      <c r="D91" s="27"/>
      <c r="E91" s="27"/>
      <c r="F91" s="27"/>
      <c r="G91" s="27"/>
      <c r="H91" s="27"/>
      <c r="I91" s="27"/>
      <c r="J91" s="27"/>
      <c r="K91" s="27"/>
      <c r="L91" s="27"/>
      <c r="M91" s="27"/>
      <c r="N91" s="27"/>
    </row>
    <row r="92" spans="1:14">
      <c r="A92" s="27" t="s">
        <v>13</v>
      </c>
      <c r="B92" s="27" t="s">
        <v>35</v>
      </c>
      <c r="C92" s="27"/>
      <c r="D92" s="27"/>
      <c r="E92" s="27"/>
      <c r="F92" s="27"/>
      <c r="G92" s="27"/>
      <c r="H92" s="27"/>
      <c r="I92" s="27"/>
      <c r="J92" s="27"/>
      <c r="K92" s="27"/>
      <c r="L92" s="27"/>
      <c r="M92" s="27"/>
      <c r="N92" s="27"/>
    </row>
    <row r="93" spans="1:14">
      <c r="A93" s="27" t="s">
        <v>15</v>
      </c>
      <c r="B93" s="37">
        <v>1</v>
      </c>
      <c r="C93" s="27"/>
      <c r="D93" s="27"/>
      <c r="E93" s="27"/>
      <c r="F93" s="27"/>
      <c r="G93" s="27"/>
      <c r="H93" s="27"/>
      <c r="I93" s="27"/>
      <c r="J93" s="27"/>
      <c r="K93" s="27"/>
      <c r="L93" s="27"/>
      <c r="M93" s="27"/>
      <c r="N93" s="27"/>
    </row>
    <row r="94" spans="1:14">
      <c r="A94" s="27" t="s">
        <v>16</v>
      </c>
      <c r="B94" s="27" t="s">
        <v>17</v>
      </c>
      <c r="C94" s="27"/>
      <c r="D94" s="27"/>
      <c r="E94" s="27"/>
      <c r="F94" s="27"/>
      <c r="G94" s="27"/>
      <c r="H94" s="27"/>
      <c r="I94" s="27"/>
      <c r="J94" s="27"/>
      <c r="K94" s="27"/>
      <c r="L94" s="27"/>
      <c r="M94" s="27"/>
      <c r="N94" s="27"/>
    </row>
    <row r="95" spans="1:14">
      <c r="A95" s="27" t="s">
        <v>18</v>
      </c>
      <c r="B95" s="27" t="s">
        <v>18</v>
      </c>
      <c r="C95" s="27"/>
      <c r="D95" s="27"/>
      <c r="E95" s="27"/>
      <c r="F95" s="27"/>
      <c r="G95" s="27"/>
      <c r="H95" s="27"/>
      <c r="I95" s="27"/>
      <c r="J95" s="27"/>
      <c r="K95" s="27"/>
      <c r="L95" s="27"/>
      <c r="M95" s="27"/>
      <c r="N95" s="27"/>
    </row>
    <row r="96" spans="1:14" ht="15.6">
      <c r="A96" s="26" t="s">
        <v>19</v>
      </c>
    </row>
    <row r="97" spans="1:14" ht="15.6">
      <c r="A97" s="26" t="s">
        <v>20</v>
      </c>
      <c r="B97" s="26" t="s">
        <v>21</v>
      </c>
      <c r="C97" s="26" t="s">
        <v>18</v>
      </c>
      <c r="D97" s="26" t="s">
        <v>22</v>
      </c>
      <c r="E97" s="26" t="s">
        <v>7</v>
      </c>
      <c r="F97" s="26" t="s">
        <v>13</v>
      </c>
      <c r="G97" s="26" t="s">
        <v>16</v>
      </c>
      <c r="H97" s="26" t="s">
        <v>23</v>
      </c>
      <c r="I97" s="26" t="s">
        <v>24</v>
      </c>
      <c r="J97" s="26" t="s">
        <v>25</v>
      </c>
      <c r="K97" s="26" t="s">
        <v>26</v>
      </c>
      <c r="L97" s="26" t="s">
        <v>27</v>
      </c>
      <c r="M97" s="26" t="s">
        <v>28</v>
      </c>
      <c r="N97" s="26" t="s">
        <v>723</v>
      </c>
    </row>
    <row r="98" spans="1:14">
      <c r="A98" s="27" t="str">
        <f>B88</f>
        <v>terminals</v>
      </c>
      <c r="B98" s="27">
        <f>B93</f>
        <v>1</v>
      </c>
      <c r="C98" s="27" t="str">
        <f>B95</f>
        <v>unit</v>
      </c>
      <c r="D98" s="27" t="s">
        <v>2</v>
      </c>
      <c r="E98" s="27" t="s">
        <v>29</v>
      </c>
      <c r="F98" s="27" t="str">
        <f>B92</f>
        <v>RER</v>
      </c>
      <c r="G98" s="27" t="s">
        <v>30</v>
      </c>
      <c r="H98" s="27">
        <v>0</v>
      </c>
      <c r="I98" s="27">
        <f>B98</f>
        <v>1</v>
      </c>
      <c r="J98" s="27" t="s">
        <v>31</v>
      </c>
      <c r="K98" s="27" t="s">
        <v>31</v>
      </c>
      <c r="L98" s="27" t="s">
        <v>31</v>
      </c>
      <c r="M98" s="27" t="s">
        <v>31</v>
      </c>
      <c r="N98" s="27"/>
    </row>
    <row r="99" spans="1:14">
      <c r="A99" s="37" t="s">
        <v>1551</v>
      </c>
      <c r="B99" s="42">
        <v>44863</v>
      </c>
      <c r="C99" s="27" t="s">
        <v>853</v>
      </c>
      <c r="D99" s="27" t="s">
        <v>43</v>
      </c>
      <c r="E99" s="27" t="s">
        <v>1552</v>
      </c>
      <c r="F99" s="27" t="s">
        <v>29</v>
      </c>
      <c r="G99" s="27" t="s">
        <v>45</v>
      </c>
      <c r="H99" s="27">
        <v>0</v>
      </c>
      <c r="I99" s="27">
        <v>49625</v>
      </c>
      <c r="J99" s="27" t="s">
        <v>31</v>
      </c>
      <c r="K99" s="27" t="s">
        <v>31</v>
      </c>
      <c r="L99" s="27" t="s">
        <v>31</v>
      </c>
      <c r="M99" s="27" t="s">
        <v>31</v>
      </c>
      <c r="N99" s="27" t="s">
        <v>1553</v>
      </c>
    </row>
    <row r="100" spans="1:14">
      <c r="A100" s="37" t="s">
        <v>1554</v>
      </c>
      <c r="B100" s="42">
        <f>B99*100</f>
        <v>4486300</v>
      </c>
      <c r="C100" s="27" t="s">
        <v>1555</v>
      </c>
      <c r="D100" s="27" t="s">
        <v>43</v>
      </c>
      <c r="E100" s="27" t="s">
        <v>1552</v>
      </c>
      <c r="F100" s="27" t="s">
        <v>29</v>
      </c>
      <c r="G100" s="27" t="s">
        <v>45</v>
      </c>
      <c r="H100" s="27">
        <v>0</v>
      </c>
      <c r="I100" s="27">
        <v>4962500</v>
      </c>
      <c r="J100" s="27" t="s">
        <v>31</v>
      </c>
      <c r="K100" s="27" t="s">
        <v>31</v>
      </c>
      <c r="L100" s="27" t="s">
        <v>31</v>
      </c>
      <c r="M100" s="27" t="s">
        <v>31</v>
      </c>
      <c r="N100" s="27" t="s">
        <v>1556</v>
      </c>
    </row>
    <row r="101" spans="1:14" s="27" customFormat="1" ht="12.95">
      <c r="A101" s="37" t="s">
        <v>1557</v>
      </c>
      <c r="B101" s="42">
        <f>B99*0.7</f>
        <v>31404.1</v>
      </c>
      <c r="C101" s="27" t="s">
        <v>853</v>
      </c>
      <c r="D101" s="27" t="s">
        <v>40</v>
      </c>
      <c r="E101" s="27" t="s">
        <v>29</v>
      </c>
      <c r="F101" s="27" t="s">
        <v>59</v>
      </c>
      <c r="G101" s="27" t="s">
        <v>33</v>
      </c>
      <c r="H101" s="27">
        <v>0</v>
      </c>
      <c r="I101" s="27">
        <f t="shared" ref="I101:I102" si="5">B101</f>
        <v>31404.1</v>
      </c>
      <c r="J101" s="27" t="s">
        <v>31</v>
      </c>
      <c r="K101" s="27" t="s">
        <v>31</v>
      </c>
      <c r="L101" s="27" t="s">
        <v>31</v>
      </c>
      <c r="M101" s="27" t="s">
        <v>31</v>
      </c>
      <c r="N101" s="27" t="s">
        <v>1558</v>
      </c>
    </row>
    <row r="102" spans="1:14" s="27" customFormat="1" ht="12.95">
      <c r="A102" s="46" t="s">
        <v>1559</v>
      </c>
      <c r="B102" s="42">
        <f>B99*0.3*5*2.5*P7</f>
        <v>504759.22592259228</v>
      </c>
      <c r="C102" s="27" t="s">
        <v>42</v>
      </c>
      <c r="D102" s="27" t="s">
        <v>40</v>
      </c>
      <c r="E102" s="27" t="s">
        <v>29</v>
      </c>
      <c r="F102" s="27" t="s">
        <v>59</v>
      </c>
      <c r="G102" s="27" t="s">
        <v>33</v>
      </c>
      <c r="H102" s="27">
        <v>0</v>
      </c>
      <c r="I102" s="27">
        <f t="shared" si="5"/>
        <v>504759.22592259228</v>
      </c>
      <c r="J102" s="27" t="s">
        <v>31</v>
      </c>
      <c r="K102" s="27" t="s">
        <v>31</v>
      </c>
      <c r="L102" s="27" t="s">
        <v>31</v>
      </c>
      <c r="M102" s="27" t="s">
        <v>31</v>
      </c>
      <c r="N102" s="27" t="s">
        <v>1560</v>
      </c>
    </row>
    <row r="103" spans="1:14" ht="15.6">
      <c r="A103" s="28" t="s">
        <v>5</v>
      </c>
      <c r="B103" s="28" t="s">
        <v>1574</v>
      </c>
      <c r="C103" s="29"/>
      <c r="D103" s="30"/>
      <c r="E103" s="30"/>
      <c r="F103" s="30"/>
      <c r="G103" s="30"/>
      <c r="H103" s="30"/>
      <c r="I103" s="30"/>
      <c r="J103" s="30"/>
      <c r="K103" s="30"/>
      <c r="L103" s="30"/>
      <c r="M103" s="30"/>
      <c r="N103" s="30"/>
    </row>
    <row r="104" spans="1:14">
      <c r="A104" s="27" t="s">
        <v>7</v>
      </c>
      <c r="B104" s="27" t="s">
        <v>1502</v>
      </c>
      <c r="C104" s="27"/>
      <c r="D104" s="27"/>
      <c r="E104" s="27"/>
      <c r="F104" s="27"/>
      <c r="G104" s="27"/>
      <c r="H104" s="27"/>
      <c r="I104" s="27"/>
      <c r="J104" s="27"/>
      <c r="K104" s="27"/>
      <c r="L104" s="27"/>
      <c r="M104" s="27"/>
      <c r="N104" s="27"/>
    </row>
    <row r="105" spans="1:14">
      <c r="A105" s="27" t="s">
        <v>9</v>
      </c>
      <c r="B105" s="27" t="s">
        <v>1588</v>
      </c>
      <c r="C105" s="27"/>
      <c r="D105" s="27"/>
      <c r="E105" s="27"/>
      <c r="F105" s="27"/>
      <c r="G105" s="27"/>
      <c r="H105" s="27"/>
      <c r="I105" s="27"/>
      <c r="J105" s="27"/>
      <c r="K105" s="27"/>
      <c r="L105" s="27"/>
      <c r="M105" s="27"/>
      <c r="N105" s="27"/>
    </row>
    <row r="106" spans="1:14">
      <c r="A106" s="27" t="s">
        <v>11</v>
      </c>
      <c r="B106" s="27" t="s">
        <v>1589</v>
      </c>
      <c r="C106" s="27"/>
      <c r="D106" s="27"/>
      <c r="E106" s="27"/>
      <c r="F106" s="27"/>
      <c r="G106" s="27"/>
      <c r="H106" s="27"/>
      <c r="I106" s="27"/>
      <c r="J106" s="27"/>
      <c r="K106" s="27"/>
      <c r="L106" s="27"/>
      <c r="M106" s="27"/>
      <c r="N106" s="27"/>
    </row>
    <row r="107" spans="1:14">
      <c r="A107" s="27" t="s">
        <v>13</v>
      </c>
      <c r="B107" s="27" t="s">
        <v>35</v>
      </c>
      <c r="C107" s="27"/>
      <c r="D107" s="27"/>
      <c r="E107" s="27"/>
      <c r="F107" s="27"/>
      <c r="G107" s="27"/>
      <c r="H107" s="27"/>
      <c r="I107" s="27"/>
      <c r="J107" s="27"/>
      <c r="K107" s="27"/>
      <c r="L107" s="27"/>
      <c r="M107" s="27"/>
      <c r="N107" s="27"/>
    </row>
    <row r="108" spans="1:14">
      <c r="A108" s="27" t="s">
        <v>15</v>
      </c>
      <c r="B108" s="37">
        <v>1</v>
      </c>
      <c r="C108" s="27"/>
      <c r="D108" s="27"/>
      <c r="E108" s="27"/>
      <c r="F108" s="27"/>
      <c r="G108" s="27"/>
      <c r="H108" s="27"/>
      <c r="I108" s="27"/>
      <c r="J108" s="27"/>
      <c r="K108" s="27"/>
      <c r="L108" s="27"/>
      <c r="M108" s="27"/>
      <c r="N108" s="27"/>
    </row>
    <row r="109" spans="1:14">
      <c r="A109" s="27" t="s">
        <v>16</v>
      </c>
      <c r="B109" s="27" t="s">
        <v>17</v>
      </c>
      <c r="C109" s="27"/>
      <c r="D109" s="27"/>
      <c r="E109" s="27"/>
      <c r="F109" s="27"/>
      <c r="G109" s="27"/>
      <c r="H109" s="27"/>
      <c r="I109" s="27"/>
      <c r="J109" s="27"/>
      <c r="K109" s="27"/>
      <c r="L109" s="27"/>
      <c r="M109" s="27"/>
      <c r="N109" s="27"/>
    </row>
    <row r="110" spans="1:14">
      <c r="A110" s="27" t="s">
        <v>18</v>
      </c>
      <c r="B110" s="27" t="s">
        <v>18</v>
      </c>
      <c r="C110" s="27"/>
      <c r="D110" s="27"/>
      <c r="E110" s="27"/>
      <c r="F110" s="27"/>
      <c r="G110" s="27"/>
      <c r="H110" s="27"/>
      <c r="I110" s="27"/>
      <c r="J110" s="27"/>
      <c r="K110" s="27"/>
      <c r="L110" s="27"/>
      <c r="M110" s="27"/>
      <c r="N110" s="27"/>
    </row>
    <row r="111" spans="1:14" ht="15.6">
      <c r="A111" s="26" t="s">
        <v>19</v>
      </c>
    </row>
    <row r="112" spans="1:14" ht="15.6">
      <c r="A112" s="26" t="s">
        <v>20</v>
      </c>
      <c r="B112" s="26" t="s">
        <v>21</v>
      </c>
      <c r="C112" s="26" t="s">
        <v>18</v>
      </c>
      <c r="D112" s="26" t="s">
        <v>22</v>
      </c>
      <c r="E112" s="26" t="s">
        <v>7</v>
      </c>
      <c r="F112" s="26" t="s">
        <v>13</v>
      </c>
      <c r="G112" s="26" t="s">
        <v>16</v>
      </c>
      <c r="H112" s="26" t="s">
        <v>23</v>
      </c>
      <c r="I112" s="26" t="s">
        <v>24</v>
      </c>
      <c r="J112" s="26" t="s">
        <v>25</v>
      </c>
      <c r="K112" s="26" t="s">
        <v>26</v>
      </c>
      <c r="L112" s="26" t="s">
        <v>27</v>
      </c>
      <c r="M112" s="26" t="s">
        <v>28</v>
      </c>
      <c r="N112" s="26" t="s">
        <v>723</v>
      </c>
    </row>
    <row r="113" spans="1:14">
      <c r="A113" s="27" t="str">
        <f>B103</f>
        <v>hangars</v>
      </c>
      <c r="B113" s="27">
        <f>B108</f>
        <v>1</v>
      </c>
      <c r="C113" s="27" t="str">
        <f>B110</f>
        <v>unit</v>
      </c>
      <c r="D113" s="27" t="s">
        <v>2</v>
      </c>
      <c r="E113" s="27" t="s">
        <v>29</v>
      </c>
      <c r="F113" s="27" t="str">
        <f>B107</f>
        <v>RER</v>
      </c>
      <c r="G113" s="27" t="s">
        <v>30</v>
      </c>
      <c r="H113" s="27">
        <v>0</v>
      </c>
      <c r="I113" s="27">
        <f>B113</f>
        <v>1</v>
      </c>
      <c r="J113" s="27" t="s">
        <v>31</v>
      </c>
      <c r="K113" s="27" t="s">
        <v>31</v>
      </c>
      <c r="L113" s="27" t="s">
        <v>31</v>
      </c>
      <c r="M113" s="27" t="s">
        <v>31</v>
      </c>
      <c r="N113" s="27"/>
    </row>
    <row r="114" spans="1:14">
      <c r="A114" s="37" t="s">
        <v>1551</v>
      </c>
      <c r="B114" s="42">
        <v>9369</v>
      </c>
      <c r="C114" s="27" t="s">
        <v>853</v>
      </c>
      <c r="D114" s="27" t="s">
        <v>43</v>
      </c>
      <c r="E114" s="27" t="s">
        <v>1552</v>
      </c>
      <c r="F114" s="27" t="s">
        <v>29</v>
      </c>
      <c r="G114" s="27" t="s">
        <v>45</v>
      </c>
      <c r="H114" s="27">
        <v>0</v>
      </c>
      <c r="I114" s="27">
        <v>49625</v>
      </c>
      <c r="J114" s="27" t="s">
        <v>31</v>
      </c>
      <c r="K114" s="27" t="s">
        <v>31</v>
      </c>
      <c r="L114" s="27" t="s">
        <v>31</v>
      </c>
      <c r="M114" s="27" t="s">
        <v>31</v>
      </c>
      <c r="N114" s="27" t="s">
        <v>1553</v>
      </c>
    </row>
    <row r="115" spans="1:14">
      <c r="A115" s="37" t="s">
        <v>1554</v>
      </c>
      <c r="B115" s="42">
        <f>B114*100</f>
        <v>936900</v>
      </c>
      <c r="C115" s="27" t="s">
        <v>1555</v>
      </c>
      <c r="D115" s="27" t="s">
        <v>43</v>
      </c>
      <c r="E115" s="27" t="s">
        <v>1552</v>
      </c>
      <c r="F115" s="27" t="s">
        <v>29</v>
      </c>
      <c r="G115" s="27" t="s">
        <v>45</v>
      </c>
      <c r="H115" s="27">
        <v>0</v>
      </c>
      <c r="I115" s="27">
        <v>4962500</v>
      </c>
      <c r="J115" s="27" t="s">
        <v>31</v>
      </c>
      <c r="K115" s="27" t="s">
        <v>31</v>
      </c>
      <c r="L115" s="27" t="s">
        <v>31</v>
      </c>
      <c r="M115" s="27" t="s">
        <v>31</v>
      </c>
      <c r="N115" s="27" t="s">
        <v>1556</v>
      </c>
    </row>
    <row r="116" spans="1:14" s="27" customFormat="1" ht="12.95">
      <c r="A116" s="37" t="s">
        <v>1557</v>
      </c>
      <c r="B116" s="42">
        <f>B114*0.7</f>
        <v>6558.2999999999993</v>
      </c>
      <c r="C116" s="27" t="s">
        <v>853</v>
      </c>
      <c r="D116" s="27" t="s">
        <v>40</v>
      </c>
      <c r="E116" s="27" t="s">
        <v>29</v>
      </c>
      <c r="F116" s="27" t="s">
        <v>59</v>
      </c>
      <c r="G116" s="27" t="s">
        <v>33</v>
      </c>
      <c r="H116" s="27">
        <v>0</v>
      </c>
      <c r="I116" s="27">
        <f t="shared" ref="I116:I117" si="6">B116</f>
        <v>6558.2999999999993</v>
      </c>
      <c r="J116" s="27" t="s">
        <v>31</v>
      </c>
      <c r="K116" s="27" t="s">
        <v>31</v>
      </c>
      <c r="L116" s="27" t="s">
        <v>31</v>
      </c>
      <c r="M116" s="27" t="s">
        <v>31</v>
      </c>
      <c r="N116" s="27" t="s">
        <v>1590</v>
      </c>
    </row>
    <row r="117" spans="1:14" s="27" customFormat="1" ht="12.95">
      <c r="A117" s="46" t="s">
        <v>1559</v>
      </c>
      <c r="B117" s="42">
        <f>B114*0.3*5*2.5*P7</f>
        <v>105411.79117911791</v>
      </c>
      <c r="C117" s="27" t="s">
        <v>42</v>
      </c>
      <c r="D117" s="27" t="s">
        <v>40</v>
      </c>
      <c r="E117" s="27" t="s">
        <v>29</v>
      </c>
      <c r="F117" s="27" t="s">
        <v>59</v>
      </c>
      <c r="G117" s="27" t="s">
        <v>33</v>
      </c>
      <c r="H117" s="27">
        <v>0</v>
      </c>
      <c r="I117" s="27">
        <f t="shared" si="6"/>
        <v>105411.79117911791</v>
      </c>
      <c r="J117" s="27" t="s">
        <v>31</v>
      </c>
      <c r="K117" s="27" t="s">
        <v>31</v>
      </c>
      <c r="L117" s="27" t="s">
        <v>31</v>
      </c>
      <c r="M117" s="27" t="s">
        <v>31</v>
      </c>
      <c r="N117" s="27" t="s">
        <v>1560</v>
      </c>
    </row>
    <row r="118" spans="1:14" ht="15.6">
      <c r="A118" s="28" t="s">
        <v>5</v>
      </c>
      <c r="B118" s="28" t="s">
        <v>1576</v>
      </c>
      <c r="C118" s="29"/>
      <c r="D118" s="30"/>
      <c r="E118" s="30"/>
      <c r="F118" s="30"/>
      <c r="G118" s="30"/>
      <c r="H118" s="30"/>
      <c r="I118" s="30"/>
      <c r="J118" s="30"/>
      <c r="K118" s="30"/>
      <c r="L118" s="30"/>
      <c r="M118" s="30"/>
      <c r="N118" s="30"/>
    </row>
    <row r="119" spans="1:14">
      <c r="A119" s="27" t="s">
        <v>7</v>
      </c>
      <c r="B119" s="27" t="s">
        <v>1502</v>
      </c>
      <c r="C119" s="27"/>
      <c r="D119" s="27"/>
      <c r="E119" s="27"/>
      <c r="F119" s="27"/>
      <c r="G119" s="27"/>
      <c r="H119" s="27"/>
      <c r="I119" s="27"/>
      <c r="J119" s="27"/>
      <c r="K119" s="27"/>
      <c r="L119" s="27"/>
      <c r="M119" s="27"/>
      <c r="N119" s="27"/>
    </row>
    <row r="120" spans="1:14">
      <c r="A120" s="27" t="s">
        <v>9</v>
      </c>
      <c r="B120" s="27" t="s">
        <v>1591</v>
      </c>
      <c r="C120" s="27"/>
      <c r="D120" s="27"/>
      <c r="E120" s="27"/>
      <c r="F120" s="27"/>
      <c r="G120" s="27"/>
      <c r="H120" s="27"/>
      <c r="I120" s="27"/>
      <c r="J120" s="27"/>
      <c r="K120" s="27"/>
      <c r="L120" s="27"/>
      <c r="M120" s="27"/>
      <c r="N120" s="27"/>
    </row>
    <row r="121" spans="1:14">
      <c r="A121" s="27" t="s">
        <v>11</v>
      </c>
      <c r="B121" s="27" t="s">
        <v>1592</v>
      </c>
      <c r="C121" s="27"/>
      <c r="D121" s="27"/>
      <c r="E121" s="27"/>
      <c r="F121" s="27"/>
      <c r="G121" s="27"/>
      <c r="H121" s="27"/>
      <c r="I121" s="27"/>
      <c r="J121" s="27"/>
      <c r="K121" s="27"/>
      <c r="L121" s="27"/>
      <c r="M121" s="27"/>
      <c r="N121" s="27"/>
    </row>
    <row r="122" spans="1:14">
      <c r="A122" s="27" t="s">
        <v>13</v>
      </c>
      <c r="B122" s="27" t="s">
        <v>35</v>
      </c>
      <c r="C122" s="27"/>
      <c r="D122" s="27"/>
      <c r="E122" s="27"/>
      <c r="F122" s="27"/>
      <c r="G122" s="27"/>
      <c r="H122" s="27"/>
      <c r="I122" s="27"/>
      <c r="J122" s="27"/>
      <c r="K122" s="27"/>
      <c r="L122" s="27"/>
      <c r="M122" s="27"/>
      <c r="N122" s="27"/>
    </row>
    <row r="123" spans="1:14">
      <c r="A123" s="27" t="s">
        <v>15</v>
      </c>
      <c r="B123" s="37">
        <v>1</v>
      </c>
      <c r="C123" s="27"/>
      <c r="D123" s="27"/>
      <c r="E123" s="27"/>
      <c r="F123" s="27"/>
      <c r="G123" s="27"/>
      <c r="H123" s="27"/>
      <c r="I123" s="27"/>
      <c r="J123" s="27"/>
      <c r="K123" s="27"/>
      <c r="L123" s="27"/>
      <c r="M123" s="27"/>
      <c r="N123" s="27"/>
    </row>
    <row r="124" spans="1:14">
      <c r="A124" s="27" t="s">
        <v>16</v>
      </c>
      <c r="B124" s="27" t="s">
        <v>17</v>
      </c>
      <c r="C124" s="27"/>
      <c r="D124" s="27"/>
      <c r="E124" s="27"/>
      <c r="F124" s="27"/>
      <c r="G124" s="27"/>
      <c r="H124" s="27"/>
      <c r="I124" s="27"/>
      <c r="J124" s="27"/>
      <c r="K124" s="27"/>
      <c r="L124" s="27"/>
      <c r="M124" s="27"/>
      <c r="N124" s="27"/>
    </row>
    <row r="125" spans="1:14">
      <c r="A125" s="27" t="s">
        <v>18</v>
      </c>
      <c r="B125" s="27" t="s">
        <v>18</v>
      </c>
      <c r="C125" s="27"/>
      <c r="D125" s="27"/>
      <c r="E125" s="27"/>
      <c r="F125" s="27"/>
      <c r="G125" s="27"/>
      <c r="H125" s="27"/>
      <c r="I125" s="27"/>
      <c r="J125" s="27"/>
      <c r="K125" s="27"/>
      <c r="L125" s="27"/>
      <c r="M125" s="27"/>
      <c r="N125" s="27"/>
    </row>
    <row r="126" spans="1:14" ht="15.6">
      <c r="A126" s="26" t="s">
        <v>19</v>
      </c>
    </row>
    <row r="127" spans="1:14" ht="15.6">
      <c r="A127" s="26" t="s">
        <v>20</v>
      </c>
      <c r="B127" s="26" t="s">
        <v>21</v>
      </c>
      <c r="C127" s="26" t="s">
        <v>18</v>
      </c>
      <c r="D127" s="26" t="s">
        <v>22</v>
      </c>
      <c r="E127" s="26" t="s">
        <v>7</v>
      </c>
      <c r="F127" s="26" t="s">
        <v>13</v>
      </c>
      <c r="G127" s="26" t="s">
        <v>16</v>
      </c>
      <c r="H127" s="26" t="s">
        <v>23</v>
      </c>
      <c r="I127" s="26" t="s">
        <v>24</v>
      </c>
      <c r="J127" s="26" t="s">
        <v>25</v>
      </c>
      <c r="K127" s="26" t="s">
        <v>26</v>
      </c>
      <c r="L127" s="26" t="s">
        <v>27</v>
      </c>
      <c r="M127" s="26" t="s">
        <v>28</v>
      </c>
      <c r="N127" s="26" t="s">
        <v>723</v>
      </c>
    </row>
    <row r="128" spans="1:14">
      <c r="A128" s="27" t="str">
        <f>B118</f>
        <v>helipad</v>
      </c>
      <c r="B128" s="27">
        <f>B123</f>
        <v>1</v>
      </c>
      <c r="C128" s="27" t="str">
        <f>B125</f>
        <v>unit</v>
      </c>
      <c r="D128" s="27" t="s">
        <v>2</v>
      </c>
      <c r="E128" s="27" t="s">
        <v>29</v>
      </c>
      <c r="F128" s="27" t="str">
        <f>B122</f>
        <v>RER</v>
      </c>
      <c r="G128" s="27" t="s">
        <v>30</v>
      </c>
      <c r="H128" s="27">
        <v>0</v>
      </c>
      <c r="I128" s="27">
        <f>B128</f>
        <v>1</v>
      </c>
      <c r="J128" s="27" t="s">
        <v>31</v>
      </c>
      <c r="K128" s="27" t="s">
        <v>31</v>
      </c>
      <c r="L128" s="27" t="s">
        <v>31</v>
      </c>
      <c r="M128" s="27" t="s">
        <v>31</v>
      </c>
      <c r="N128" s="27"/>
    </row>
    <row r="129" spans="1:14">
      <c r="A129" s="37" t="s">
        <v>1551</v>
      </c>
      <c r="B129" s="42">
        <v>100</v>
      </c>
      <c r="C129" s="27" t="s">
        <v>853</v>
      </c>
      <c r="D129" s="27" t="s">
        <v>43</v>
      </c>
      <c r="E129" s="27" t="s">
        <v>1552</v>
      </c>
      <c r="F129" s="27" t="s">
        <v>29</v>
      </c>
      <c r="G129" s="27" t="s">
        <v>45</v>
      </c>
      <c r="H129" s="27">
        <v>0</v>
      </c>
      <c r="I129" s="27">
        <v>49625</v>
      </c>
      <c r="J129" s="27" t="s">
        <v>31</v>
      </c>
      <c r="K129" s="27" t="s">
        <v>31</v>
      </c>
      <c r="L129" s="27" t="s">
        <v>31</v>
      </c>
      <c r="M129" s="27" t="s">
        <v>31</v>
      </c>
      <c r="N129" s="27" t="s">
        <v>1553</v>
      </c>
    </row>
    <row r="130" spans="1:14">
      <c r="A130" s="37" t="s">
        <v>1554</v>
      </c>
      <c r="B130" s="42">
        <f>B129*100</f>
        <v>10000</v>
      </c>
      <c r="C130" s="27" t="s">
        <v>1555</v>
      </c>
      <c r="D130" s="27" t="s">
        <v>43</v>
      </c>
      <c r="E130" s="27" t="s">
        <v>1552</v>
      </c>
      <c r="F130" s="27" t="s">
        <v>29</v>
      </c>
      <c r="G130" s="27" t="s">
        <v>45</v>
      </c>
      <c r="H130" s="27">
        <v>0</v>
      </c>
      <c r="I130" s="27">
        <v>4962500</v>
      </c>
      <c r="J130" s="27" t="s">
        <v>31</v>
      </c>
      <c r="K130" s="27" t="s">
        <v>31</v>
      </c>
      <c r="L130" s="27" t="s">
        <v>31</v>
      </c>
      <c r="M130" s="27" t="s">
        <v>31</v>
      </c>
      <c r="N130" s="27" t="s">
        <v>1556</v>
      </c>
    </row>
    <row r="131" spans="1:14" s="27" customFormat="1" ht="12.95">
      <c r="A131" s="47" t="s">
        <v>1565</v>
      </c>
      <c r="B131" s="42">
        <f>B129*0.5*P7</f>
        <v>150.01500150015002</v>
      </c>
      <c r="C131" s="27" t="s">
        <v>42</v>
      </c>
      <c r="D131" s="27" t="s">
        <v>40</v>
      </c>
      <c r="E131" s="27" t="s">
        <v>29</v>
      </c>
      <c r="F131" s="27" t="s">
        <v>82</v>
      </c>
      <c r="G131" s="27" t="s">
        <v>33</v>
      </c>
      <c r="H131" s="27">
        <v>0</v>
      </c>
      <c r="I131" s="27">
        <f t="shared" ref="I131" si="7">B131</f>
        <v>150.01500150015002</v>
      </c>
      <c r="J131" s="27" t="s">
        <v>31</v>
      </c>
      <c r="K131" s="27" t="s">
        <v>31</v>
      </c>
      <c r="L131" s="27" t="s">
        <v>31</v>
      </c>
      <c r="M131" s="27" t="s">
        <v>31</v>
      </c>
      <c r="N131" s="27" t="s">
        <v>1593</v>
      </c>
    </row>
    <row r="132" spans="1:14" ht="15.6">
      <c r="A132" s="28" t="s">
        <v>5</v>
      </c>
      <c r="B132" s="28" t="s">
        <v>1578</v>
      </c>
      <c r="C132" s="29"/>
      <c r="D132" s="30"/>
      <c r="E132" s="30"/>
      <c r="F132" s="30"/>
      <c r="G132" s="30"/>
      <c r="H132" s="30"/>
      <c r="I132" s="30"/>
      <c r="J132" s="30"/>
      <c r="K132" s="30"/>
      <c r="L132" s="30"/>
      <c r="M132" s="30"/>
      <c r="N132" s="30"/>
    </row>
    <row r="133" spans="1:14">
      <c r="A133" s="27" t="s">
        <v>7</v>
      </c>
      <c r="B133" s="27" t="s">
        <v>1502</v>
      </c>
      <c r="C133" s="27"/>
      <c r="D133" s="27"/>
      <c r="E133" s="27"/>
      <c r="F133" s="27"/>
      <c r="G133" s="27"/>
      <c r="H133" s="27"/>
      <c r="I133" s="27"/>
      <c r="J133" s="27"/>
      <c r="K133" s="27"/>
      <c r="L133" s="27"/>
      <c r="M133" s="27"/>
      <c r="N133" s="27"/>
    </row>
    <row r="134" spans="1:14">
      <c r="A134" s="27" t="s">
        <v>9</v>
      </c>
      <c r="B134" s="27" t="s">
        <v>1594</v>
      </c>
      <c r="C134" s="27"/>
      <c r="D134" s="27"/>
      <c r="E134" s="27"/>
      <c r="F134" s="27"/>
      <c r="G134" s="27"/>
      <c r="H134" s="27"/>
      <c r="I134" s="27"/>
      <c r="J134" s="27"/>
      <c r="K134" s="27"/>
      <c r="L134" s="27"/>
      <c r="M134" s="27"/>
      <c r="N134" s="27"/>
    </row>
    <row r="135" spans="1:14">
      <c r="A135" s="27" t="s">
        <v>11</v>
      </c>
      <c r="B135" s="27" t="s">
        <v>1595</v>
      </c>
      <c r="C135" s="27"/>
      <c r="D135" s="27"/>
      <c r="E135" s="27"/>
      <c r="F135" s="27"/>
      <c r="G135" s="27"/>
      <c r="H135" s="27"/>
      <c r="I135" s="27"/>
      <c r="J135" s="27"/>
      <c r="K135" s="27"/>
      <c r="L135" s="27"/>
      <c r="M135" s="27"/>
      <c r="N135" s="27"/>
    </row>
    <row r="136" spans="1:14">
      <c r="A136" s="27" t="s">
        <v>13</v>
      </c>
      <c r="B136" s="27" t="s">
        <v>35</v>
      </c>
      <c r="C136" s="27"/>
      <c r="D136" s="27"/>
      <c r="E136" s="27"/>
      <c r="F136" s="27"/>
      <c r="G136" s="27"/>
      <c r="H136" s="27"/>
      <c r="I136" s="27"/>
      <c r="J136" s="27"/>
      <c r="K136" s="27"/>
      <c r="L136" s="27"/>
      <c r="M136" s="27"/>
      <c r="N136" s="27"/>
    </row>
    <row r="137" spans="1:14">
      <c r="A137" s="27" t="s">
        <v>15</v>
      </c>
      <c r="B137" s="37">
        <v>1</v>
      </c>
      <c r="C137" s="27"/>
      <c r="D137" s="27"/>
      <c r="E137" s="27"/>
      <c r="F137" s="27"/>
      <c r="G137" s="27"/>
      <c r="H137" s="27"/>
      <c r="I137" s="27"/>
      <c r="J137" s="27"/>
      <c r="K137" s="27"/>
      <c r="L137" s="27"/>
      <c r="M137" s="27"/>
      <c r="N137" s="27"/>
    </row>
    <row r="138" spans="1:14">
      <c r="A138" s="27" t="s">
        <v>16</v>
      </c>
      <c r="B138" s="27" t="s">
        <v>17</v>
      </c>
      <c r="C138" s="27"/>
      <c r="D138" s="27"/>
      <c r="E138" s="27"/>
      <c r="F138" s="27"/>
      <c r="G138" s="27"/>
      <c r="H138" s="27"/>
      <c r="I138" s="27"/>
      <c r="J138" s="27"/>
      <c r="K138" s="27"/>
      <c r="L138" s="27"/>
      <c r="M138" s="27"/>
      <c r="N138" s="27"/>
    </row>
    <row r="139" spans="1:14">
      <c r="A139" s="27" t="s">
        <v>18</v>
      </c>
      <c r="B139" s="27" t="s">
        <v>18</v>
      </c>
      <c r="C139" s="27"/>
      <c r="D139" s="27"/>
      <c r="E139" s="27"/>
      <c r="F139" s="27"/>
      <c r="G139" s="27"/>
      <c r="H139" s="27"/>
      <c r="I139" s="27"/>
      <c r="J139" s="27"/>
      <c r="K139" s="27"/>
      <c r="L139" s="27"/>
      <c r="M139" s="27"/>
      <c r="N139" s="27"/>
    </row>
    <row r="140" spans="1:14" ht="15.6">
      <c r="A140" s="26" t="s">
        <v>19</v>
      </c>
    </row>
    <row r="141" spans="1:14" ht="15.6">
      <c r="A141" s="26" t="s">
        <v>20</v>
      </c>
      <c r="B141" s="26" t="s">
        <v>21</v>
      </c>
      <c r="C141" s="26" t="s">
        <v>18</v>
      </c>
      <c r="D141" s="26" t="s">
        <v>22</v>
      </c>
      <c r="E141" s="26" t="s">
        <v>7</v>
      </c>
      <c r="F141" s="26" t="s">
        <v>13</v>
      </c>
      <c r="G141" s="26" t="s">
        <v>16</v>
      </c>
      <c r="H141" s="26" t="s">
        <v>23</v>
      </c>
      <c r="I141" s="26" t="s">
        <v>24</v>
      </c>
      <c r="J141" s="26" t="s">
        <v>25</v>
      </c>
      <c r="K141" s="26" t="s">
        <v>26</v>
      </c>
      <c r="L141" s="26" t="s">
        <v>27</v>
      </c>
      <c r="M141" s="26" t="s">
        <v>28</v>
      </c>
      <c r="N141" s="26" t="s">
        <v>723</v>
      </c>
    </row>
    <row r="142" spans="1:14">
      <c r="A142" s="27" t="str">
        <f>B132</f>
        <v>apron</v>
      </c>
      <c r="B142" s="27">
        <f>B137</f>
        <v>1</v>
      </c>
      <c r="C142" s="27" t="str">
        <f>B139</f>
        <v>unit</v>
      </c>
      <c r="D142" s="27" t="s">
        <v>2</v>
      </c>
      <c r="E142" s="27" t="s">
        <v>29</v>
      </c>
      <c r="F142" s="27" t="str">
        <f>B136</f>
        <v>RER</v>
      </c>
      <c r="G142" s="27" t="s">
        <v>30</v>
      </c>
      <c r="H142" s="27">
        <v>0</v>
      </c>
      <c r="I142" s="27">
        <f>B142</f>
        <v>1</v>
      </c>
      <c r="J142" s="27" t="s">
        <v>31</v>
      </c>
      <c r="K142" s="27" t="s">
        <v>31</v>
      </c>
      <c r="L142" s="27" t="s">
        <v>31</v>
      </c>
      <c r="M142" s="27" t="s">
        <v>31</v>
      </c>
      <c r="N142" s="27"/>
    </row>
    <row r="143" spans="1:14" s="27" customFormat="1" ht="12.95">
      <c r="A143" s="37" t="s">
        <v>1563</v>
      </c>
      <c r="B143" s="27">
        <v>98000</v>
      </c>
      <c r="C143" s="27" t="s">
        <v>853</v>
      </c>
      <c r="D143" s="27" t="s">
        <v>43</v>
      </c>
      <c r="E143" s="27" t="s">
        <v>1552</v>
      </c>
      <c r="F143" s="27" t="s">
        <v>29</v>
      </c>
      <c r="G143" s="27" t="s">
        <v>45</v>
      </c>
      <c r="H143" s="27">
        <v>0</v>
      </c>
      <c r="I143" s="27">
        <f>B143</f>
        <v>98000</v>
      </c>
      <c r="J143" s="27" t="s">
        <v>31</v>
      </c>
      <c r="K143" s="27" t="s">
        <v>31</v>
      </c>
      <c r="L143" s="27" t="s">
        <v>31</v>
      </c>
      <c r="M143" s="27" t="s">
        <v>31</v>
      </c>
      <c r="N143" s="27" t="s">
        <v>1553</v>
      </c>
    </row>
    <row r="144" spans="1:14" s="27" customFormat="1" ht="12.95">
      <c r="A144" s="27" t="s">
        <v>1564</v>
      </c>
      <c r="B144" s="27">
        <f>100*B143</f>
        <v>9800000</v>
      </c>
      <c r="C144" s="27" t="s">
        <v>1555</v>
      </c>
      <c r="D144" s="27" t="s">
        <v>43</v>
      </c>
      <c r="E144" s="27" t="s">
        <v>1552</v>
      </c>
      <c r="F144" s="27" t="s">
        <v>29</v>
      </c>
      <c r="G144" s="27" t="s">
        <v>45</v>
      </c>
      <c r="H144" s="27">
        <v>0</v>
      </c>
      <c r="I144" s="27">
        <f>B144</f>
        <v>9800000</v>
      </c>
      <c r="J144" s="27" t="s">
        <v>31</v>
      </c>
      <c r="K144" s="27" t="s">
        <v>31</v>
      </c>
      <c r="L144" s="27" t="s">
        <v>31</v>
      </c>
      <c r="M144" s="27" t="s">
        <v>31</v>
      </c>
      <c r="N144" s="27" t="s">
        <v>1556</v>
      </c>
    </row>
    <row r="145" spans="1:14" s="27" customFormat="1" ht="12.95">
      <c r="A145" s="47" t="s">
        <v>1596</v>
      </c>
      <c r="B145" s="42">
        <f>B143*0.22*P7</f>
        <v>64686.468646864683</v>
      </c>
      <c r="C145" s="27" t="s">
        <v>42</v>
      </c>
      <c r="D145" s="27" t="s">
        <v>40</v>
      </c>
      <c r="E145" s="27" t="s">
        <v>29</v>
      </c>
      <c r="F145" s="27" t="s">
        <v>59</v>
      </c>
      <c r="G145" s="27" t="s">
        <v>33</v>
      </c>
      <c r="H145" s="27">
        <v>0</v>
      </c>
      <c r="I145" s="27">
        <f t="shared" ref="I145:I150" si="8">B145</f>
        <v>64686.468646864683</v>
      </c>
      <c r="J145" s="27" t="s">
        <v>31</v>
      </c>
      <c r="K145" s="27" t="s">
        <v>31</v>
      </c>
      <c r="L145" s="27" t="s">
        <v>31</v>
      </c>
      <c r="M145" s="27" t="s">
        <v>31</v>
      </c>
      <c r="N145" s="27" t="s">
        <v>1597</v>
      </c>
    </row>
    <row r="146" spans="1:14" s="27" customFormat="1" ht="12.95">
      <c r="A146" s="46" t="s">
        <v>86</v>
      </c>
      <c r="B146" s="27">
        <f>1.8*B143*P7</f>
        <v>529252.92529252928</v>
      </c>
      <c r="C146" s="27" t="s">
        <v>37</v>
      </c>
      <c r="D146" s="27" t="s">
        <v>40</v>
      </c>
      <c r="E146" s="27" t="s">
        <v>29</v>
      </c>
      <c r="F146" s="27" t="s">
        <v>59</v>
      </c>
      <c r="G146" s="27" t="s">
        <v>33</v>
      </c>
      <c r="H146" s="27">
        <v>0</v>
      </c>
      <c r="I146" s="27">
        <f t="shared" si="8"/>
        <v>529252.92529252928</v>
      </c>
      <c r="J146" s="27" t="s">
        <v>31</v>
      </c>
      <c r="K146" s="27" t="s">
        <v>31</v>
      </c>
      <c r="L146" s="27" t="s">
        <v>31</v>
      </c>
      <c r="M146" s="27" t="s">
        <v>31</v>
      </c>
      <c r="N146" s="27" t="s">
        <v>1598</v>
      </c>
    </row>
    <row r="147" spans="1:14" s="27" customFormat="1" ht="12.95">
      <c r="A147" s="27" t="s">
        <v>1599</v>
      </c>
      <c r="B147" s="27">
        <f>0.4*1600*B143</f>
        <v>62720000</v>
      </c>
      <c r="C147" s="27" t="s">
        <v>37</v>
      </c>
      <c r="D147" s="27" t="s">
        <v>40</v>
      </c>
      <c r="E147" s="27" t="s">
        <v>29</v>
      </c>
      <c r="F147" s="27" t="s">
        <v>584</v>
      </c>
      <c r="G147" s="27" t="s">
        <v>33</v>
      </c>
      <c r="H147" s="27">
        <v>0</v>
      </c>
      <c r="I147" s="27">
        <f t="shared" si="8"/>
        <v>62720000</v>
      </c>
      <c r="J147" s="27" t="s">
        <v>31</v>
      </c>
      <c r="K147" s="27" t="s">
        <v>31</v>
      </c>
      <c r="L147" s="27" t="s">
        <v>31</v>
      </c>
      <c r="M147" s="27" t="s">
        <v>31</v>
      </c>
      <c r="N147" s="27" t="s">
        <v>1600</v>
      </c>
    </row>
    <row r="148" spans="1:14" s="27" customFormat="1" ht="12.95">
      <c r="A148" s="27" t="s">
        <v>1601</v>
      </c>
      <c r="B148" s="27">
        <f>0.747*B143</f>
        <v>73206</v>
      </c>
      <c r="C148" s="27" t="s">
        <v>42</v>
      </c>
      <c r="D148" s="27" t="s">
        <v>40</v>
      </c>
      <c r="E148" s="27" t="s">
        <v>29</v>
      </c>
      <c r="F148" s="27" t="s">
        <v>35</v>
      </c>
      <c r="G148" s="27" t="s">
        <v>33</v>
      </c>
      <c r="H148" s="27">
        <v>0</v>
      </c>
      <c r="I148" s="27">
        <f t="shared" si="8"/>
        <v>73206</v>
      </c>
      <c r="J148" s="27" t="s">
        <v>31</v>
      </c>
      <c r="K148" s="27" t="s">
        <v>31</v>
      </c>
      <c r="L148" s="27" t="s">
        <v>31</v>
      </c>
      <c r="M148" s="27" t="s">
        <v>31</v>
      </c>
      <c r="N148" s="27" t="s">
        <v>1602</v>
      </c>
    </row>
    <row r="149" spans="1:14" s="27" customFormat="1" ht="12.95">
      <c r="A149" s="27" t="s">
        <v>265</v>
      </c>
      <c r="B149" s="27">
        <f>35.7*B143</f>
        <v>3498600.0000000005</v>
      </c>
      <c r="C149" s="27" t="s">
        <v>39</v>
      </c>
      <c r="D149" s="27" t="s">
        <v>40</v>
      </c>
      <c r="E149" s="27" t="s">
        <v>29</v>
      </c>
      <c r="F149" s="27" t="s">
        <v>35</v>
      </c>
      <c r="G149" s="27" t="s">
        <v>33</v>
      </c>
      <c r="H149" s="27">
        <v>0</v>
      </c>
      <c r="I149" s="27">
        <f t="shared" si="8"/>
        <v>3498600.0000000005</v>
      </c>
      <c r="J149" s="27" t="s">
        <v>31</v>
      </c>
      <c r="K149" s="27" t="s">
        <v>31</v>
      </c>
      <c r="L149" s="27" t="s">
        <v>31</v>
      </c>
      <c r="M149" s="27" t="s">
        <v>31</v>
      </c>
      <c r="N149" s="27" t="s">
        <v>1603</v>
      </c>
    </row>
    <row r="150" spans="1:14" s="27" customFormat="1" ht="12.95">
      <c r="A150" s="27" t="s">
        <v>1604</v>
      </c>
      <c r="B150" s="27">
        <f>250.5*B143</f>
        <v>24549000</v>
      </c>
      <c r="C150" s="27" t="s">
        <v>71</v>
      </c>
      <c r="D150" s="27" t="s">
        <v>40</v>
      </c>
      <c r="E150" s="27" t="s">
        <v>29</v>
      </c>
      <c r="F150" s="27" t="s">
        <v>59</v>
      </c>
      <c r="G150" s="27" t="s">
        <v>33</v>
      </c>
      <c r="H150" s="27">
        <v>0</v>
      </c>
      <c r="I150" s="27">
        <f t="shared" si="8"/>
        <v>24549000</v>
      </c>
      <c r="J150" s="27" t="s">
        <v>31</v>
      </c>
      <c r="K150" s="27" t="s">
        <v>31</v>
      </c>
      <c r="L150" s="27" t="s">
        <v>31</v>
      </c>
      <c r="M150" s="27" t="s">
        <v>31</v>
      </c>
      <c r="N150" s="27" t="s">
        <v>1605</v>
      </c>
    </row>
    <row r="151" spans="1:14" s="27" customFormat="1" ht="15.6">
      <c r="A151" s="28" t="s">
        <v>5</v>
      </c>
      <c r="B151" s="28" t="s">
        <v>1580</v>
      </c>
      <c r="C151" s="29"/>
      <c r="D151" s="30"/>
      <c r="E151" s="30"/>
      <c r="F151" s="30"/>
      <c r="G151" s="30"/>
      <c r="H151" s="30"/>
      <c r="I151" s="30"/>
      <c r="J151" s="30"/>
      <c r="K151" s="30"/>
      <c r="L151" s="30"/>
      <c r="M151" s="30"/>
      <c r="N151" s="30"/>
    </row>
    <row r="152" spans="1:14" s="27" customFormat="1" ht="12.95">
      <c r="A152" s="27" t="s">
        <v>7</v>
      </c>
      <c r="B152" s="27" t="s">
        <v>1502</v>
      </c>
    </row>
    <row r="153" spans="1:14" s="27" customFormat="1" ht="12.95">
      <c r="A153" s="27" t="s">
        <v>9</v>
      </c>
      <c r="B153" s="27" t="s">
        <v>1606</v>
      </c>
    </row>
    <row r="154" spans="1:14" s="27" customFormat="1" ht="12.95">
      <c r="A154" s="27" t="s">
        <v>11</v>
      </c>
      <c r="B154" s="27" t="s">
        <v>1607</v>
      </c>
    </row>
    <row r="155" spans="1:14" s="27" customFormat="1" ht="12.95">
      <c r="A155" s="27" t="s">
        <v>13</v>
      </c>
      <c r="B155" s="27" t="s">
        <v>35</v>
      </c>
    </row>
    <row r="156" spans="1:14" s="27" customFormat="1" ht="12.95">
      <c r="A156" s="27" t="s">
        <v>15</v>
      </c>
      <c r="B156" s="37">
        <v>1</v>
      </c>
    </row>
    <row r="157" spans="1:14" s="27" customFormat="1" ht="12.95">
      <c r="A157" s="27" t="s">
        <v>16</v>
      </c>
      <c r="B157" s="27" t="s">
        <v>17</v>
      </c>
    </row>
    <row r="158" spans="1:14" s="27" customFormat="1" ht="12.95">
      <c r="A158" s="27" t="s">
        <v>18</v>
      </c>
      <c r="B158" s="27" t="s">
        <v>18</v>
      </c>
    </row>
    <row r="159" spans="1:14" ht="15.6">
      <c r="A159" s="26" t="s">
        <v>19</v>
      </c>
    </row>
    <row r="160" spans="1:14" ht="15.6">
      <c r="A160" s="26" t="s">
        <v>20</v>
      </c>
      <c r="B160" s="26" t="s">
        <v>21</v>
      </c>
      <c r="C160" s="26" t="s">
        <v>18</v>
      </c>
      <c r="D160" s="26" t="s">
        <v>22</v>
      </c>
      <c r="E160" s="26" t="s">
        <v>7</v>
      </c>
      <c r="F160" s="26" t="s">
        <v>13</v>
      </c>
      <c r="G160" s="26" t="s">
        <v>16</v>
      </c>
      <c r="H160" s="26" t="s">
        <v>23</v>
      </c>
      <c r="I160" s="26" t="s">
        <v>24</v>
      </c>
      <c r="J160" s="26" t="s">
        <v>25</v>
      </c>
      <c r="K160" s="26" t="s">
        <v>26</v>
      </c>
      <c r="L160" s="26" t="s">
        <v>27</v>
      </c>
      <c r="M160" s="26" t="s">
        <v>28</v>
      </c>
      <c r="N160" s="26" t="s">
        <v>723</v>
      </c>
    </row>
    <row r="161" spans="1:14">
      <c r="A161" s="27" t="str">
        <f>B151</f>
        <v>taxiway</v>
      </c>
      <c r="B161" s="27">
        <f>B156</f>
        <v>1</v>
      </c>
      <c r="C161" s="27" t="str">
        <f>B158</f>
        <v>unit</v>
      </c>
      <c r="D161" s="27" t="s">
        <v>2</v>
      </c>
      <c r="E161" s="27" t="s">
        <v>29</v>
      </c>
      <c r="F161" s="27" t="str">
        <f>B155</f>
        <v>RER</v>
      </c>
      <c r="G161" s="27" t="s">
        <v>30</v>
      </c>
      <c r="H161" s="27">
        <v>0</v>
      </c>
      <c r="I161" s="27">
        <f>B161</f>
        <v>1</v>
      </c>
      <c r="J161" s="27" t="s">
        <v>31</v>
      </c>
      <c r="K161" s="27" t="s">
        <v>31</v>
      </c>
      <c r="L161" s="27" t="s">
        <v>31</v>
      </c>
      <c r="M161" s="27" t="s">
        <v>31</v>
      </c>
      <c r="N161" s="27"/>
    </row>
    <row r="162" spans="1:14">
      <c r="A162" s="37" t="s">
        <v>1563</v>
      </c>
      <c r="B162" s="27">
        <v>78720</v>
      </c>
      <c r="C162" s="27" t="s">
        <v>853</v>
      </c>
      <c r="D162" s="27" t="s">
        <v>39</v>
      </c>
      <c r="E162" s="27" t="s">
        <v>1552</v>
      </c>
      <c r="F162" s="27" t="s">
        <v>29</v>
      </c>
      <c r="G162" s="27" t="s">
        <v>45</v>
      </c>
      <c r="H162" s="27">
        <v>0</v>
      </c>
      <c r="I162" s="27">
        <f>B162</f>
        <v>78720</v>
      </c>
      <c r="J162" s="27" t="s">
        <v>31</v>
      </c>
      <c r="K162" s="27" t="s">
        <v>31</v>
      </c>
      <c r="L162" s="27" t="s">
        <v>31</v>
      </c>
      <c r="M162" s="27" t="s">
        <v>31</v>
      </c>
      <c r="N162" s="27" t="s">
        <v>1553</v>
      </c>
    </row>
    <row r="163" spans="1:14">
      <c r="A163" s="27" t="s">
        <v>1564</v>
      </c>
      <c r="B163" s="27">
        <f>100*B162</f>
        <v>7872000</v>
      </c>
      <c r="C163" s="27" t="s">
        <v>1555</v>
      </c>
      <c r="D163" s="27" t="s">
        <v>43</v>
      </c>
      <c r="E163" s="27" t="s">
        <v>1552</v>
      </c>
      <c r="F163" s="27" t="s">
        <v>29</v>
      </c>
      <c r="G163" s="27" t="s">
        <v>45</v>
      </c>
      <c r="H163" s="27">
        <v>0</v>
      </c>
      <c r="I163" s="27">
        <f>B163</f>
        <v>7872000</v>
      </c>
      <c r="J163" s="27" t="s">
        <v>31</v>
      </c>
      <c r="K163" s="27" t="s">
        <v>31</v>
      </c>
      <c r="L163" s="27" t="s">
        <v>31</v>
      </c>
      <c r="M163" s="27" t="s">
        <v>31</v>
      </c>
      <c r="N163" s="27" t="s">
        <v>1556</v>
      </c>
    </row>
    <row r="164" spans="1:14">
      <c r="A164" s="47" t="s">
        <v>1596</v>
      </c>
      <c r="B164" s="42">
        <f>B162*0.22*P7</f>
        <v>51960.396039603962</v>
      </c>
      <c r="C164" s="27" t="s">
        <v>42</v>
      </c>
      <c r="D164" s="27" t="s">
        <v>40</v>
      </c>
      <c r="E164" s="27" t="s">
        <v>29</v>
      </c>
      <c r="F164" s="27" t="s">
        <v>59</v>
      </c>
      <c r="G164" s="27" t="s">
        <v>33</v>
      </c>
      <c r="H164" s="27">
        <v>0</v>
      </c>
      <c r="I164" s="27">
        <f t="shared" ref="I164:I169" si="9">B164</f>
        <v>51960.396039603962</v>
      </c>
      <c r="J164" s="27" t="s">
        <v>31</v>
      </c>
      <c r="K164" s="27" t="s">
        <v>31</v>
      </c>
      <c r="L164" s="27" t="s">
        <v>31</v>
      </c>
      <c r="M164" s="27" t="s">
        <v>31</v>
      </c>
      <c r="N164" s="27" t="s">
        <v>1597</v>
      </c>
    </row>
    <row r="165" spans="1:14">
      <c r="A165" s="46" t="s">
        <v>86</v>
      </c>
      <c r="B165" s="27">
        <f>1.8*B162*P7</f>
        <v>425130.51305130514</v>
      </c>
      <c r="C165" s="27" t="s">
        <v>37</v>
      </c>
      <c r="D165" s="27" t="s">
        <v>40</v>
      </c>
      <c r="E165" s="27" t="s">
        <v>29</v>
      </c>
      <c r="F165" s="27" t="s">
        <v>59</v>
      </c>
      <c r="G165" s="27" t="s">
        <v>33</v>
      </c>
      <c r="H165" s="27">
        <v>0</v>
      </c>
      <c r="I165" s="27">
        <f t="shared" si="9"/>
        <v>425130.51305130514</v>
      </c>
      <c r="J165" s="27" t="s">
        <v>31</v>
      </c>
      <c r="K165" s="27" t="s">
        <v>31</v>
      </c>
      <c r="L165" s="27" t="s">
        <v>31</v>
      </c>
      <c r="M165" s="27" t="s">
        <v>31</v>
      </c>
      <c r="N165" s="27" t="s">
        <v>1608</v>
      </c>
    </row>
    <row r="166" spans="1:14">
      <c r="A166" s="27" t="s">
        <v>1599</v>
      </c>
      <c r="B166" s="27">
        <f>0.4*1600*B162</f>
        <v>50380800</v>
      </c>
      <c r="C166" s="27" t="s">
        <v>37</v>
      </c>
      <c r="D166" s="27" t="s">
        <v>40</v>
      </c>
      <c r="E166" s="27" t="s">
        <v>29</v>
      </c>
      <c r="F166" s="27" t="s">
        <v>584</v>
      </c>
      <c r="G166" s="27" t="s">
        <v>33</v>
      </c>
      <c r="H166" s="27">
        <v>0</v>
      </c>
      <c r="I166" s="27">
        <f t="shared" si="9"/>
        <v>50380800</v>
      </c>
      <c r="J166" s="27" t="s">
        <v>31</v>
      </c>
      <c r="K166" s="27" t="s">
        <v>31</v>
      </c>
      <c r="L166" s="27" t="s">
        <v>31</v>
      </c>
      <c r="M166" s="27" t="s">
        <v>31</v>
      </c>
      <c r="N166" s="27" t="s">
        <v>1600</v>
      </c>
    </row>
    <row r="167" spans="1:14">
      <c r="A167" s="27" t="s">
        <v>1601</v>
      </c>
      <c r="B167" s="27">
        <f>0.747*B162</f>
        <v>58803.839999999997</v>
      </c>
      <c r="C167" s="27" t="s">
        <v>42</v>
      </c>
      <c r="D167" s="27" t="s">
        <v>40</v>
      </c>
      <c r="E167" s="27" t="s">
        <v>29</v>
      </c>
      <c r="F167" s="27" t="s">
        <v>35</v>
      </c>
      <c r="G167" s="27" t="s">
        <v>33</v>
      </c>
      <c r="H167" s="27">
        <v>0</v>
      </c>
      <c r="I167" s="27">
        <f t="shared" si="9"/>
        <v>58803.839999999997</v>
      </c>
      <c r="J167" s="27" t="s">
        <v>31</v>
      </c>
      <c r="K167" s="27" t="s">
        <v>31</v>
      </c>
      <c r="L167" s="27" t="s">
        <v>31</v>
      </c>
      <c r="M167" s="27" t="s">
        <v>31</v>
      </c>
      <c r="N167" s="27" t="s">
        <v>1602</v>
      </c>
    </row>
    <row r="168" spans="1:14" s="27" customFormat="1" ht="12.95">
      <c r="A168" s="27" t="s">
        <v>265</v>
      </c>
      <c r="B168" s="27">
        <f>35.7*B162</f>
        <v>2810304</v>
      </c>
      <c r="C168" s="27" t="s">
        <v>39</v>
      </c>
      <c r="D168" s="27" t="s">
        <v>40</v>
      </c>
      <c r="E168" s="27" t="s">
        <v>29</v>
      </c>
      <c r="F168" s="27" t="s">
        <v>35</v>
      </c>
      <c r="G168" s="27" t="s">
        <v>33</v>
      </c>
      <c r="H168" s="27">
        <v>0</v>
      </c>
      <c r="I168" s="27">
        <f t="shared" si="9"/>
        <v>2810304</v>
      </c>
      <c r="J168" s="27" t="s">
        <v>31</v>
      </c>
      <c r="K168" s="27" t="s">
        <v>31</v>
      </c>
      <c r="L168" s="27" t="s">
        <v>31</v>
      </c>
      <c r="M168" s="27" t="s">
        <v>31</v>
      </c>
      <c r="N168" s="27" t="s">
        <v>1603</v>
      </c>
    </row>
    <row r="169" spans="1:14" s="27" customFormat="1" ht="12.95">
      <c r="A169" s="27" t="s">
        <v>1604</v>
      </c>
      <c r="B169" s="27">
        <f>250.5*B162</f>
        <v>19719360</v>
      </c>
      <c r="C169" s="27" t="s">
        <v>71</v>
      </c>
      <c r="D169" s="27" t="s">
        <v>40</v>
      </c>
      <c r="E169" s="27" t="s">
        <v>29</v>
      </c>
      <c r="F169" s="27" t="s">
        <v>59</v>
      </c>
      <c r="G169" s="27" t="s">
        <v>33</v>
      </c>
      <c r="H169" s="27">
        <v>0</v>
      </c>
      <c r="I169" s="27">
        <f t="shared" si="9"/>
        <v>19719360</v>
      </c>
      <c r="J169" s="27" t="s">
        <v>31</v>
      </c>
      <c r="K169" s="27" t="s">
        <v>31</v>
      </c>
      <c r="L169" s="27" t="s">
        <v>31</v>
      </c>
      <c r="M169" s="27" t="s">
        <v>31</v>
      </c>
      <c r="N169" s="27" t="s">
        <v>1605</v>
      </c>
    </row>
    <row r="170" spans="1:14" s="27" customFormat="1" ht="15.6">
      <c r="A170" s="28" t="s">
        <v>5</v>
      </c>
      <c r="B170" s="28" t="s">
        <v>1582</v>
      </c>
      <c r="C170" s="29"/>
      <c r="D170" s="30"/>
      <c r="E170" s="30"/>
      <c r="F170" s="30"/>
      <c r="G170" s="30"/>
      <c r="H170" s="30"/>
      <c r="I170" s="30"/>
      <c r="J170" s="30"/>
      <c r="K170" s="30"/>
      <c r="L170" s="30"/>
      <c r="M170" s="30"/>
      <c r="N170" s="30"/>
    </row>
    <row r="171" spans="1:14" s="27" customFormat="1" ht="12.95">
      <c r="A171" s="27" t="s">
        <v>7</v>
      </c>
      <c r="B171" s="27" t="s">
        <v>1502</v>
      </c>
    </row>
    <row r="172" spans="1:14" s="27" customFormat="1" ht="12.95">
      <c r="A172" s="27" t="s">
        <v>9</v>
      </c>
      <c r="B172" s="27" t="s">
        <v>1609</v>
      </c>
    </row>
    <row r="173" spans="1:14" s="27" customFormat="1" ht="12.95">
      <c r="A173" s="27" t="s">
        <v>11</v>
      </c>
      <c r="B173" s="27" t="s">
        <v>1610</v>
      </c>
    </row>
    <row r="174" spans="1:14" s="27" customFormat="1" ht="12.95">
      <c r="A174" s="27" t="s">
        <v>13</v>
      </c>
      <c r="B174" s="27" t="s">
        <v>35</v>
      </c>
    </row>
    <row r="175" spans="1:14" s="27" customFormat="1" ht="12.95">
      <c r="A175" s="27" t="s">
        <v>15</v>
      </c>
      <c r="B175" s="37">
        <v>1</v>
      </c>
    </row>
    <row r="176" spans="1:14" s="27" customFormat="1" ht="12.95">
      <c r="A176" s="27" t="s">
        <v>16</v>
      </c>
      <c r="B176" s="27" t="s">
        <v>17</v>
      </c>
    </row>
    <row r="177" spans="1:14" s="27" customFormat="1" ht="12.95">
      <c r="A177" s="27" t="s">
        <v>18</v>
      </c>
      <c r="B177" s="27" t="s">
        <v>18</v>
      </c>
    </row>
    <row r="178" spans="1:14" ht="15.6">
      <c r="A178" s="26" t="s">
        <v>19</v>
      </c>
    </row>
    <row r="179" spans="1:14" ht="15.6">
      <c r="A179" s="26" t="s">
        <v>20</v>
      </c>
      <c r="B179" s="26" t="s">
        <v>21</v>
      </c>
      <c r="C179" s="26" t="s">
        <v>18</v>
      </c>
      <c r="D179" s="26" t="s">
        <v>22</v>
      </c>
      <c r="E179" s="26" t="s">
        <v>7</v>
      </c>
      <c r="F179" s="26" t="s">
        <v>13</v>
      </c>
      <c r="G179" s="26" t="s">
        <v>16</v>
      </c>
      <c r="H179" s="26" t="s">
        <v>23</v>
      </c>
      <c r="I179" s="26" t="s">
        <v>24</v>
      </c>
      <c r="J179" s="26" t="s">
        <v>25</v>
      </c>
      <c r="K179" s="26" t="s">
        <v>26</v>
      </c>
      <c r="L179" s="26" t="s">
        <v>27</v>
      </c>
      <c r="M179" s="26" t="s">
        <v>28</v>
      </c>
      <c r="N179" s="26" t="s">
        <v>723</v>
      </c>
    </row>
    <row r="180" spans="1:14">
      <c r="A180" s="27" t="str">
        <f>B170</f>
        <v>runway</v>
      </c>
      <c r="B180" s="27">
        <f>B175</f>
        <v>1</v>
      </c>
      <c r="C180" s="27" t="str">
        <f>B177</f>
        <v>unit</v>
      </c>
      <c r="D180" s="27" t="s">
        <v>2</v>
      </c>
      <c r="E180" s="27" t="s">
        <v>29</v>
      </c>
      <c r="F180" s="27" t="str">
        <f>B174</f>
        <v>RER</v>
      </c>
      <c r="G180" s="27" t="s">
        <v>30</v>
      </c>
      <c r="H180" s="27">
        <v>0</v>
      </c>
      <c r="I180" s="27">
        <f>B180</f>
        <v>1</v>
      </c>
      <c r="J180" s="27" t="s">
        <v>31</v>
      </c>
      <c r="K180" s="27" t="s">
        <v>31</v>
      </c>
      <c r="L180" s="27" t="s">
        <v>31</v>
      </c>
      <c r="M180" s="27" t="s">
        <v>31</v>
      </c>
      <c r="N180" s="27"/>
    </row>
    <row r="181" spans="1:14">
      <c r="A181" s="37" t="s">
        <v>1563</v>
      </c>
      <c r="B181" s="27">
        <v>99000</v>
      </c>
      <c r="C181" s="27" t="s">
        <v>853</v>
      </c>
      <c r="D181" s="27" t="s">
        <v>43</v>
      </c>
      <c r="E181" s="27" t="s">
        <v>1552</v>
      </c>
      <c r="F181" s="27" t="s">
        <v>29</v>
      </c>
      <c r="G181" s="27" t="s">
        <v>45</v>
      </c>
      <c r="H181" s="27">
        <v>0</v>
      </c>
      <c r="I181" s="27">
        <f>B181</f>
        <v>99000</v>
      </c>
      <c r="J181" s="27" t="s">
        <v>31</v>
      </c>
      <c r="K181" s="27" t="s">
        <v>31</v>
      </c>
      <c r="L181" s="27" t="s">
        <v>31</v>
      </c>
      <c r="M181" s="27" t="s">
        <v>31</v>
      </c>
      <c r="N181" s="27" t="s">
        <v>1553</v>
      </c>
    </row>
    <row r="182" spans="1:14">
      <c r="A182" s="27" t="s">
        <v>1564</v>
      </c>
      <c r="B182" s="27">
        <f>100*B181</f>
        <v>9900000</v>
      </c>
      <c r="C182" s="27" t="s">
        <v>1555</v>
      </c>
      <c r="D182" s="27" t="s">
        <v>43</v>
      </c>
      <c r="E182" s="27" t="s">
        <v>1552</v>
      </c>
      <c r="F182" s="27" t="s">
        <v>29</v>
      </c>
      <c r="G182" s="27" t="s">
        <v>45</v>
      </c>
      <c r="H182" s="27">
        <v>0</v>
      </c>
      <c r="I182" s="27">
        <f>B182</f>
        <v>9900000</v>
      </c>
      <c r="J182" s="27" t="s">
        <v>31</v>
      </c>
      <c r="K182" s="27" t="s">
        <v>31</v>
      </c>
      <c r="L182" s="27" t="s">
        <v>31</v>
      </c>
      <c r="M182" s="27" t="s">
        <v>31</v>
      </c>
      <c r="N182" s="27" t="s">
        <v>1556</v>
      </c>
    </row>
    <row r="183" spans="1:14">
      <c r="A183" s="47" t="s">
        <v>1596</v>
      </c>
      <c r="B183" s="42">
        <f>B181*0.22*P7</f>
        <v>65346.534653465344</v>
      </c>
      <c r="C183" s="27" t="s">
        <v>42</v>
      </c>
      <c r="D183" s="27" t="s">
        <v>40</v>
      </c>
      <c r="E183" s="27" t="s">
        <v>29</v>
      </c>
      <c r="F183" s="27" t="s">
        <v>59</v>
      </c>
      <c r="G183" s="27" t="s">
        <v>33</v>
      </c>
      <c r="H183" s="27">
        <v>0</v>
      </c>
      <c r="I183" s="27">
        <f t="shared" ref="I183:I188" si="10">B183</f>
        <v>65346.534653465344</v>
      </c>
      <c r="J183" s="27" t="s">
        <v>31</v>
      </c>
      <c r="K183" s="27" t="s">
        <v>31</v>
      </c>
      <c r="L183" s="27" t="s">
        <v>31</v>
      </c>
      <c r="M183" s="27" t="s">
        <v>31</v>
      </c>
      <c r="N183" s="27" t="s">
        <v>1597</v>
      </c>
    </row>
    <row r="184" spans="1:14">
      <c r="A184" s="46" t="s">
        <v>86</v>
      </c>
      <c r="B184" s="27">
        <f>1.8*B181*P7</f>
        <v>534653.46534653462</v>
      </c>
      <c r="C184" s="27" t="s">
        <v>37</v>
      </c>
      <c r="D184" s="27" t="s">
        <v>40</v>
      </c>
      <c r="E184" s="27" t="s">
        <v>29</v>
      </c>
      <c r="F184" s="27" t="s">
        <v>59</v>
      </c>
      <c r="G184" s="27" t="s">
        <v>33</v>
      </c>
      <c r="H184" s="27">
        <v>0</v>
      </c>
      <c r="I184" s="27">
        <f t="shared" si="10"/>
        <v>534653.46534653462</v>
      </c>
      <c r="J184" s="27" t="s">
        <v>31</v>
      </c>
      <c r="K184" s="27" t="s">
        <v>31</v>
      </c>
      <c r="L184" s="27" t="s">
        <v>31</v>
      </c>
      <c r="M184" s="27" t="s">
        <v>31</v>
      </c>
      <c r="N184" s="27" t="s">
        <v>1608</v>
      </c>
    </row>
    <row r="185" spans="1:14">
      <c r="A185" s="27" t="s">
        <v>1599</v>
      </c>
      <c r="B185" s="27">
        <f>0.4*1600*B181</f>
        <v>63360000</v>
      </c>
      <c r="C185" s="27" t="s">
        <v>37</v>
      </c>
      <c r="D185" s="27" t="s">
        <v>40</v>
      </c>
      <c r="E185" s="27" t="s">
        <v>29</v>
      </c>
      <c r="F185" s="27" t="s">
        <v>584</v>
      </c>
      <c r="G185" s="27" t="s">
        <v>33</v>
      </c>
      <c r="H185" s="27">
        <v>0</v>
      </c>
      <c r="I185" s="27">
        <f t="shared" si="10"/>
        <v>63360000</v>
      </c>
      <c r="J185" s="27" t="s">
        <v>31</v>
      </c>
      <c r="K185" s="27" t="s">
        <v>31</v>
      </c>
      <c r="L185" s="27" t="s">
        <v>31</v>
      </c>
      <c r="M185" s="27" t="s">
        <v>31</v>
      </c>
      <c r="N185" s="27" t="s">
        <v>1600</v>
      </c>
    </row>
    <row r="186" spans="1:14">
      <c r="A186" s="27" t="s">
        <v>1601</v>
      </c>
      <c r="B186" s="27">
        <f>0.747*B181</f>
        <v>73953</v>
      </c>
      <c r="C186" s="27" t="s">
        <v>42</v>
      </c>
      <c r="D186" s="27" t="s">
        <v>40</v>
      </c>
      <c r="E186" s="27" t="s">
        <v>29</v>
      </c>
      <c r="F186" s="27" t="s">
        <v>35</v>
      </c>
      <c r="G186" s="27" t="s">
        <v>33</v>
      </c>
      <c r="H186" s="27">
        <v>0</v>
      </c>
      <c r="I186" s="27">
        <f t="shared" si="10"/>
        <v>73953</v>
      </c>
      <c r="J186" s="27" t="s">
        <v>31</v>
      </c>
      <c r="K186" s="27" t="s">
        <v>31</v>
      </c>
      <c r="L186" s="27" t="s">
        <v>31</v>
      </c>
      <c r="M186" s="27" t="s">
        <v>31</v>
      </c>
      <c r="N186" s="27" t="s">
        <v>1602</v>
      </c>
    </row>
    <row r="187" spans="1:14" s="27" customFormat="1" ht="12.95">
      <c r="A187" s="27" t="s">
        <v>265</v>
      </c>
      <c r="B187" s="27">
        <f>35.7*B181</f>
        <v>3534300.0000000005</v>
      </c>
      <c r="C187" s="27" t="s">
        <v>39</v>
      </c>
      <c r="D187" s="27" t="s">
        <v>40</v>
      </c>
      <c r="E187" s="27" t="s">
        <v>29</v>
      </c>
      <c r="F187" s="27" t="s">
        <v>35</v>
      </c>
      <c r="G187" s="27" t="s">
        <v>33</v>
      </c>
      <c r="H187" s="27">
        <v>0</v>
      </c>
      <c r="I187" s="27">
        <f t="shared" si="10"/>
        <v>3534300.0000000005</v>
      </c>
      <c r="J187" s="27" t="s">
        <v>31</v>
      </c>
      <c r="K187" s="27" t="s">
        <v>31</v>
      </c>
      <c r="L187" s="27" t="s">
        <v>31</v>
      </c>
      <c r="M187" s="27" t="s">
        <v>31</v>
      </c>
      <c r="N187" s="27" t="s">
        <v>1603</v>
      </c>
    </row>
    <row r="188" spans="1:14" s="27" customFormat="1" ht="12.95">
      <c r="A188" s="27" t="s">
        <v>1604</v>
      </c>
      <c r="B188" s="27">
        <f>250.5*B181</f>
        <v>24799500</v>
      </c>
      <c r="C188" s="27" t="s">
        <v>71</v>
      </c>
      <c r="D188" s="27" t="s">
        <v>40</v>
      </c>
      <c r="E188" s="27" t="s">
        <v>29</v>
      </c>
      <c r="F188" s="27" t="s">
        <v>59</v>
      </c>
      <c r="G188" s="27" t="s">
        <v>33</v>
      </c>
      <c r="H188" s="27">
        <v>0</v>
      </c>
      <c r="I188" s="27">
        <f t="shared" si="10"/>
        <v>24799500</v>
      </c>
      <c r="J188" s="27" t="s">
        <v>31</v>
      </c>
      <c r="K188" s="27" t="s">
        <v>31</v>
      </c>
      <c r="L188" s="27" t="s">
        <v>31</v>
      </c>
      <c r="M188" s="27" t="s">
        <v>31</v>
      </c>
      <c r="N188" s="27" t="s">
        <v>1605</v>
      </c>
    </row>
    <row r="189" spans="1:14" ht="15.6">
      <c r="A189" s="28" t="s">
        <v>5</v>
      </c>
      <c r="B189" s="28" t="s">
        <v>1584</v>
      </c>
      <c r="C189" s="29"/>
      <c r="D189" s="30"/>
      <c r="E189" s="30"/>
      <c r="F189" s="30"/>
      <c r="G189" s="30"/>
      <c r="H189" s="30"/>
      <c r="I189" s="30"/>
      <c r="J189" s="30"/>
      <c r="K189" s="30"/>
      <c r="L189" s="30"/>
      <c r="M189" s="30"/>
      <c r="N189" s="30"/>
    </row>
    <row r="190" spans="1:14" s="27" customFormat="1" ht="12.95">
      <c r="A190" s="27" t="s">
        <v>7</v>
      </c>
      <c r="B190" s="27" t="s">
        <v>1502</v>
      </c>
    </row>
    <row r="191" spans="1:14" s="27" customFormat="1" ht="12.95">
      <c r="A191" s="27" t="s">
        <v>9</v>
      </c>
      <c r="B191" s="27" t="s">
        <v>1611</v>
      </c>
    </row>
    <row r="192" spans="1:14" s="27" customFormat="1" ht="12.95">
      <c r="A192" s="27" t="s">
        <v>11</v>
      </c>
      <c r="B192" s="27" t="s">
        <v>1612</v>
      </c>
    </row>
    <row r="193" spans="1:14" s="27" customFormat="1" ht="12.95">
      <c r="A193" s="27" t="s">
        <v>13</v>
      </c>
      <c r="B193" s="27" t="s">
        <v>35</v>
      </c>
    </row>
    <row r="194" spans="1:14" s="27" customFormat="1" ht="12.95">
      <c r="A194" s="27" t="s">
        <v>15</v>
      </c>
      <c r="B194" s="37">
        <v>1</v>
      </c>
    </row>
    <row r="195" spans="1:14" s="27" customFormat="1" ht="12.95">
      <c r="A195" s="27" t="s">
        <v>16</v>
      </c>
      <c r="B195" s="27" t="s">
        <v>17</v>
      </c>
    </row>
    <row r="196" spans="1:14" s="27" customFormat="1" ht="12.95">
      <c r="A196" s="27" t="s">
        <v>18</v>
      </c>
      <c r="B196" s="27" t="s">
        <v>18</v>
      </c>
    </row>
    <row r="197" spans="1:14" ht="15.6">
      <c r="A197" s="26" t="s">
        <v>19</v>
      </c>
    </row>
    <row r="198" spans="1:14" ht="15.6">
      <c r="A198" s="26" t="s">
        <v>20</v>
      </c>
      <c r="B198" s="26" t="s">
        <v>21</v>
      </c>
      <c r="C198" s="26" t="s">
        <v>18</v>
      </c>
      <c r="D198" s="26" t="s">
        <v>22</v>
      </c>
      <c r="E198" s="26" t="s">
        <v>7</v>
      </c>
      <c r="F198" s="26" t="s">
        <v>13</v>
      </c>
      <c r="G198" s="26" t="s">
        <v>16</v>
      </c>
      <c r="H198" s="26" t="s">
        <v>23</v>
      </c>
      <c r="I198" s="26" t="s">
        <v>24</v>
      </c>
      <c r="J198" s="26" t="s">
        <v>25</v>
      </c>
      <c r="K198" s="26" t="s">
        <v>26</v>
      </c>
      <c r="L198" s="26" t="s">
        <v>27</v>
      </c>
      <c r="M198" s="26" t="s">
        <v>28</v>
      </c>
      <c r="N198" s="26" t="s">
        <v>723</v>
      </c>
    </row>
    <row r="199" spans="1:14" s="27" customFormat="1" ht="12.95">
      <c r="A199" s="27" t="str">
        <f>B189</f>
        <v>airside green areas</v>
      </c>
      <c r="B199" s="27">
        <f>B194</f>
        <v>1</v>
      </c>
      <c r="C199" s="27" t="str">
        <f>B196</f>
        <v>unit</v>
      </c>
      <c r="D199" s="27" t="s">
        <v>2</v>
      </c>
      <c r="E199" s="27" t="s">
        <v>29</v>
      </c>
      <c r="F199" s="27" t="str">
        <f>B193</f>
        <v>RER</v>
      </c>
      <c r="G199" s="27" t="s">
        <v>30</v>
      </c>
      <c r="H199" s="27">
        <v>0</v>
      </c>
      <c r="I199" s="27">
        <f>B199</f>
        <v>1</v>
      </c>
      <c r="J199" s="27" t="s">
        <v>31</v>
      </c>
      <c r="K199" s="27" t="s">
        <v>31</v>
      </c>
      <c r="L199" s="27" t="s">
        <v>31</v>
      </c>
      <c r="M199" s="27" t="s">
        <v>31</v>
      </c>
    </row>
    <row r="200" spans="1:14" s="27" customFormat="1" ht="12.95">
      <c r="A200" s="37" t="s">
        <v>1569</v>
      </c>
      <c r="B200" s="42">
        <v>1403948</v>
      </c>
      <c r="C200" s="27" t="s">
        <v>853</v>
      </c>
      <c r="D200" s="27" t="s">
        <v>43</v>
      </c>
      <c r="E200" s="27" t="s">
        <v>1552</v>
      </c>
      <c r="F200" s="27" t="s">
        <v>29</v>
      </c>
      <c r="G200" s="27" t="s">
        <v>45</v>
      </c>
      <c r="H200" s="27">
        <v>0</v>
      </c>
      <c r="I200" s="27">
        <f t="shared" ref="I200" si="11">B200</f>
        <v>1403948</v>
      </c>
      <c r="J200" s="27" t="s">
        <v>31</v>
      </c>
      <c r="K200" s="27" t="s">
        <v>31</v>
      </c>
      <c r="L200" s="27" t="s">
        <v>31</v>
      </c>
      <c r="M200" s="27" t="s">
        <v>31</v>
      </c>
      <c r="N200" s="27" t="s">
        <v>1553</v>
      </c>
    </row>
    <row r="201" spans="1:14">
      <c r="A201" s="30"/>
      <c r="B201" s="30"/>
      <c r="C201" s="30"/>
      <c r="D201" s="30"/>
      <c r="E201" s="30"/>
      <c r="F201" s="30"/>
      <c r="G201" s="30"/>
      <c r="H201" s="30"/>
      <c r="I201" s="30"/>
      <c r="J201" s="30"/>
      <c r="K201" s="30"/>
      <c r="L201" s="30"/>
      <c r="M201" s="30"/>
      <c r="N201" s="30"/>
    </row>
  </sheetData>
  <mergeCells count="1">
    <mergeCell ref="O3:P3"/>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85" sqref="B85"/>
    </sheetView>
  </sheetViews>
  <sheetFormatPr defaultRowHeight="14.4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56</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157</v>
      </c>
      <c r="C4" s="4"/>
      <c r="D4" s="13"/>
      <c r="E4" s="13"/>
      <c r="F4" s="13"/>
      <c r="G4" s="13"/>
      <c r="H4" s="13"/>
      <c r="I4" s="13"/>
      <c r="J4" s="13"/>
      <c r="K4" s="13"/>
      <c r="L4" s="13"/>
      <c r="M4" s="13"/>
    </row>
    <row r="5" spans="1:13" ht="43.5">
      <c r="A5" s="12" t="s">
        <v>11</v>
      </c>
      <c r="B5" s="14" t="s">
        <v>158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159</v>
      </c>
      <c r="C19" s="3"/>
      <c r="D19" s="11"/>
      <c r="E19" s="11"/>
      <c r="F19" s="11"/>
      <c r="G19" s="11"/>
      <c r="H19" s="11"/>
      <c r="I19" s="11"/>
      <c r="J19" s="11"/>
      <c r="K19" s="11"/>
      <c r="L19" s="11"/>
      <c r="M19" s="11"/>
    </row>
    <row r="20" spans="1:13">
      <c r="A20" s="12" t="s">
        <v>7</v>
      </c>
      <c r="B20" s="13" t="s">
        <v>165</v>
      </c>
      <c r="C20" s="4"/>
      <c r="D20" s="13"/>
      <c r="E20" s="13"/>
      <c r="F20" s="13"/>
      <c r="G20" s="13"/>
      <c r="H20" s="13"/>
      <c r="I20" s="13"/>
      <c r="J20" s="13"/>
      <c r="K20" s="13"/>
      <c r="L20" s="13"/>
      <c r="M20" s="13"/>
    </row>
    <row r="21" spans="1:13">
      <c r="A21" s="12" t="s">
        <v>9</v>
      </c>
      <c r="B21" s="13" t="s">
        <v>166</v>
      </c>
      <c r="C21" s="4"/>
      <c r="D21" s="13"/>
      <c r="E21" s="13"/>
      <c r="F21" s="13"/>
      <c r="G21" s="13"/>
      <c r="H21" s="13"/>
      <c r="I21" s="13"/>
      <c r="J21" s="13"/>
      <c r="K21" s="13"/>
      <c r="L21" s="13"/>
      <c r="M21" s="13"/>
    </row>
    <row r="22" spans="1:13" ht="29.1">
      <c r="A22" s="12" t="s">
        <v>11</v>
      </c>
      <c r="B22" s="14" t="s">
        <v>167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155</v>
      </c>
      <c r="B30" s="13">
        <v>0.95000000000000007</v>
      </c>
      <c r="C30" s="13" t="s">
        <v>37</v>
      </c>
      <c r="D30" s="13" t="s">
        <v>40</v>
      </c>
      <c r="E30" s="13" t="s">
        <v>29</v>
      </c>
      <c r="F30" s="13" t="s">
        <v>82</v>
      </c>
      <c r="G30" s="13" t="s">
        <v>33</v>
      </c>
      <c r="H30" s="13">
        <v>2</v>
      </c>
      <c r="I30" s="13">
        <f>LN(B30)</f>
        <v>-5.129329438755046E-2</v>
      </c>
      <c r="J30" s="13">
        <v>0.29325756597230351</v>
      </c>
      <c r="K30" s="13" t="s">
        <v>31</v>
      </c>
      <c r="L30" s="13" t="s">
        <v>31</v>
      </c>
      <c r="M30" s="13" t="s">
        <v>31</v>
      </c>
    </row>
    <row r="31" spans="1:13">
      <c r="A31" s="12" t="s">
        <v>85</v>
      </c>
      <c r="B31" s="13">
        <v>18.05</v>
      </c>
      <c r="C31" s="13" t="s">
        <v>37</v>
      </c>
      <c r="D31" s="13" t="s">
        <v>40</v>
      </c>
      <c r="E31" s="13" t="s">
        <v>29</v>
      </c>
      <c r="F31" s="13" t="s">
        <v>59</v>
      </c>
      <c r="G31" s="13" t="s">
        <v>33</v>
      </c>
      <c r="H31" s="13">
        <v>2</v>
      </c>
      <c r="I31" s="13">
        <f>LN(B31)</f>
        <v>2.8931456847788901</v>
      </c>
      <c r="J31" s="13">
        <v>0.29325756597230351</v>
      </c>
      <c r="K31" s="13" t="s">
        <v>31</v>
      </c>
      <c r="L31" s="13" t="s">
        <v>31</v>
      </c>
      <c r="M31" s="13" t="s">
        <v>31</v>
      </c>
    </row>
    <row r="32" spans="1:13">
      <c r="A32" s="18" t="s">
        <v>5</v>
      </c>
      <c r="B32" s="19" t="s">
        <v>160</v>
      </c>
      <c r="C32" s="3"/>
      <c r="D32" s="11"/>
      <c r="E32" s="11"/>
      <c r="F32" s="11"/>
      <c r="G32" s="11"/>
      <c r="H32" s="11"/>
      <c r="I32" s="11"/>
      <c r="J32" s="11"/>
      <c r="K32" s="11"/>
      <c r="L32" s="11"/>
      <c r="M32" s="11"/>
    </row>
    <row r="33" spans="1:13">
      <c r="A33" s="12" t="s">
        <v>7</v>
      </c>
      <c r="B33" s="13" t="s">
        <v>165</v>
      </c>
      <c r="C33" s="4"/>
      <c r="D33" s="13"/>
      <c r="E33" s="13"/>
      <c r="F33" s="13"/>
      <c r="G33" s="13"/>
      <c r="H33" s="13"/>
      <c r="I33" s="13"/>
      <c r="J33" s="13"/>
      <c r="K33" s="13"/>
      <c r="L33" s="13"/>
      <c r="M33" s="13"/>
    </row>
    <row r="34" spans="1:13">
      <c r="A34" s="12" t="s">
        <v>9</v>
      </c>
      <c r="B34" s="13" t="s">
        <v>168</v>
      </c>
      <c r="C34" s="4"/>
      <c r="D34" s="13"/>
      <c r="E34" s="13"/>
      <c r="F34" s="13"/>
      <c r="G34" s="13"/>
      <c r="H34" s="13"/>
      <c r="I34" s="13"/>
      <c r="J34" s="13"/>
      <c r="K34" s="13"/>
      <c r="L34" s="13"/>
      <c r="M34" s="13"/>
    </row>
    <row r="35" spans="1:13" ht="29.1">
      <c r="A35" s="12" t="s">
        <v>11</v>
      </c>
      <c r="B35" s="14" t="s">
        <v>169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85</v>
      </c>
      <c r="B43" s="13">
        <v>301.19</v>
      </c>
      <c r="C43" s="13" t="s">
        <v>37</v>
      </c>
      <c r="D43" s="13" t="s">
        <v>40</v>
      </c>
      <c r="E43" s="13" t="s">
        <v>29</v>
      </c>
      <c r="F43" s="13" t="s">
        <v>59</v>
      </c>
      <c r="G43" s="13" t="s">
        <v>33</v>
      </c>
      <c r="H43" s="13">
        <v>2</v>
      </c>
      <c r="I43" s="13">
        <f>LN(B43)</f>
        <v>5.7077412948433803</v>
      </c>
      <c r="J43" s="13">
        <v>0.29325756597230351</v>
      </c>
      <c r="K43" s="13" t="s">
        <v>31</v>
      </c>
      <c r="L43" s="13" t="s">
        <v>31</v>
      </c>
      <c r="M43" s="13" t="s">
        <v>31</v>
      </c>
    </row>
    <row r="44" spans="1:13">
      <c r="A44" s="18" t="s">
        <v>5</v>
      </c>
      <c r="B44" s="19" t="s">
        <v>161</v>
      </c>
      <c r="C44" s="3"/>
      <c r="D44" s="11"/>
      <c r="E44" s="11"/>
      <c r="F44" s="11"/>
      <c r="G44" s="11"/>
      <c r="H44" s="11"/>
      <c r="I44" s="11"/>
      <c r="J44" s="11"/>
      <c r="K44" s="11"/>
      <c r="L44" s="11"/>
      <c r="M44" s="11"/>
    </row>
    <row r="45" spans="1:13">
      <c r="A45" s="12" t="s">
        <v>7</v>
      </c>
      <c r="B45" s="13" t="s">
        <v>165</v>
      </c>
      <c r="C45" s="4"/>
      <c r="D45" s="13"/>
      <c r="E45" s="13"/>
      <c r="F45" s="13"/>
      <c r="G45" s="13"/>
      <c r="H45" s="13"/>
      <c r="I45" s="13"/>
      <c r="J45" s="13"/>
      <c r="K45" s="13"/>
      <c r="L45" s="13"/>
      <c r="M45" s="13"/>
    </row>
    <row r="46" spans="1:13">
      <c r="A46" s="12" t="s">
        <v>9</v>
      </c>
      <c r="B46" s="13" t="s">
        <v>170</v>
      </c>
      <c r="C46" s="4"/>
      <c r="D46" s="13"/>
      <c r="E46" s="13"/>
      <c r="F46" s="13"/>
      <c r="G46" s="13"/>
      <c r="H46" s="13"/>
      <c r="I46" s="13"/>
      <c r="J46" s="13"/>
      <c r="K46" s="13"/>
      <c r="L46" s="13"/>
      <c r="M46" s="13"/>
    </row>
    <row r="47" spans="1:13" ht="29.1">
      <c r="A47" s="12" t="s">
        <v>11</v>
      </c>
      <c r="B47" s="14" t="s">
        <v>171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172</v>
      </c>
      <c r="B55" s="13">
        <v>10</v>
      </c>
      <c r="C55" s="13" t="s">
        <v>37</v>
      </c>
      <c r="D55" s="13" t="s">
        <v>40</v>
      </c>
      <c r="E55" s="13" t="s">
        <v>29</v>
      </c>
      <c r="F55" s="13" t="s">
        <v>59</v>
      </c>
      <c r="G55" s="13" t="s">
        <v>33</v>
      </c>
      <c r="H55" s="13">
        <v>2</v>
      </c>
      <c r="I55" s="13">
        <f>LN(B55)</f>
        <v>2.3025850929940459</v>
      </c>
      <c r="J55" s="13">
        <v>0.29325756597230351</v>
      </c>
      <c r="K55" s="13" t="s">
        <v>31</v>
      </c>
      <c r="L55" s="13" t="s">
        <v>31</v>
      </c>
      <c r="M55" s="13" t="s">
        <v>31</v>
      </c>
    </row>
    <row r="56" spans="1:13">
      <c r="A56" s="18" t="s">
        <v>5</v>
      </c>
      <c r="B56" s="19" t="s">
        <v>162</v>
      </c>
      <c r="C56" s="3"/>
      <c r="D56" s="11"/>
      <c r="E56" s="11"/>
      <c r="F56" s="11"/>
      <c r="G56" s="11"/>
      <c r="H56" s="11"/>
      <c r="I56" s="11"/>
      <c r="J56" s="11"/>
      <c r="K56" s="11"/>
      <c r="L56" s="11"/>
      <c r="M56" s="11"/>
    </row>
    <row r="57" spans="1:13">
      <c r="A57" s="12" t="s">
        <v>7</v>
      </c>
      <c r="B57" s="13" t="s">
        <v>165</v>
      </c>
      <c r="C57" s="4"/>
      <c r="D57" s="13"/>
      <c r="E57" s="13"/>
      <c r="F57" s="13"/>
      <c r="G57" s="13"/>
      <c r="H57" s="13"/>
      <c r="I57" s="13"/>
      <c r="J57" s="13"/>
      <c r="K57" s="13"/>
      <c r="L57" s="13"/>
      <c r="M57" s="13"/>
    </row>
    <row r="58" spans="1:13">
      <c r="A58" s="12" t="s">
        <v>9</v>
      </c>
      <c r="B58" s="13" t="s">
        <v>173</v>
      </c>
      <c r="C58" s="4"/>
      <c r="D58" s="13"/>
      <c r="E58" s="13"/>
      <c r="F58" s="13"/>
      <c r="G58" s="13"/>
      <c r="H58" s="13"/>
      <c r="I58" s="13"/>
      <c r="J58" s="13"/>
      <c r="K58" s="13"/>
      <c r="L58" s="13"/>
      <c r="M58" s="13"/>
    </row>
    <row r="59" spans="1:13" ht="43.5">
      <c r="A59" s="12" t="s">
        <v>11</v>
      </c>
      <c r="B59" s="14" t="s">
        <v>174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175</v>
      </c>
      <c r="B67" s="13">
        <v>11.8</v>
      </c>
      <c r="C67" s="13" t="s">
        <v>37</v>
      </c>
      <c r="D67" s="13" t="s">
        <v>40</v>
      </c>
      <c r="E67" s="13" t="s">
        <v>29</v>
      </c>
      <c r="F67" s="13" t="s">
        <v>59</v>
      </c>
      <c r="G67" s="13" t="s">
        <v>33</v>
      </c>
      <c r="H67" s="13">
        <v>2</v>
      </c>
      <c r="I67" s="13">
        <f>LN(B67)</f>
        <v>2.4680995314716192</v>
      </c>
      <c r="J67" s="13">
        <v>0.29325756597230351</v>
      </c>
      <c r="K67" s="13" t="s">
        <v>31</v>
      </c>
      <c r="L67" s="13" t="s">
        <v>31</v>
      </c>
      <c r="M67" s="13" t="s">
        <v>31</v>
      </c>
      <c r="N67" t="s">
        <v>176</v>
      </c>
    </row>
    <row r="68" spans="1:14">
      <c r="A68" s="12" t="s">
        <v>134</v>
      </c>
      <c r="B68" s="13">
        <v>6.26</v>
      </c>
      <c r="C68" s="13" t="s">
        <v>37</v>
      </c>
      <c r="D68" s="13" t="s">
        <v>40</v>
      </c>
      <c r="E68" s="13" t="s">
        <v>29</v>
      </c>
      <c r="F68" s="13" t="s">
        <v>59</v>
      </c>
      <c r="G68" s="13" t="s">
        <v>33</v>
      </c>
      <c r="H68" s="13">
        <v>2</v>
      </c>
      <c r="I68" s="13">
        <f>LN(B68)</f>
        <v>1.8341801851120072</v>
      </c>
      <c r="J68" s="13">
        <v>0.29325756597230351</v>
      </c>
      <c r="K68" s="13" t="s">
        <v>31</v>
      </c>
      <c r="L68" s="13" t="s">
        <v>31</v>
      </c>
      <c r="M68" s="13" t="s">
        <v>31</v>
      </c>
    </row>
    <row r="69" spans="1:14">
      <c r="A69" s="18" t="s">
        <v>5</v>
      </c>
      <c r="B69" s="19" t="s">
        <v>163</v>
      </c>
      <c r="C69" s="3"/>
      <c r="D69" s="11"/>
      <c r="E69" s="11"/>
      <c r="F69" s="11"/>
      <c r="G69" s="11"/>
      <c r="H69" s="11"/>
      <c r="I69" s="11"/>
      <c r="J69" s="11"/>
      <c r="K69" s="11"/>
      <c r="L69" s="11"/>
      <c r="M69" s="11"/>
    </row>
    <row r="70" spans="1:14">
      <c r="A70" s="12" t="s">
        <v>7</v>
      </c>
      <c r="B70" s="13" t="s">
        <v>165</v>
      </c>
      <c r="C70" s="4"/>
      <c r="D70" s="13"/>
      <c r="E70" s="13"/>
      <c r="F70" s="13"/>
      <c r="G70" s="13"/>
      <c r="H70" s="13"/>
      <c r="I70" s="13"/>
      <c r="J70" s="13"/>
      <c r="K70" s="13"/>
      <c r="L70" s="13"/>
      <c r="M70" s="13"/>
    </row>
    <row r="71" spans="1:14">
      <c r="A71" s="12" t="s">
        <v>9</v>
      </c>
      <c r="B71" s="13" t="s">
        <v>177</v>
      </c>
      <c r="C71" s="4"/>
      <c r="D71" s="13"/>
      <c r="E71" s="13"/>
      <c r="F71" s="13"/>
      <c r="G71" s="13"/>
      <c r="H71" s="13"/>
      <c r="I71" s="13"/>
      <c r="J71" s="13"/>
      <c r="K71" s="13"/>
      <c r="L71" s="13"/>
      <c r="M71" s="13"/>
    </row>
    <row r="72" spans="1:14" ht="29.1">
      <c r="A72" s="12" t="s">
        <v>11</v>
      </c>
      <c r="B72" s="14" t="s">
        <v>178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179</v>
      </c>
      <c r="B80" s="13">
        <v>10.5</v>
      </c>
      <c r="C80" s="13" t="s">
        <v>37</v>
      </c>
      <c r="D80" s="13" t="s">
        <v>40</v>
      </c>
      <c r="E80" s="13" t="s">
        <v>29</v>
      </c>
      <c r="F80" s="13" t="s">
        <v>35</v>
      </c>
      <c r="G80" s="13" t="s">
        <v>33</v>
      </c>
      <c r="H80" s="13">
        <v>2</v>
      </c>
      <c r="I80" s="13">
        <f>LN(B80)</f>
        <v>2.3513752571634776</v>
      </c>
      <c r="J80" s="13">
        <v>0.29325756597230351</v>
      </c>
      <c r="K80" s="13" t="s">
        <v>31</v>
      </c>
      <c r="L80" s="13" t="s">
        <v>31</v>
      </c>
      <c r="M80" s="13" t="s">
        <v>31</v>
      </c>
    </row>
    <row r="81" spans="1:13">
      <c r="A81" s="12" t="s">
        <v>180</v>
      </c>
      <c r="B81" s="13">
        <v>10.5</v>
      </c>
      <c r="C81" s="13" t="s">
        <v>37</v>
      </c>
      <c r="D81" s="13" t="s">
        <v>40</v>
      </c>
      <c r="E81" s="13" t="s">
        <v>29</v>
      </c>
      <c r="F81" s="13" t="s">
        <v>59</v>
      </c>
      <c r="G81" s="13" t="s">
        <v>33</v>
      </c>
      <c r="H81" s="13">
        <v>2</v>
      </c>
      <c r="I81" s="13">
        <f>LN(B81)</f>
        <v>2.3513752571634776</v>
      </c>
      <c r="J81" s="13">
        <v>0.29325756597230351</v>
      </c>
      <c r="K81" s="13" t="s">
        <v>31</v>
      </c>
      <c r="L81" s="13" t="s">
        <v>31</v>
      </c>
      <c r="M81" s="13" t="s">
        <v>31</v>
      </c>
    </row>
    <row r="82" spans="1:13">
      <c r="A82" s="18" t="s">
        <v>5</v>
      </c>
      <c r="B82" s="19" t="s">
        <v>164</v>
      </c>
      <c r="C82" s="3"/>
      <c r="D82" s="11"/>
      <c r="E82" s="11"/>
      <c r="F82" s="11"/>
      <c r="G82" s="11"/>
      <c r="H82" s="11"/>
      <c r="I82" s="11"/>
      <c r="J82" s="11"/>
      <c r="K82" s="11"/>
      <c r="L82" s="11"/>
      <c r="M82" s="11"/>
    </row>
    <row r="83" spans="1:13">
      <c r="A83" s="12" t="s">
        <v>7</v>
      </c>
      <c r="B83" s="13" t="s">
        <v>165</v>
      </c>
      <c r="C83" s="4"/>
      <c r="D83" s="13"/>
      <c r="E83" s="13"/>
      <c r="F83" s="13"/>
      <c r="G83" s="13"/>
      <c r="H83" s="13"/>
      <c r="I83" s="13"/>
      <c r="J83" s="13"/>
      <c r="K83" s="13"/>
      <c r="L83" s="13"/>
      <c r="M83" s="13"/>
    </row>
    <row r="84" spans="1:13">
      <c r="A84" s="12" t="s">
        <v>9</v>
      </c>
      <c r="B84" s="13" t="s">
        <v>181</v>
      </c>
      <c r="C84" s="4"/>
      <c r="D84" s="13"/>
      <c r="E84" s="13"/>
      <c r="F84" s="13"/>
      <c r="G84" s="13"/>
      <c r="H84" s="13"/>
      <c r="I84" s="13"/>
      <c r="J84" s="13"/>
      <c r="K84" s="13"/>
      <c r="L84" s="13"/>
      <c r="M84" s="13"/>
    </row>
    <row r="85" spans="1:13" ht="29.1">
      <c r="A85" s="12" t="s">
        <v>11</v>
      </c>
      <c r="B85" s="14" t="s">
        <v>182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155</v>
      </c>
      <c r="B93" s="13">
        <v>61.6</v>
      </c>
      <c r="C93" s="13" t="s">
        <v>37</v>
      </c>
      <c r="D93" s="13" t="s">
        <v>40</v>
      </c>
      <c r="E93" s="13" t="s">
        <v>29</v>
      </c>
      <c r="F93" s="13" t="s">
        <v>82</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B273-AD1B-453C-B647-137BD3DA87D1}">
  <dimension ref="A1:Q54"/>
  <sheetViews>
    <sheetView workbookViewId="0">
      <selection activeCell="D13" sqref="D13"/>
    </sheetView>
  </sheetViews>
  <sheetFormatPr defaultColWidth="8.85546875" defaultRowHeight="14.45"/>
  <cols>
    <col min="1" max="1" width="33" style="24" customWidth="1"/>
    <col min="2" max="2" width="20.28515625" style="24" customWidth="1"/>
    <col min="3" max="3" width="10.7109375" style="24" customWidth="1"/>
    <col min="4" max="4" width="33.85546875" style="24" customWidth="1"/>
    <col min="5" max="7" width="12.5703125" style="24" customWidth="1"/>
    <col min="8" max="8" width="17.7109375" style="24" customWidth="1"/>
    <col min="9" max="9" width="13" style="24" customWidth="1"/>
    <col min="10" max="14" width="12" style="24" customWidth="1"/>
    <col min="15" max="15" width="17.7109375" style="24" customWidth="1"/>
    <col min="16" max="16" width="10.42578125" style="24" customWidth="1"/>
    <col min="17" max="16384" width="8.85546875" style="24"/>
  </cols>
  <sheetData>
    <row r="1" spans="1:17">
      <c r="A1" s="24" t="s">
        <v>0</v>
      </c>
      <c r="B1" s="24">
        <v>13</v>
      </c>
      <c r="C1" s="25"/>
    </row>
    <row r="2" spans="1:17" ht="15.6">
      <c r="A2" s="28" t="s">
        <v>5</v>
      </c>
      <c r="B2" s="28" t="s">
        <v>1523</v>
      </c>
      <c r="C2" s="29"/>
      <c r="D2" s="30"/>
      <c r="E2" s="30"/>
      <c r="F2" s="30"/>
      <c r="G2" s="30"/>
      <c r="H2" s="30"/>
      <c r="I2" s="30"/>
      <c r="J2" s="30"/>
      <c r="K2" s="30"/>
      <c r="L2" s="30"/>
      <c r="M2" s="30"/>
      <c r="N2" s="30"/>
    </row>
    <row r="3" spans="1:17">
      <c r="A3" s="27" t="s">
        <v>7</v>
      </c>
      <c r="B3" s="27" t="s">
        <v>1502</v>
      </c>
      <c r="C3" s="27"/>
      <c r="D3" s="27"/>
      <c r="E3" s="27"/>
      <c r="F3" s="27"/>
      <c r="G3" s="27"/>
      <c r="H3" s="27"/>
      <c r="I3" s="27"/>
      <c r="J3" s="27"/>
      <c r="K3" s="27"/>
      <c r="L3" s="27"/>
      <c r="M3" s="27"/>
      <c r="N3" s="27"/>
      <c r="O3" s="479" t="s">
        <v>1503</v>
      </c>
      <c r="P3" s="480"/>
      <c r="Q3" s="481"/>
    </row>
    <row r="4" spans="1:17">
      <c r="A4" s="27" t="s">
        <v>9</v>
      </c>
      <c r="B4" s="27" t="s">
        <v>1613</v>
      </c>
      <c r="C4" s="27"/>
      <c r="D4" s="27"/>
      <c r="E4" s="27"/>
      <c r="F4" s="27"/>
      <c r="G4" s="27"/>
      <c r="H4" s="27"/>
      <c r="I4" s="27"/>
      <c r="J4" s="27"/>
      <c r="K4" s="27"/>
      <c r="L4" s="27"/>
      <c r="M4" s="27"/>
      <c r="N4" s="27"/>
      <c r="O4" s="31" t="s">
        <v>1505</v>
      </c>
      <c r="P4" s="32" t="s">
        <v>1506</v>
      </c>
      <c r="Q4" s="33" t="s">
        <v>1507</v>
      </c>
    </row>
    <row r="5" spans="1:17">
      <c r="A5" s="27" t="s">
        <v>11</v>
      </c>
      <c r="B5" s="27" t="s">
        <v>1614</v>
      </c>
      <c r="C5" s="27"/>
      <c r="D5" s="27"/>
      <c r="E5" s="27"/>
      <c r="F5" s="27"/>
      <c r="G5" s="27"/>
      <c r="H5" s="27"/>
      <c r="I5" s="27"/>
      <c r="J5" s="27"/>
      <c r="K5" s="27"/>
      <c r="L5" s="27"/>
      <c r="M5" s="27"/>
      <c r="N5" s="27"/>
      <c r="O5" s="34" t="s">
        <v>1536</v>
      </c>
      <c r="P5" s="35">
        <v>100</v>
      </c>
      <c r="Q5" s="36">
        <f>P5/P5</f>
        <v>1</v>
      </c>
    </row>
    <row r="6" spans="1:17">
      <c r="A6" s="27" t="s">
        <v>13</v>
      </c>
      <c r="B6" s="27" t="s">
        <v>35</v>
      </c>
      <c r="C6" s="27"/>
      <c r="D6" s="27"/>
      <c r="E6" s="27"/>
      <c r="F6" s="27"/>
      <c r="G6" s="27"/>
      <c r="H6" s="27"/>
      <c r="I6" s="27"/>
      <c r="J6" s="27"/>
      <c r="K6" s="27"/>
      <c r="L6" s="27"/>
      <c r="M6" s="27"/>
      <c r="N6" s="27"/>
      <c r="O6" s="34" t="s">
        <v>1578</v>
      </c>
      <c r="P6" s="35">
        <v>33.33</v>
      </c>
      <c r="Q6" s="36">
        <f>P5/P6</f>
        <v>3.0003000300030003</v>
      </c>
    </row>
    <row r="7" spans="1:17">
      <c r="A7" s="27" t="s">
        <v>15</v>
      </c>
      <c r="B7" s="37">
        <v>1</v>
      </c>
      <c r="C7" s="27"/>
      <c r="D7" s="27"/>
      <c r="E7" s="27"/>
      <c r="F7" s="27"/>
      <c r="G7" s="27"/>
      <c r="H7" s="27"/>
      <c r="I7" s="27"/>
      <c r="J7" s="27"/>
      <c r="K7" s="27"/>
      <c r="L7" s="27"/>
      <c r="M7" s="27"/>
      <c r="N7" s="27"/>
      <c r="O7" s="34" t="s">
        <v>1580</v>
      </c>
      <c r="P7" s="35">
        <v>33.33</v>
      </c>
      <c r="Q7" s="36">
        <f>P5/P7</f>
        <v>3.0003000300030003</v>
      </c>
    </row>
    <row r="8" spans="1:17">
      <c r="A8" s="27" t="s">
        <v>16</v>
      </c>
      <c r="B8" s="27" t="s">
        <v>17</v>
      </c>
      <c r="C8" s="27"/>
      <c r="D8" s="27"/>
      <c r="E8" s="27"/>
      <c r="F8" s="27"/>
      <c r="G8" s="27"/>
      <c r="H8" s="27"/>
      <c r="I8" s="27"/>
      <c r="J8" s="27"/>
      <c r="K8" s="27"/>
      <c r="L8" s="27"/>
      <c r="M8" s="27"/>
      <c r="N8" s="27"/>
      <c r="O8" s="38" t="s">
        <v>1582</v>
      </c>
      <c r="P8" s="39">
        <v>33.33</v>
      </c>
      <c r="Q8" s="40">
        <f>P5/P8</f>
        <v>3.0003000300030003</v>
      </c>
    </row>
    <row r="9" spans="1:17">
      <c r="A9" s="27" t="s">
        <v>18</v>
      </c>
      <c r="B9" s="27" t="s">
        <v>18</v>
      </c>
      <c r="C9" s="27"/>
      <c r="D9" s="27"/>
      <c r="E9" s="27"/>
      <c r="F9" s="27"/>
      <c r="G9" s="27"/>
      <c r="H9" s="27"/>
      <c r="I9" s="27"/>
      <c r="J9" s="27"/>
      <c r="K9" s="27"/>
      <c r="L9" s="27"/>
      <c r="M9" s="27"/>
      <c r="N9" s="27"/>
      <c r="O9" s="37"/>
      <c r="P9" s="27"/>
    </row>
    <row r="10" spans="1:17" ht="15.6">
      <c r="A10" s="26" t="s">
        <v>19</v>
      </c>
      <c r="O10" s="27"/>
      <c r="P10" s="27"/>
    </row>
    <row r="11" spans="1:17"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7">
      <c r="A12" s="27" t="str">
        <f>B2</f>
        <v>airport decommission</v>
      </c>
      <c r="B12" s="27">
        <f>B7</f>
        <v>1</v>
      </c>
      <c r="C12" s="27" t="str">
        <f>B9</f>
        <v>unit</v>
      </c>
      <c r="D12" s="27" t="s">
        <v>2</v>
      </c>
      <c r="E12" s="27" t="s">
        <v>29</v>
      </c>
      <c r="F12" s="27" t="str">
        <f>B6</f>
        <v>RER</v>
      </c>
      <c r="G12" s="27" t="s">
        <v>30</v>
      </c>
      <c r="H12" s="27">
        <v>0</v>
      </c>
      <c r="I12" s="27">
        <f>B12</f>
        <v>1</v>
      </c>
      <c r="J12" s="27"/>
      <c r="K12" s="27"/>
      <c r="L12" s="27"/>
      <c r="M12" s="27"/>
      <c r="N12" s="27"/>
      <c r="O12" s="27"/>
      <c r="P12" s="27"/>
    </row>
    <row r="13" spans="1:17">
      <c r="A13" s="27" t="s">
        <v>1615</v>
      </c>
      <c r="B13" s="41">
        <f>1*Q6</f>
        <v>3.0003000300030003</v>
      </c>
      <c r="C13" s="27" t="s">
        <v>18</v>
      </c>
      <c r="D13" s="27" t="s">
        <v>2</v>
      </c>
      <c r="E13" s="27" t="s">
        <v>29</v>
      </c>
      <c r="F13" s="27" t="s">
        <v>35</v>
      </c>
      <c r="G13" s="27" t="s">
        <v>33</v>
      </c>
      <c r="H13" s="27">
        <v>0</v>
      </c>
      <c r="I13" s="27">
        <f>B13</f>
        <v>3.0003000300030003</v>
      </c>
      <c r="J13" s="27" t="s">
        <v>31</v>
      </c>
      <c r="K13" s="27" t="s">
        <v>31</v>
      </c>
      <c r="L13" s="27" t="s">
        <v>31</v>
      </c>
      <c r="M13" s="27" t="s">
        <v>31</v>
      </c>
      <c r="N13" s="27"/>
      <c r="O13" s="27"/>
      <c r="P13" s="27"/>
    </row>
    <row r="14" spans="1:17">
      <c r="A14" s="27" t="s">
        <v>1616</v>
      </c>
      <c r="B14" s="41">
        <f t="shared" ref="B14:B15" si="0">1*Q7</f>
        <v>3.0003000300030003</v>
      </c>
      <c r="C14" s="27" t="s">
        <v>18</v>
      </c>
      <c r="D14" s="27" t="s">
        <v>2</v>
      </c>
      <c r="E14" s="27" t="s">
        <v>29</v>
      </c>
      <c r="F14" s="27" t="s">
        <v>35</v>
      </c>
      <c r="G14" s="27" t="s">
        <v>33</v>
      </c>
      <c r="H14" s="27">
        <v>0</v>
      </c>
      <c r="I14" s="27">
        <f t="shared" ref="I14:I15" si="1">B14</f>
        <v>3.0003000300030003</v>
      </c>
      <c r="J14" s="27" t="s">
        <v>31</v>
      </c>
      <c r="K14" s="27" t="s">
        <v>31</v>
      </c>
      <c r="L14" s="27" t="s">
        <v>31</v>
      </c>
      <c r="M14" s="27" t="s">
        <v>31</v>
      </c>
      <c r="N14" s="27"/>
      <c r="O14" s="27"/>
      <c r="P14" s="27"/>
    </row>
    <row r="15" spans="1:17">
      <c r="A15" s="27" t="s">
        <v>1617</v>
      </c>
      <c r="B15" s="41">
        <f t="shared" si="0"/>
        <v>3.0003000300030003</v>
      </c>
      <c r="C15" s="27" t="s">
        <v>18</v>
      </c>
      <c r="D15" s="27" t="s">
        <v>2</v>
      </c>
      <c r="E15" s="27" t="s">
        <v>29</v>
      </c>
      <c r="F15" s="27" t="s">
        <v>35</v>
      </c>
      <c r="G15" s="27" t="s">
        <v>33</v>
      </c>
      <c r="H15" s="27">
        <v>0</v>
      </c>
      <c r="I15" s="27">
        <f t="shared" si="1"/>
        <v>3.0003000300030003</v>
      </c>
      <c r="J15" s="27" t="s">
        <v>31</v>
      </c>
      <c r="K15" s="27" t="s">
        <v>31</v>
      </c>
      <c r="L15" s="27" t="s">
        <v>31</v>
      </c>
      <c r="M15" s="27" t="s">
        <v>31</v>
      </c>
      <c r="N15" s="27"/>
      <c r="O15" s="27"/>
      <c r="P15" s="27"/>
    </row>
    <row r="16" spans="1:17" ht="15.6">
      <c r="A16" s="28" t="s">
        <v>5</v>
      </c>
      <c r="B16" s="28" t="s">
        <v>1615</v>
      </c>
      <c r="C16" s="29"/>
      <c r="D16" s="30"/>
      <c r="E16" s="30"/>
      <c r="F16" s="30"/>
      <c r="G16" s="30"/>
      <c r="H16" s="30"/>
      <c r="I16" s="30"/>
      <c r="J16" s="30"/>
      <c r="K16" s="30"/>
      <c r="L16" s="30"/>
      <c r="M16" s="30"/>
      <c r="N16" s="30"/>
      <c r="O16" s="27"/>
      <c r="P16" s="27"/>
    </row>
    <row r="17" spans="1:16">
      <c r="A17" s="27" t="s">
        <v>7</v>
      </c>
      <c r="B17" s="27" t="s">
        <v>1502</v>
      </c>
      <c r="C17" s="27"/>
      <c r="D17" s="27"/>
      <c r="E17" s="27"/>
      <c r="F17" s="27"/>
      <c r="G17" s="27"/>
      <c r="H17" s="27"/>
      <c r="I17" s="27"/>
      <c r="J17" s="27"/>
      <c r="K17" s="27"/>
      <c r="L17" s="27"/>
      <c r="M17" s="27"/>
      <c r="N17" s="27"/>
      <c r="O17" s="48" t="s">
        <v>1618</v>
      </c>
      <c r="P17" s="27"/>
    </row>
    <row r="18" spans="1:16">
      <c r="A18" s="27" t="s">
        <v>9</v>
      </c>
      <c r="B18" s="27" t="s">
        <v>1619</v>
      </c>
      <c r="C18" s="27"/>
      <c r="D18" s="27"/>
      <c r="E18" s="27"/>
      <c r="F18" s="27"/>
      <c r="G18" s="27"/>
      <c r="H18" s="27"/>
      <c r="I18" s="27"/>
      <c r="J18" s="27"/>
      <c r="K18" s="27"/>
      <c r="L18" s="27"/>
      <c r="M18" s="27"/>
      <c r="N18" s="27"/>
      <c r="O18" s="49">
        <v>98000</v>
      </c>
      <c r="P18" s="27"/>
    </row>
    <row r="19" spans="1:16">
      <c r="A19" s="27" t="s">
        <v>11</v>
      </c>
      <c r="B19" s="27" t="s">
        <v>1620</v>
      </c>
      <c r="C19" s="27"/>
      <c r="D19" s="27"/>
      <c r="E19" s="27"/>
      <c r="F19" s="27"/>
      <c r="G19" s="27"/>
      <c r="H19" s="27"/>
      <c r="I19" s="27"/>
      <c r="J19" s="27"/>
      <c r="K19" s="27"/>
      <c r="L19" s="27"/>
      <c r="M19" s="27"/>
      <c r="N19" s="27"/>
      <c r="O19" s="27"/>
      <c r="P19" s="27"/>
    </row>
    <row r="20" spans="1:16">
      <c r="A20" s="27" t="s">
        <v>13</v>
      </c>
      <c r="B20" s="27" t="s">
        <v>35</v>
      </c>
      <c r="C20" s="27"/>
      <c r="D20" s="27"/>
      <c r="E20" s="27"/>
      <c r="F20" s="27"/>
      <c r="G20" s="27"/>
      <c r="H20" s="27"/>
      <c r="I20" s="27"/>
      <c r="J20" s="27"/>
      <c r="K20" s="27"/>
      <c r="L20" s="27"/>
      <c r="M20" s="27"/>
      <c r="N20" s="27"/>
      <c r="O20" s="27"/>
      <c r="P20" s="27"/>
    </row>
    <row r="21" spans="1:16">
      <c r="A21" s="27" t="s">
        <v>15</v>
      </c>
      <c r="B21" s="37">
        <v>1</v>
      </c>
      <c r="C21" s="27"/>
      <c r="D21" s="27"/>
      <c r="E21" s="27"/>
      <c r="F21" s="27"/>
      <c r="G21" s="27"/>
      <c r="H21" s="27"/>
      <c r="I21" s="27"/>
      <c r="J21" s="27"/>
      <c r="K21" s="27"/>
      <c r="L21" s="27"/>
      <c r="M21" s="27"/>
      <c r="N21" s="27"/>
    </row>
    <row r="22" spans="1:16">
      <c r="A22" s="27" t="s">
        <v>16</v>
      </c>
      <c r="B22" s="27" t="s">
        <v>17</v>
      </c>
      <c r="C22" s="27"/>
      <c r="D22" s="27"/>
      <c r="E22" s="27"/>
      <c r="F22" s="27"/>
      <c r="G22" s="27"/>
      <c r="H22" s="27"/>
      <c r="I22" s="27"/>
      <c r="J22" s="27"/>
      <c r="K22" s="27"/>
      <c r="L22" s="27"/>
      <c r="M22" s="27"/>
      <c r="N22" s="27"/>
    </row>
    <row r="23" spans="1:16">
      <c r="A23" s="27" t="s">
        <v>18</v>
      </c>
      <c r="B23" s="27" t="s">
        <v>18</v>
      </c>
      <c r="C23" s="27"/>
      <c r="D23" s="27"/>
      <c r="E23" s="27"/>
      <c r="F23" s="27"/>
      <c r="G23" s="27"/>
      <c r="H23" s="27"/>
      <c r="I23" s="27"/>
      <c r="J23" s="27"/>
      <c r="K23" s="27"/>
      <c r="L23" s="27"/>
      <c r="M23" s="27"/>
      <c r="N23" s="27"/>
    </row>
    <row r="24" spans="1:16" ht="15.6">
      <c r="A24" s="26" t="s">
        <v>19</v>
      </c>
    </row>
    <row r="25" spans="1:16" ht="15.6">
      <c r="A25" s="26" t="s">
        <v>20</v>
      </c>
      <c r="B25" s="26" t="s">
        <v>21</v>
      </c>
      <c r="C25" s="26" t="s">
        <v>18</v>
      </c>
      <c r="D25" s="26" t="s">
        <v>22</v>
      </c>
      <c r="E25" s="26" t="s">
        <v>7</v>
      </c>
      <c r="F25" s="26" t="s">
        <v>13</v>
      </c>
      <c r="G25" s="26" t="s">
        <v>16</v>
      </c>
      <c r="H25" s="26" t="s">
        <v>23</v>
      </c>
      <c r="I25" s="26" t="s">
        <v>24</v>
      </c>
      <c r="J25" s="26" t="s">
        <v>25</v>
      </c>
      <c r="K25" s="26" t="s">
        <v>26</v>
      </c>
      <c r="L25" s="26" t="s">
        <v>27</v>
      </c>
      <c r="M25" s="26" t="s">
        <v>28</v>
      </c>
      <c r="N25" s="26" t="s">
        <v>723</v>
      </c>
    </row>
    <row r="26" spans="1:16">
      <c r="A26" s="27" t="str">
        <f>B16</f>
        <v>apron disposal</v>
      </c>
      <c r="B26" s="27">
        <f>B21</f>
        <v>1</v>
      </c>
      <c r="C26" s="27" t="str">
        <f>B23</f>
        <v>unit</v>
      </c>
      <c r="D26" s="27" t="s">
        <v>2</v>
      </c>
      <c r="E26" s="27" t="s">
        <v>29</v>
      </c>
      <c r="F26" s="27" t="str">
        <f>B20</f>
        <v>RER</v>
      </c>
      <c r="G26" s="27" t="s">
        <v>30</v>
      </c>
      <c r="H26" s="27">
        <v>0</v>
      </c>
      <c r="I26" s="27">
        <f>B26</f>
        <v>1</v>
      </c>
      <c r="J26" s="27"/>
      <c r="K26" s="27"/>
      <c r="L26" s="27"/>
      <c r="M26" s="27"/>
      <c r="N26" s="27"/>
    </row>
    <row r="27" spans="1:16">
      <c r="A27" s="27" t="s">
        <v>1601</v>
      </c>
      <c r="B27" s="27">
        <f>O18*0.21</f>
        <v>20580</v>
      </c>
      <c r="C27" s="27" t="s">
        <v>42</v>
      </c>
      <c r="D27" s="27" t="s">
        <v>40</v>
      </c>
      <c r="E27" s="27" t="s">
        <v>29</v>
      </c>
      <c r="F27" s="27" t="s">
        <v>35</v>
      </c>
      <c r="G27" s="27" t="s">
        <v>33</v>
      </c>
      <c r="H27" s="27">
        <v>0</v>
      </c>
      <c r="I27" s="27">
        <f t="shared" ref="I27" si="2">B27</f>
        <v>20580</v>
      </c>
      <c r="J27" s="27" t="s">
        <v>31</v>
      </c>
      <c r="K27" s="27" t="s">
        <v>31</v>
      </c>
      <c r="L27" s="27" t="s">
        <v>31</v>
      </c>
      <c r="M27" s="27" t="s">
        <v>31</v>
      </c>
      <c r="N27" s="27" t="s">
        <v>1621</v>
      </c>
    </row>
    <row r="28" spans="1:16" s="27" customFormat="1" ht="12.95">
      <c r="A28" s="27" t="s">
        <v>1622</v>
      </c>
      <c r="B28" s="27">
        <f>O18*2195.45*(1+0.02)</f>
        <v>219457181.99999997</v>
      </c>
      <c r="C28" s="27" t="s">
        <v>37</v>
      </c>
      <c r="D28" s="27" t="s">
        <v>40</v>
      </c>
      <c r="E28" s="27" t="s">
        <v>29</v>
      </c>
      <c r="F28" s="27" t="s">
        <v>584</v>
      </c>
      <c r="G28" s="27" t="s">
        <v>33</v>
      </c>
      <c r="H28" s="27">
        <v>0</v>
      </c>
      <c r="I28" s="42">
        <f>ABS(B28)</f>
        <v>219457181.99999997</v>
      </c>
      <c r="J28" s="27" t="s">
        <v>31</v>
      </c>
      <c r="K28" s="27" t="s">
        <v>31</v>
      </c>
      <c r="L28" s="27" t="s">
        <v>31</v>
      </c>
      <c r="M28" s="27" t="s">
        <v>31</v>
      </c>
      <c r="N28" s="27" t="s">
        <v>1623</v>
      </c>
    </row>
    <row r="29" spans="1:16" ht="15.6">
      <c r="A29" s="28" t="s">
        <v>5</v>
      </c>
      <c r="B29" s="28" t="s">
        <v>1616</v>
      </c>
      <c r="C29" s="29"/>
      <c r="D29" s="30"/>
      <c r="E29" s="30"/>
      <c r="F29" s="30"/>
      <c r="G29" s="30"/>
      <c r="H29" s="30"/>
      <c r="I29" s="30"/>
      <c r="J29" s="30"/>
      <c r="K29" s="30"/>
      <c r="L29" s="30"/>
      <c r="M29" s="30"/>
      <c r="N29" s="30"/>
      <c r="O29" s="27"/>
      <c r="P29" s="27"/>
    </row>
    <row r="30" spans="1:16">
      <c r="A30" s="27" t="s">
        <v>7</v>
      </c>
      <c r="B30" s="27" t="s">
        <v>1502</v>
      </c>
      <c r="C30" s="27"/>
      <c r="D30" s="27"/>
      <c r="E30" s="27"/>
      <c r="F30" s="27"/>
      <c r="G30" s="27"/>
      <c r="H30" s="27"/>
      <c r="I30" s="27"/>
      <c r="J30" s="27"/>
      <c r="K30" s="27"/>
      <c r="L30" s="27"/>
      <c r="M30" s="27"/>
      <c r="N30" s="27"/>
      <c r="O30" s="48" t="s">
        <v>1624</v>
      </c>
      <c r="P30" s="27"/>
    </row>
    <row r="31" spans="1:16">
      <c r="A31" s="27" t="s">
        <v>9</v>
      </c>
      <c r="B31" s="27" t="s">
        <v>1625</v>
      </c>
      <c r="C31" s="27"/>
      <c r="D31" s="27"/>
      <c r="E31" s="27"/>
      <c r="F31" s="27"/>
      <c r="G31" s="27"/>
      <c r="H31" s="27"/>
      <c r="I31" s="27"/>
      <c r="J31" s="27"/>
      <c r="K31" s="27"/>
      <c r="L31" s="27"/>
      <c r="M31" s="27"/>
      <c r="N31" s="27"/>
      <c r="O31" s="49">
        <v>78720</v>
      </c>
      <c r="P31" s="27"/>
    </row>
    <row r="32" spans="1:16">
      <c r="A32" s="27" t="s">
        <v>11</v>
      </c>
      <c r="B32" s="27" t="s">
        <v>1620</v>
      </c>
      <c r="C32" s="27"/>
      <c r="D32" s="27"/>
      <c r="E32" s="27"/>
      <c r="F32" s="27"/>
      <c r="G32" s="27"/>
      <c r="H32" s="27"/>
      <c r="I32" s="27"/>
      <c r="J32" s="27"/>
      <c r="K32" s="27"/>
      <c r="L32" s="27"/>
      <c r="M32" s="27"/>
      <c r="N32" s="27"/>
      <c r="O32" s="27"/>
      <c r="P32" s="27"/>
    </row>
    <row r="33" spans="1:16">
      <c r="A33" s="27" t="s">
        <v>13</v>
      </c>
      <c r="B33" s="27" t="s">
        <v>35</v>
      </c>
      <c r="C33" s="27"/>
      <c r="D33" s="27"/>
      <c r="E33" s="27"/>
      <c r="F33" s="27"/>
      <c r="G33" s="27"/>
      <c r="H33" s="27"/>
      <c r="I33" s="27"/>
      <c r="J33" s="27"/>
      <c r="K33" s="27"/>
      <c r="L33" s="27"/>
      <c r="M33" s="27"/>
      <c r="N33" s="27"/>
      <c r="O33" s="27"/>
      <c r="P33" s="27"/>
    </row>
    <row r="34" spans="1:16">
      <c r="A34" s="27" t="s">
        <v>15</v>
      </c>
      <c r="B34" s="37">
        <v>1</v>
      </c>
      <c r="C34" s="27"/>
      <c r="D34" s="27"/>
      <c r="E34" s="27"/>
      <c r="F34" s="27"/>
      <c r="G34" s="27"/>
      <c r="H34" s="27"/>
      <c r="I34" s="27"/>
      <c r="J34" s="27"/>
      <c r="K34" s="27"/>
      <c r="L34" s="27"/>
      <c r="M34" s="27"/>
      <c r="N34" s="27"/>
    </row>
    <row r="35" spans="1:16">
      <c r="A35" s="27" t="s">
        <v>16</v>
      </c>
      <c r="B35" s="27" t="s">
        <v>17</v>
      </c>
      <c r="C35" s="27"/>
      <c r="D35" s="27"/>
      <c r="E35" s="27"/>
      <c r="F35" s="27"/>
      <c r="G35" s="27"/>
      <c r="H35" s="27"/>
      <c r="I35" s="27"/>
      <c r="J35" s="27"/>
      <c r="K35" s="27"/>
      <c r="L35" s="27"/>
      <c r="M35" s="27"/>
      <c r="N35" s="27"/>
    </row>
    <row r="36" spans="1:16">
      <c r="A36" s="27" t="s">
        <v>18</v>
      </c>
      <c r="B36" s="27" t="s">
        <v>18</v>
      </c>
      <c r="C36" s="27"/>
      <c r="D36" s="27"/>
      <c r="E36" s="27"/>
      <c r="F36" s="27"/>
      <c r="G36" s="27"/>
      <c r="H36" s="27"/>
      <c r="I36" s="27"/>
      <c r="J36" s="27"/>
      <c r="K36" s="27"/>
      <c r="L36" s="27"/>
      <c r="M36" s="27"/>
      <c r="N36" s="27"/>
    </row>
    <row r="37" spans="1:16" ht="15.6">
      <c r="A37" s="26" t="s">
        <v>19</v>
      </c>
    </row>
    <row r="38" spans="1:16"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6">
      <c r="A39" s="27" t="str">
        <f>B29</f>
        <v>taxiway disposal</v>
      </c>
      <c r="B39" s="27">
        <f>B34</f>
        <v>1</v>
      </c>
      <c r="C39" s="27" t="str">
        <f>B36</f>
        <v>unit</v>
      </c>
      <c r="D39" s="27" t="s">
        <v>2</v>
      </c>
      <c r="E39" s="27" t="s">
        <v>29</v>
      </c>
      <c r="F39" s="27" t="str">
        <f>B33</f>
        <v>RER</v>
      </c>
      <c r="G39" s="27" t="s">
        <v>30</v>
      </c>
      <c r="H39" s="27">
        <v>0</v>
      </c>
      <c r="I39" s="27">
        <f>B39</f>
        <v>1</v>
      </c>
      <c r="J39" s="27"/>
      <c r="K39" s="27"/>
      <c r="L39" s="27"/>
      <c r="M39" s="27"/>
      <c r="N39" s="27"/>
    </row>
    <row r="40" spans="1:16">
      <c r="A40" s="27" t="s">
        <v>1601</v>
      </c>
      <c r="B40" s="27">
        <f>O31*0.21</f>
        <v>16531.2</v>
      </c>
      <c r="C40" s="27" t="s">
        <v>42</v>
      </c>
      <c r="D40" s="27" t="s">
        <v>40</v>
      </c>
      <c r="E40" s="27" t="s">
        <v>29</v>
      </c>
      <c r="F40" s="27" t="s">
        <v>35</v>
      </c>
      <c r="G40" s="27" t="s">
        <v>33</v>
      </c>
      <c r="H40" s="27">
        <v>0</v>
      </c>
      <c r="I40" s="27">
        <f t="shared" ref="I40" si="3">B40</f>
        <v>16531.2</v>
      </c>
      <c r="J40" s="27" t="s">
        <v>31</v>
      </c>
      <c r="K40" s="27" t="s">
        <v>31</v>
      </c>
      <c r="L40" s="27" t="s">
        <v>31</v>
      </c>
      <c r="M40" s="27" t="s">
        <v>31</v>
      </c>
      <c r="N40" s="27" t="s">
        <v>1621</v>
      </c>
    </row>
    <row r="41" spans="1:16" s="27" customFormat="1" ht="12.95">
      <c r="A41" s="27" t="s">
        <v>1622</v>
      </c>
      <c r="B41" s="27">
        <f>O31*2195.45*(1+0.02)</f>
        <v>176282340.47999999</v>
      </c>
      <c r="C41" s="27" t="s">
        <v>37</v>
      </c>
      <c r="D41" s="27" t="s">
        <v>40</v>
      </c>
      <c r="E41" s="27" t="s">
        <v>29</v>
      </c>
      <c r="F41" s="27" t="s">
        <v>584</v>
      </c>
      <c r="G41" s="27" t="s">
        <v>33</v>
      </c>
      <c r="H41" s="27">
        <v>0</v>
      </c>
      <c r="I41" s="42">
        <f>ABS(B41)</f>
        <v>176282340.47999999</v>
      </c>
      <c r="J41" s="27" t="s">
        <v>31</v>
      </c>
      <c r="K41" s="27" t="s">
        <v>31</v>
      </c>
      <c r="L41" s="27" t="s">
        <v>31</v>
      </c>
      <c r="M41" s="27" t="s">
        <v>31</v>
      </c>
      <c r="N41" s="27" t="s">
        <v>1623</v>
      </c>
    </row>
    <row r="42" spans="1:16" ht="15.6">
      <c r="A42" s="28" t="s">
        <v>5</v>
      </c>
      <c r="B42" s="28" t="s">
        <v>1617</v>
      </c>
      <c r="C42" s="29"/>
      <c r="D42" s="30"/>
      <c r="E42" s="30"/>
      <c r="F42" s="30"/>
      <c r="G42" s="30"/>
      <c r="H42" s="30"/>
      <c r="I42" s="30"/>
      <c r="J42" s="30"/>
      <c r="K42" s="30"/>
      <c r="L42" s="30"/>
      <c r="M42" s="30"/>
      <c r="N42" s="30"/>
      <c r="O42" s="27"/>
    </row>
    <row r="43" spans="1:16">
      <c r="A43" s="27" t="s">
        <v>7</v>
      </c>
      <c r="B43" s="27" t="s">
        <v>1502</v>
      </c>
      <c r="C43" s="27"/>
      <c r="D43" s="27"/>
      <c r="E43" s="27"/>
      <c r="F43" s="27"/>
      <c r="G43" s="27"/>
      <c r="H43" s="27"/>
      <c r="I43" s="27"/>
      <c r="J43" s="27"/>
      <c r="K43" s="27"/>
      <c r="L43" s="27"/>
      <c r="M43" s="27"/>
      <c r="N43" s="27"/>
      <c r="O43" s="48" t="s">
        <v>1626</v>
      </c>
    </row>
    <row r="44" spans="1:16">
      <c r="A44" s="27" t="s">
        <v>9</v>
      </c>
      <c r="B44" s="27" t="s">
        <v>1627</v>
      </c>
      <c r="C44" s="27"/>
      <c r="D44" s="27"/>
      <c r="E44" s="27"/>
      <c r="F44" s="27"/>
      <c r="G44" s="27"/>
      <c r="H44" s="27"/>
      <c r="I44" s="27"/>
      <c r="J44" s="27"/>
      <c r="K44" s="27"/>
      <c r="L44" s="27"/>
      <c r="M44" s="27"/>
      <c r="N44" s="27"/>
      <c r="O44" s="49">
        <v>99000</v>
      </c>
    </row>
    <row r="45" spans="1:16">
      <c r="A45" s="27" t="s">
        <v>11</v>
      </c>
      <c r="B45" s="27" t="s">
        <v>1620</v>
      </c>
      <c r="C45" s="27"/>
      <c r="D45" s="27"/>
      <c r="E45" s="27"/>
      <c r="F45" s="27"/>
      <c r="G45" s="27"/>
      <c r="H45" s="27"/>
      <c r="I45" s="27"/>
      <c r="J45" s="27"/>
      <c r="K45" s="27"/>
      <c r="L45" s="27"/>
      <c r="M45" s="27"/>
      <c r="N45" s="27"/>
      <c r="O45" s="27"/>
    </row>
    <row r="46" spans="1:16">
      <c r="A46" s="27" t="s">
        <v>13</v>
      </c>
      <c r="B46" s="27" t="s">
        <v>35</v>
      </c>
      <c r="C46" s="27"/>
      <c r="D46" s="27"/>
      <c r="E46" s="27"/>
      <c r="F46" s="27"/>
      <c r="G46" s="27"/>
      <c r="H46" s="27"/>
      <c r="I46" s="27"/>
      <c r="J46" s="27"/>
      <c r="K46" s="27"/>
      <c r="L46" s="27"/>
      <c r="M46" s="27"/>
      <c r="N46" s="27"/>
      <c r="O46" s="27"/>
    </row>
    <row r="47" spans="1:16">
      <c r="A47" s="27" t="s">
        <v>15</v>
      </c>
      <c r="B47" s="37">
        <v>1</v>
      </c>
      <c r="C47" s="27"/>
      <c r="D47" s="27"/>
      <c r="E47" s="27"/>
      <c r="F47" s="27"/>
      <c r="G47" s="27"/>
      <c r="H47" s="27"/>
      <c r="I47" s="27"/>
      <c r="J47" s="27"/>
      <c r="K47" s="27"/>
      <c r="L47" s="27"/>
      <c r="M47" s="27"/>
      <c r="N47" s="27"/>
    </row>
    <row r="48" spans="1:16">
      <c r="A48" s="27" t="s">
        <v>16</v>
      </c>
      <c r="B48" s="27" t="s">
        <v>17</v>
      </c>
      <c r="C48" s="27"/>
      <c r="D48" s="27"/>
      <c r="E48" s="27"/>
      <c r="F48" s="27"/>
      <c r="G48" s="27"/>
      <c r="H48" s="27"/>
      <c r="I48" s="27"/>
      <c r="J48" s="27"/>
      <c r="K48" s="27"/>
      <c r="L48" s="27"/>
      <c r="M48" s="27"/>
      <c r="N48" s="27"/>
    </row>
    <row r="49" spans="1:15">
      <c r="A49" s="27" t="s">
        <v>18</v>
      </c>
      <c r="B49" s="27" t="s">
        <v>18</v>
      </c>
      <c r="C49" s="27"/>
      <c r="D49" s="27"/>
      <c r="E49" s="27"/>
      <c r="F49" s="27"/>
      <c r="G49" s="27"/>
      <c r="H49" s="27"/>
      <c r="I49" s="27"/>
      <c r="J49" s="27"/>
      <c r="K49" s="27"/>
      <c r="L49" s="27"/>
      <c r="M49" s="27"/>
      <c r="N49" s="27"/>
    </row>
    <row r="50" spans="1:15" ht="15.6">
      <c r="A50" s="26" t="s">
        <v>19</v>
      </c>
    </row>
    <row r="51" spans="1:15" ht="15.6">
      <c r="A51" s="26" t="s">
        <v>20</v>
      </c>
      <c r="B51" s="26" t="s">
        <v>21</v>
      </c>
      <c r="C51" s="26" t="s">
        <v>18</v>
      </c>
      <c r="D51" s="26" t="s">
        <v>22</v>
      </c>
      <c r="E51" s="26" t="s">
        <v>7</v>
      </c>
      <c r="F51" s="26" t="s">
        <v>13</v>
      </c>
      <c r="G51" s="26" t="s">
        <v>16</v>
      </c>
      <c r="H51" s="26" t="s">
        <v>23</v>
      </c>
      <c r="I51" s="26" t="s">
        <v>24</v>
      </c>
      <c r="J51" s="26" t="s">
        <v>25</v>
      </c>
      <c r="K51" s="26" t="s">
        <v>26</v>
      </c>
      <c r="L51" s="26" t="s">
        <v>27</v>
      </c>
      <c r="M51" s="26" t="s">
        <v>28</v>
      </c>
      <c r="N51" s="26" t="s">
        <v>723</v>
      </c>
    </row>
    <row r="52" spans="1:15">
      <c r="A52" s="27" t="str">
        <f>B42</f>
        <v>runway disposal</v>
      </c>
      <c r="B52" s="27">
        <f>B47</f>
        <v>1</v>
      </c>
      <c r="C52" s="27" t="str">
        <f>B49</f>
        <v>unit</v>
      </c>
      <c r="D52" s="27" t="s">
        <v>2</v>
      </c>
      <c r="E52" s="27" t="s">
        <v>29</v>
      </c>
      <c r="F52" s="27" t="str">
        <f>B46</f>
        <v>RER</v>
      </c>
      <c r="G52" s="27" t="s">
        <v>30</v>
      </c>
      <c r="H52" s="27">
        <v>0</v>
      </c>
      <c r="I52" s="27">
        <f>B52</f>
        <v>1</v>
      </c>
      <c r="J52" s="27"/>
      <c r="K52" s="27"/>
      <c r="L52" s="27"/>
      <c r="M52" s="27"/>
      <c r="N52" s="27"/>
    </row>
    <row r="53" spans="1:15">
      <c r="A53" s="27" t="s">
        <v>1601</v>
      </c>
      <c r="B53" s="27">
        <f>O44*0.21</f>
        <v>20790</v>
      </c>
      <c r="C53" s="27" t="s">
        <v>42</v>
      </c>
      <c r="D53" s="27" t="s">
        <v>40</v>
      </c>
      <c r="E53" s="27" t="s">
        <v>29</v>
      </c>
      <c r="F53" s="27" t="s">
        <v>35</v>
      </c>
      <c r="G53" s="27" t="s">
        <v>33</v>
      </c>
      <c r="H53" s="27">
        <v>0</v>
      </c>
      <c r="I53" s="27">
        <f t="shared" ref="I53" si="4">B53</f>
        <v>20790</v>
      </c>
      <c r="J53" s="27" t="s">
        <v>31</v>
      </c>
      <c r="K53" s="27" t="s">
        <v>31</v>
      </c>
      <c r="L53" s="27" t="s">
        <v>31</v>
      </c>
      <c r="M53" s="27" t="s">
        <v>31</v>
      </c>
      <c r="N53" s="27" t="s">
        <v>1621</v>
      </c>
    </row>
    <row r="54" spans="1:15">
      <c r="A54" s="27" t="s">
        <v>1622</v>
      </c>
      <c r="B54" s="27">
        <f>O44*2195.45*(1+0.02)</f>
        <v>221696540.99999997</v>
      </c>
      <c r="C54" s="27" t="s">
        <v>37</v>
      </c>
      <c r="D54" s="27" t="s">
        <v>40</v>
      </c>
      <c r="E54" s="27" t="s">
        <v>29</v>
      </c>
      <c r="F54" s="27" t="s">
        <v>584</v>
      </c>
      <c r="G54" s="27" t="s">
        <v>33</v>
      </c>
      <c r="H54" s="27">
        <v>0</v>
      </c>
      <c r="I54" s="42">
        <f>ABS(B54)</f>
        <v>221696540.99999997</v>
      </c>
      <c r="J54" s="27" t="s">
        <v>31</v>
      </c>
      <c r="K54" s="27" t="s">
        <v>31</v>
      </c>
      <c r="L54" s="27" t="s">
        <v>31</v>
      </c>
      <c r="M54" s="27" t="s">
        <v>31</v>
      </c>
      <c r="N54" s="27" t="s">
        <v>1623</v>
      </c>
      <c r="O54" s="27"/>
    </row>
  </sheetData>
  <mergeCells count="1">
    <mergeCell ref="O3:Q3"/>
  </mergeCells>
  <pageMargins left="0.7" right="0.7" top="0.75" bottom="0.75" header="0.3" footer="0.3"/>
  <pageSetup paperSize="9" orientation="portrait" verticalDpi="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D832-0D98-4183-A095-482D70DDB35F}">
  <dimension ref="A1:S18"/>
  <sheetViews>
    <sheetView workbookViewId="0">
      <selection activeCell="A39" sqref="A39"/>
    </sheetView>
  </sheetViews>
  <sheetFormatPr defaultRowHeight="14.45"/>
  <cols>
    <col min="1" max="1" width="68.7109375" bestFit="1" customWidth="1"/>
    <col min="5" max="5" width="20.42578125" bestFit="1" customWidth="1"/>
  </cols>
  <sheetData>
    <row r="1" spans="1:19">
      <c r="A1" s="22" t="s">
        <v>0</v>
      </c>
      <c r="B1" s="22">
        <v>14</v>
      </c>
      <c r="C1" s="22"/>
      <c r="D1" s="22"/>
      <c r="E1" s="22"/>
      <c r="F1" s="22"/>
      <c r="G1" s="22"/>
      <c r="H1" s="22"/>
      <c r="I1" s="22"/>
      <c r="J1" s="22"/>
      <c r="K1" s="22"/>
      <c r="L1" s="22"/>
      <c r="M1" s="22"/>
      <c r="N1" s="22"/>
      <c r="O1" s="22"/>
      <c r="P1" s="22"/>
      <c r="Q1" s="22"/>
      <c r="R1" s="22"/>
      <c r="S1" s="22"/>
    </row>
    <row r="2" spans="1:19" ht="15.6">
      <c r="A2" s="178" t="s">
        <v>5</v>
      </c>
      <c r="B2" s="178" t="s">
        <v>1628</v>
      </c>
      <c r="C2" s="178"/>
      <c r="D2" s="74"/>
      <c r="E2" s="150"/>
      <c r="F2" s="150"/>
      <c r="G2" s="150"/>
      <c r="H2" s="150"/>
      <c r="I2" s="150"/>
      <c r="J2" s="150"/>
      <c r="K2" s="150"/>
      <c r="L2" s="150"/>
      <c r="M2" s="150"/>
      <c r="N2" s="150"/>
      <c r="O2" s="150"/>
      <c r="P2" s="150"/>
      <c r="Q2" s="150"/>
      <c r="R2" s="150"/>
      <c r="S2" s="150"/>
    </row>
    <row r="3" spans="1:19">
      <c r="A3" s="58" t="s">
        <v>7</v>
      </c>
      <c r="B3" s="58" t="s">
        <v>1629</v>
      </c>
      <c r="C3" s="58"/>
      <c r="D3" s="58"/>
      <c r="E3" s="58"/>
      <c r="F3" s="58"/>
      <c r="G3" s="58"/>
      <c r="H3" s="58"/>
      <c r="I3" s="58"/>
      <c r="J3" s="58"/>
      <c r="K3" s="58"/>
      <c r="L3" s="58"/>
      <c r="M3" s="58"/>
      <c r="N3" s="58"/>
      <c r="O3" s="58"/>
      <c r="P3" s="58"/>
      <c r="Q3" s="58"/>
      <c r="R3" s="58"/>
      <c r="S3" s="58"/>
    </row>
    <row r="4" spans="1:19">
      <c r="A4" s="58" t="s">
        <v>9</v>
      </c>
      <c r="B4" s="179" t="s">
        <v>1630</v>
      </c>
      <c r="C4" s="58"/>
      <c r="D4" s="58"/>
      <c r="E4" s="58"/>
      <c r="F4" s="58"/>
      <c r="G4" s="58"/>
      <c r="H4" s="58"/>
      <c r="I4" s="58"/>
      <c r="J4" s="58"/>
      <c r="K4" s="58"/>
      <c r="L4" s="58"/>
      <c r="M4" s="58"/>
      <c r="N4" s="58"/>
      <c r="O4" s="58"/>
      <c r="P4" s="58"/>
      <c r="Q4" s="58"/>
      <c r="R4" s="58"/>
      <c r="S4" s="58"/>
    </row>
    <row r="5" spans="1:19">
      <c r="A5" s="58" t="s">
        <v>11</v>
      </c>
      <c r="B5" s="58" t="s">
        <v>1631</v>
      </c>
      <c r="C5" s="58"/>
      <c r="D5" s="58"/>
      <c r="E5" s="58"/>
      <c r="F5" s="58"/>
      <c r="G5" s="58"/>
      <c r="H5" s="58"/>
      <c r="I5" s="58"/>
      <c r="J5" s="58"/>
      <c r="K5" s="58"/>
      <c r="L5" s="58"/>
      <c r="M5" s="58"/>
      <c r="N5" s="58"/>
      <c r="O5" s="58"/>
      <c r="P5" s="58"/>
      <c r="Q5" s="58"/>
      <c r="R5" s="58"/>
      <c r="S5" s="58"/>
    </row>
    <row r="6" spans="1:19">
      <c r="A6" s="58" t="s">
        <v>13</v>
      </c>
      <c r="B6" s="58" t="s">
        <v>59</v>
      </c>
      <c r="C6" s="58"/>
      <c r="D6" s="58"/>
      <c r="E6" s="58"/>
      <c r="F6" s="58"/>
      <c r="G6" s="58"/>
      <c r="H6" s="58"/>
      <c r="I6" s="58"/>
      <c r="J6" s="58"/>
      <c r="K6" s="58"/>
      <c r="L6" s="58"/>
      <c r="M6" s="58"/>
      <c r="N6" s="58"/>
      <c r="O6" s="58"/>
      <c r="P6" s="58"/>
      <c r="Q6" s="58"/>
      <c r="R6" s="58"/>
      <c r="S6" s="58"/>
    </row>
    <row r="7" spans="1:19">
      <c r="A7" s="58" t="s">
        <v>15</v>
      </c>
      <c r="B7" s="58">
        <v>1</v>
      </c>
      <c r="C7" s="58"/>
      <c r="D7" s="58"/>
      <c r="E7" s="58"/>
      <c r="F7" s="58"/>
      <c r="G7" s="58"/>
      <c r="H7" s="58"/>
      <c r="I7" s="58"/>
      <c r="J7" s="58"/>
      <c r="K7" s="58"/>
      <c r="L7" s="58"/>
      <c r="M7" s="58"/>
      <c r="N7" s="58"/>
      <c r="O7" s="58"/>
      <c r="P7" s="58"/>
      <c r="Q7" s="58"/>
      <c r="R7" s="58"/>
      <c r="S7" s="58"/>
    </row>
    <row r="8" spans="1:19">
      <c r="A8" s="58" t="s">
        <v>16</v>
      </c>
      <c r="B8" s="58" t="s">
        <v>17</v>
      </c>
      <c r="C8" s="58"/>
      <c r="D8" s="58"/>
      <c r="E8" s="58"/>
      <c r="F8" s="58"/>
      <c r="G8" s="58"/>
      <c r="H8" s="58"/>
      <c r="I8" s="58"/>
      <c r="J8" s="58"/>
      <c r="K8" s="58"/>
      <c r="L8" s="58"/>
      <c r="M8" s="58"/>
      <c r="N8" s="58"/>
      <c r="O8" s="58"/>
      <c r="P8" s="58"/>
      <c r="Q8" s="58"/>
      <c r="R8" s="58"/>
      <c r="S8" s="58"/>
    </row>
    <row r="9" spans="1:19" ht="15.6">
      <c r="A9" s="58" t="s">
        <v>18</v>
      </c>
      <c r="B9" s="180" t="s">
        <v>18</v>
      </c>
      <c r="C9" s="58"/>
      <c r="D9" s="58"/>
      <c r="E9" s="58" t="s">
        <v>185</v>
      </c>
      <c r="F9" s="58"/>
      <c r="G9" s="58"/>
      <c r="H9" s="58"/>
      <c r="I9" s="58"/>
      <c r="J9" s="58"/>
      <c r="K9" s="58"/>
      <c r="L9" s="58"/>
      <c r="M9" s="58"/>
      <c r="N9" s="58"/>
      <c r="O9" s="58"/>
      <c r="P9" s="58"/>
      <c r="Q9" s="58"/>
      <c r="R9" s="58"/>
      <c r="S9" s="58"/>
    </row>
    <row r="10" spans="1:19" ht="15.6">
      <c r="A10" s="181" t="s">
        <v>19</v>
      </c>
      <c r="B10" s="58"/>
      <c r="C10" s="58"/>
      <c r="D10" s="58"/>
      <c r="E10" s="58"/>
      <c r="F10" s="58"/>
      <c r="G10" s="58"/>
      <c r="H10" s="58"/>
      <c r="I10" s="58"/>
      <c r="J10" s="58"/>
      <c r="K10" s="58"/>
      <c r="L10" s="58"/>
      <c r="M10" s="58"/>
      <c r="N10" s="58"/>
      <c r="O10" s="58"/>
      <c r="P10" s="58"/>
      <c r="Q10" s="58"/>
      <c r="R10" s="58"/>
      <c r="S10" s="58"/>
    </row>
    <row r="11" spans="1:19"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c r="Q11" s="58"/>
      <c r="R11" s="58"/>
      <c r="S11" s="58"/>
    </row>
    <row r="12" spans="1:19" ht="15.6">
      <c r="A12" s="180" t="str">
        <f>B2</f>
        <v>Decommissioning of battery ch. station, Gt-bat, Long-term</v>
      </c>
      <c r="B12" s="180">
        <v>1</v>
      </c>
      <c r="C12" s="180"/>
      <c r="D12" s="180" t="s">
        <v>18</v>
      </c>
      <c r="E12" s="58" t="s">
        <v>2</v>
      </c>
      <c r="F12" s="58" t="s">
        <v>1629</v>
      </c>
      <c r="G12" s="180" t="s">
        <v>59</v>
      </c>
      <c r="H12" s="58" t="s">
        <v>30</v>
      </c>
      <c r="I12" s="58">
        <v>0</v>
      </c>
      <c r="J12" s="180" t="s">
        <v>31</v>
      </c>
      <c r="K12" s="180" t="s">
        <v>31</v>
      </c>
      <c r="L12" s="180" t="s">
        <v>31</v>
      </c>
      <c r="M12" s="180" t="s">
        <v>31</v>
      </c>
      <c r="N12" s="180" t="s">
        <v>31</v>
      </c>
      <c r="O12" s="180"/>
      <c r="P12" s="58"/>
      <c r="Q12" s="58"/>
      <c r="R12" s="58"/>
      <c r="S12" s="58"/>
    </row>
    <row r="13" spans="1:19">
      <c r="A13" s="58" t="str">
        <f>converters_b_charging_station!A67</f>
        <v>treatment of power electronics,Battery charging station, GT-bat, Long-term</v>
      </c>
      <c r="B13" s="58">
        <v>1</v>
      </c>
      <c r="C13" s="58"/>
      <c r="D13" s="58" t="s">
        <v>18</v>
      </c>
      <c r="E13" s="58" t="s">
        <v>2</v>
      </c>
      <c r="F13" s="58" t="s">
        <v>1632</v>
      </c>
      <c r="G13" s="58" t="s">
        <v>59</v>
      </c>
      <c r="H13" s="58" t="s">
        <v>33</v>
      </c>
      <c r="I13" s="58">
        <v>0</v>
      </c>
      <c r="J13" s="58" t="s">
        <v>31</v>
      </c>
      <c r="K13" s="58" t="s">
        <v>31</v>
      </c>
      <c r="L13" s="58" t="s">
        <v>31</v>
      </c>
      <c r="M13" s="58" t="s">
        <v>31</v>
      </c>
      <c r="N13" s="58" t="s">
        <v>31</v>
      </c>
      <c r="O13" s="58"/>
      <c r="P13" s="58"/>
      <c r="Q13" s="58"/>
      <c r="R13" s="58"/>
      <c r="S13" s="58"/>
    </row>
    <row r="14" spans="1:19">
      <c r="A14" s="58" t="str">
        <f>rests_b_charging_station!B2</f>
        <v>treatment of alu,Battery charging station, GT-bat, Long-term</v>
      </c>
      <c r="B14" s="58">
        <v>1</v>
      </c>
      <c r="C14" s="58"/>
      <c r="D14" s="58" t="s">
        <v>18</v>
      </c>
      <c r="E14" s="58" t="s">
        <v>2</v>
      </c>
      <c r="F14" s="58" t="s">
        <v>1632</v>
      </c>
      <c r="G14" s="58" t="s">
        <v>59</v>
      </c>
      <c r="H14" s="58" t="s">
        <v>33</v>
      </c>
      <c r="I14" s="58">
        <v>0</v>
      </c>
      <c r="J14" s="58" t="s">
        <v>31</v>
      </c>
      <c r="K14" s="58" t="s">
        <v>31</v>
      </c>
      <c r="L14" s="58" t="s">
        <v>31</v>
      </c>
      <c r="M14" s="58" t="s">
        <v>31</v>
      </c>
      <c r="N14" s="58" t="s">
        <v>31</v>
      </c>
    </row>
    <row r="15" spans="1:19">
      <c r="A15" t="str">
        <f>rests_b_charging_station!B17</f>
        <v>treatment of steel,Battery charging station, Gt-bat, Long-term</v>
      </c>
      <c r="B15" s="58">
        <v>1</v>
      </c>
      <c r="C15" s="58"/>
      <c r="D15" s="58" t="s">
        <v>18</v>
      </c>
      <c r="E15" s="58" t="s">
        <v>2</v>
      </c>
      <c r="F15" s="58" t="s">
        <v>1632</v>
      </c>
      <c r="G15" s="58" t="s">
        <v>59</v>
      </c>
      <c r="H15" s="58" t="s">
        <v>33</v>
      </c>
      <c r="I15" s="58">
        <v>0</v>
      </c>
      <c r="J15" s="58" t="s">
        <v>31</v>
      </c>
      <c r="K15" s="58" t="s">
        <v>31</v>
      </c>
      <c r="L15" s="58" t="s">
        <v>31</v>
      </c>
      <c r="M15" s="58" t="s">
        <v>31</v>
      </c>
      <c r="N15" s="58" t="s">
        <v>31</v>
      </c>
    </row>
    <row r="16" spans="1:19">
      <c r="A16" t="str">
        <f>rests_b_charging_station!B31</f>
        <v>treatment of ferrite ,Battery charging station, Gt-bat, Long-term</v>
      </c>
      <c r="B16" s="58">
        <v>1</v>
      </c>
      <c r="C16" s="58"/>
      <c r="D16" s="58" t="s">
        <v>18</v>
      </c>
      <c r="E16" s="58" t="s">
        <v>2</v>
      </c>
      <c r="F16" s="58" t="s">
        <v>1632</v>
      </c>
      <c r="G16" s="58" t="s">
        <v>59</v>
      </c>
      <c r="H16" s="58" t="s">
        <v>33</v>
      </c>
      <c r="I16" s="58">
        <v>0</v>
      </c>
      <c r="J16" s="58" t="s">
        <v>31</v>
      </c>
      <c r="K16" s="58" t="s">
        <v>31</v>
      </c>
      <c r="L16" s="58" t="s">
        <v>31</v>
      </c>
      <c r="M16" s="58" t="s">
        <v>31</v>
      </c>
      <c r="N16" s="58" t="s">
        <v>31</v>
      </c>
    </row>
    <row r="17" spans="1:14">
      <c r="A17" t="str">
        <f>rests_b_charging_station!B45</f>
        <v>treatment of electronic components and cables ,Battery charging station, Gt-bat, Long-term</v>
      </c>
      <c r="B17" s="58">
        <v>1</v>
      </c>
      <c r="C17" s="58"/>
      <c r="D17" s="58" t="s">
        <v>18</v>
      </c>
      <c r="E17" s="58" t="s">
        <v>2</v>
      </c>
      <c r="F17" s="58" t="s">
        <v>1632</v>
      </c>
      <c r="G17" s="58" t="s">
        <v>59</v>
      </c>
      <c r="H17" s="58" t="s">
        <v>33</v>
      </c>
      <c r="I17" s="58">
        <v>0</v>
      </c>
      <c r="J17" s="58" t="s">
        <v>31</v>
      </c>
      <c r="K17" s="58" t="s">
        <v>31</v>
      </c>
      <c r="L17" s="58" t="s">
        <v>31</v>
      </c>
      <c r="M17" s="58" t="s">
        <v>31</v>
      </c>
      <c r="N17" s="58" t="s">
        <v>31</v>
      </c>
    </row>
    <row r="18" spans="1:14">
      <c r="A18" t="str">
        <f>rests_b_charging_station!B58</f>
        <v>treatment of remaining components,Battery charging station, GT-bat, Long-term</v>
      </c>
      <c r="B18" s="58">
        <v>1</v>
      </c>
      <c r="C18" s="58"/>
      <c r="D18" s="58" t="s">
        <v>18</v>
      </c>
      <c r="E18" s="58" t="s">
        <v>2</v>
      </c>
      <c r="F18" s="58" t="s">
        <v>1632</v>
      </c>
      <c r="G18" s="58" t="s">
        <v>59</v>
      </c>
      <c r="H18" s="58" t="s">
        <v>33</v>
      </c>
      <c r="I18" s="58">
        <v>0</v>
      </c>
      <c r="J18" s="58" t="s">
        <v>31</v>
      </c>
      <c r="K18" s="58" t="s">
        <v>31</v>
      </c>
      <c r="L18" s="58" t="s">
        <v>31</v>
      </c>
      <c r="M18" s="58" t="s">
        <v>31</v>
      </c>
      <c r="N18" s="58" t="s">
        <v>31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78BCF-A8F4-471F-AC26-04B3FACF3D90}">
  <dimension ref="A1:P72"/>
  <sheetViews>
    <sheetView topLeftCell="A45" zoomScale="85" zoomScaleNormal="85" workbookViewId="0">
      <selection activeCell="B5" sqref="B5"/>
    </sheetView>
  </sheetViews>
  <sheetFormatPr defaultRowHeight="14.4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185" customFormat="1" ht="15.6">
      <c r="A2" s="182" t="s">
        <v>5</v>
      </c>
      <c r="B2" s="182" t="s">
        <v>1633</v>
      </c>
      <c r="C2" s="182"/>
      <c r="D2" s="183"/>
      <c r="E2" s="184"/>
      <c r="F2" s="184"/>
      <c r="G2" s="184"/>
      <c r="H2" s="184"/>
      <c r="I2" s="184"/>
      <c r="J2" s="184"/>
      <c r="K2" s="184"/>
      <c r="L2" s="184"/>
      <c r="M2" s="184"/>
      <c r="N2" s="184"/>
      <c r="O2" s="184"/>
      <c r="P2" s="184"/>
    </row>
    <row r="3" spans="1:16">
      <c r="A3" s="58" t="s">
        <v>7</v>
      </c>
      <c r="B3" s="58" t="s">
        <v>1634</v>
      </c>
      <c r="C3" s="58"/>
      <c r="D3" s="58"/>
      <c r="E3" s="58"/>
      <c r="F3" s="58"/>
      <c r="G3" s="58"/>
      <c r="H3" s="58"/>
      <c r="I3" s="58"/>
      <c r="J3" s="58"/>
      <c r="K3" s="58"/>
      <c r="L3" s="58"/>
      <c r="M3" s="58"/>
      <c r="N3" s="58"/>
      <c r="O3" s="58"/>
      <c r="P3" s="58"/>
    </row>
    <row r="4" spans="1:16">
      <c r="A4" s="58" t="s">
        <v>9</v>
      </c>
      <c r="B4" s="186" t="s">
        <v>1635</v>
      </c>
      <c r="C4" s="58"/>
      <c r="D4" s="58"/>
      <c r="E4" s="58"/>
      <c r="F4" s="58"/>
      <c r="G4" s="58"/>
      <c r="H4" s="58"/>
      <c r="I4" s="58"/>
      <c r="J4" s="58"/>
      <c r="K4" s="58"/>
      <c r="L4" s="58"/>
      <c r="M4" s="58"/>
      <c r="N4" s="58"/>
      <c r="O4" s="58"/>
      <c r="P4" s="58"/>
    </row>
    <row r="5" spans="1:16">
      <c r="A5" s="58" t="s">
        <v>11</v>
      </c>
      <c r="B5" s="58" t="s">
        <v>192</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84"/>
      <c r="P7" s="58"/>
    </row>
    <row r="8" spans="1:16">
      <c r="A8" s="58" t="s">
        <v>16</v>
      </c>
      <c r="B8" s="58" t="s">
        <v>17</v>
      </c>
      <c r="C8" s="58"/>
      <c r="D8" s="58"/>
      <c r="E8" s="58"/>
      <c r="F8" s="58"/>
      <c r="G8" s="58"/>
      <c r="H8" s="58"/>
      <c r="I8" s="58"/>
      <c r="J8" s="58"/>
      <c r="K8" s="58"/>
      <c r="L8" s="58"/>
      <c r="M8" s="58"/>
      <c r="N8" s="58"/>
      <c r="O8" s="58"/>
      <c r="P8" s="58"/>
    </row>
    <row r="9" spans="1:16">
      <c r="A9" s="58" t="s">
        <v>18</v>
      </c>
      <c r="B9" s="187" t="s">
        <v>18</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
        <v>1633</v>
      </c>
      <c r="B12" s="180">
        <v>1</v>
      </c>
      <c r="C12" s="180"/>
      <c r="D12" s="180" t="s">
        <v>18</v>
      </c>
      <c r="E12" s="58" t="s">
        <v>2</v>
      </c>
      <c r="F12" s="58" t="s">
        <v>1632</v>
      </c>
      <c r="G12" s="180" t="s">
        <v>59</v>
      </c>
      <c r="H12" s="58" t="s">
        <v>30</v>
      </c>
      <c r="I12" s="58">
        <v>0</v>
      </c>
      <c r="J12" s="180" t="s">
        <v>31</v>
      </c>
      <c r="K12" s="180" t="s">
        <v>31</v>
      </c>
      <c r="L12" s="180" t="s">
        <v>31</v>
      </c>
      <c r="M12" s="180" t="s">
        <v>31</v>
      </c>
      <c r="N12" s="180" t="s">
        <v>31</v>
      </c>
      <c r="O12" s="58"/>
      <c r="P12" s="58"/>
    </row>
    <row r="13" spans="1:16" ht="15.6">
      <c r="A13" t="s">
        <v>194</v>
      </c>
      <c r="B13" s="23">
        <f>-1.0366</f>
        <v>-1.0366</v>
      </c>
      <c r="C13" s="180"/>
      <c r="D13" s="180" t="s">
        <v>37</v>
      </c>
      <c r="E13" s="84" t="s">
        <v>40</v>
      </c>
      <c r="F13" s="58" t="s">
        <v>1632</v>
      </c>
      <c r="G13" s="180" t="s">
        <v>82</v>
      </c>
      <c r="H13" s="58" t="s">
        <v>33</v>
      </c>
      <c r="I13" s="58">
        <v>0</v>
      </c>
      <c r="J13" s="180" t="s">
        <v>31</v>
      </c>
      <c r="K13" s="180" t="s">
        <v>31</v>
      </c>
      <c r="L13" s="180" t="s">
        <v>31</v>
      </c>
      <c r="M13" s="180" t="s">
        <v>31</v>
      </c>
      <c r="N13" s="180" t="s">
        <v>31</v>
      </c>
      <c r="O13" s="58" t="s">
        <v>195</v>
      </c>
      <c r="P13" s="58" t="s">
        <v>196</v>
      </c>
    </row>
    <row r="14" spans="1:16" s="185" customFormat="1" ht="15.6">
      <c r="A14" s="182" t="s">
        <v>5</v>
      </c>
      <c r="B14" s="182" t="s">
        <v>1636</v>
      </c>
      <c r="C14" s="182"/>
      <c r="D14" s="183"/>
      <c r="E14" s="184"/>
      <c r="F14" s="184"/>
      <c r="G14" s="184"/>
      <c r="H14" s="184"/>
      <c r="I14" s="184"/>
      <c r="J14" s="184"/>
      <c r="K14" s="184"/>
      <c r="L14" s="184"/>
      <c r="M14" s="184"/>
      <c r="N14" s="184"/>
      <c r="O14" s="184"/>
      <c r="P14" s="184"/>
    </row>
    <row r="15" spans="1:16">
      <c r="A15" s="58" t="s">
        <v>7</v>
      </c>
      <c r="B15" s="58" t="s">
        <v>1634</v>
      </c>
      <c r="C15" s="58"/>
      <c r="D15" s="58"/>
      <c r="E15" s="58"/>
      <c r="F15" s="58"/>
      <c r="G15" s="58"/>
      <c r="H15" s="58"/>
      <c r="I15" s="58"/>
      <c r="J15" s="58"/>
      <c r="K15" s="58"/>
      <c r="L15" s="58"/>
      <c r="M15" s="58"/>
      <c r="N15" s="58"/>
      <c r="O15" s="58"/>
      <c r="P15" s="58"/>
    </row>
    <row r="16" spans="1:16">
      <c r="A16" s="58" t="s">
        <v>9</v>
      </c>
      <c r="B16" s="186" t="s">
        <v>1637</v>
      </c>
      <c r="C16" s="58"/>
      <c r="D16" s="58"/>
      <c r="E16" s="58"/>
      <c r="F16" s="58"/>
      <c r="G16" s="58"/>
      <c r="H16" s="58"/>
      <c r="I16" s="58"/>
      <c r="J16" s="58"/>
      <c r="K16" s="58"/>
      <c r="L16" s="58"/>
      <c r="M16" s="58"/>
      <c r="N16" s="58"/>
      <c r="O16" s="58"/>
      <c r="P16" s="58"/>
    </row>
    <row r="17" spans="1:16">
      <c r="A17" s="58" t="s">
        <v>11</v>
      </c>
      <c r="B17" s="58" t="s">
        <v>199</v>
      </c>
      <c r="C17" s="58"/>
      <c r="D17" s="58"/>
      <c r="E17" s="58"/>
      <c r="F17" s="58"/>
      <c r="G17" s="58"/>
      <c r="H17" s="58"/>
      <c r="I17" s="58"/>
      <c r="J17" s="58"/>
      <c r="K17" s="58"/>
      <c r="L17" s="58"/>
      <c r="M17" s="58"/>
      <c r="N17" s="58"/>
      <c r="O17" s="58"/>
      <c r="P17" s="58"/>
    </row>
    <row r="18" spans="1:16">
      <c r="A18" s="58" t="s">
        <v>13</v>
      </c>
      <c r="B18" s="58" t="s">
        <v>59</v>
      </c>
      <c r="C18" s="58"/>
      <c r="D18" s="58"/>
      <c r="E18" s="58"/>
      <c r="F18" s="58"/>
      <c r="G18" s="58"/>
      <c r="H18" s="58"/>
      <c r="I18" s="58"/>
      <c r="J18" s="58"/>
      <c r="K18" s="58"/>
      <c r="L18" s="58"/>
      <c r="M18" s="58"/>
      <c r="N18" s="58"/>
      <c r="O18" s="58"/>
      <c r="P18" s="58"/>
    </row>
    <row r="19" spans="1:16">
      <c r="A19" s="58" t="s">
        <v>15</v>
      </c>
      <c r="B19" s="58">
        <v>1</v>
      </c>
      <c r="C19" s="58"/>
      <c r="D19" s="58"/>
      <c r="E19" s="58"/>
      <c r="F19" s="58"/>
      <c r="G19" s="58"/>
      <c r="H19" s="58"/>
      <c r="I19" s="58"/>
      <c r="J19" s="58"/>
      <c r="K19" s="58"/>
      <c r="L19" s="58"/>
      <c r="M19" s="58"/>
      <c r="N19" s="58"/>
      <c r="O19" s="58"/>
      <c r="P19" s="58"/>
    </row>
    <row r="20" spans="1:16">
      <c r="A20" s="58" t="s">
        <v>16</v>
      </c>
      <c r="B20" s="58" t="s">
        <v>17</v>
      </c>
      <c r="C20" s="58"/>
      <c r="D20" s="58"/>
      <c r="E20" s="58"/>
      <c r="F20" s="58"/>
      <c r="G20" s="58"/>
      <c r="H20" s="58"/>
      <c r="I20" s="58"/>
      <c r="J20" s="58"/>
      <c r="K20" s="58"/>
      <c r="L20" s="58"/>
      <c r="M20" s="58"/>
      <c r="N20" s="58"/>
      <c r="O20" s="58"/>
      <c r="P20" s="58"/>
    </row>
    <row r="21" spans="1:16">
      <c r="A21" s="58" t="s">
        <v>18</v>
      </c>
      <c r="B21" s="58" t="s">
        <v>18</v>
      </c>
      <c r="C21" s="58"/>
      <c r="D21" s="58"/>
      <c r="E21" s="58" t="s">
        <v>185</v>
      </c>
      <c r="F21" s="58"/>
      <c r="G21" s="58"/>
      <c r="H21" s="58"/>
      <c r="I21" s="58"/>
      <c r="J21" s="58"/>
      <c r="K21" s="58"/>
      <c r="L21" s="58"/>
      <c r="M21" s="58"/>
      <c r="N21" s="58"/>
      <c r="O21" s="58"/>
      <c r="P21" s="58"/>
    </row>
    <row r="22" spans="1:16" ht="15.6">
      <c r="A22" s="181" t="s">
        <v>19</v>
      </c>
      <c r="B22" s="58"/>
      <c r="C22" s="58"/>
      <c r="D22" s="58"/>
      <c r="E22" s="58"/>
      <c r="F22" s="58"/>
      <c r="G22" s="58"/>
      <c r="H22" s="58"/>
      <c r="I22" s="58"/>
      <c r="J22" s="58"/>
      <c r="K22" s="58"/>
      <c r="L22" s="58"/>
      <c r="M22" s="58"/>
      <c r="N22" s="58"/>
      <c r="O22" s="58"/>
      <c r="P22" s="58"/>
    </row>
    <row r="23" spans="1:16" ht="15.6">
      <c r="A23" s="181" t="s">
        <v>20</v>
      </c>
      <c r="B23" s="181" t="s">
        <v>21</v>
      </c>
      <c r="C23" s="181" t="s">
        <v>186</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187</v>
      </c>
    </row>
    <row r="24" spans="1:16" ht="15.6">
      <c r="A24" s="180" t="s">
        <v>1636</v>
      </c>
      <c r="B24" s="180">
        <v>1</v>
      </c>
      <c r="C24" s="180"/>
      <c r="D24" s="180" t="s">
        <v>18</v>
      </c>
      <c r="E24" s="58" t="s">
        <v>2</v>
      </c>
      <c r="F24" s="58" t="s">
        <v>1632</v>
      </c>
      <c r="G24" s="180" t="s">
        <v>59</v>
      </c>
      <c r="H24" s="58" t="s">
        <v>30</v>
      </c>
      <c r="I24" s="58">
        <v>0</v>
      </c>
      <c r="J24" s="180" t="s">
        <v>31</v>
      </c>
      <c r="K24" s="180" t="s">
        <v>31</v>
      </c>
      <c r="L24" s="180" t="s">
        <v>31</v>
      </c>
      <c r="M24" s="180" t="s">
        <v>31</v>
      </c>
      <c r="N24" s="180" t="s">
        <v>31</v>
      </c>
      <c r="O24" s="58" t="s">
        <v>200</v>
      </c>
      <c r="P24" s="58"/>
    </row>
    <row r="25" spans="1:16" ht="15.6">
      <c r="A25" t="s">
        <v>201</v>
      </c>
      <c r="B25" s="23">
        <v>13.496700000000001</v>
      </c>
      <c r="C25" s="180"/>
      <c r="D25" s="180" t="s">
        <v>37</v>
      </c>
      <c r="E25" s="37" t="s">
        <v>40</v>
      </c>
      <c r="F25" s="58" t="s">
        <v>1632</v>
      </c>
      <c r="G25" t="s">
        <v>82</v>
      </c>
      <c r="H25" s="58" t="s">
        <v>33</v>
      </c>
      <c r="I25" s="58">
        <v>0</v>
      </c>
      <c r="J25" s="180" t="s">
        <v>31</v>
      </c>
      <c r="K25" s="180" t="s">
        <v>31</v>
      </c>
      <c r="L25" s="180" t="s">
        <v>31</v>
      </c>
      <c r="M25" s="180" t="s">
        <v>31</v>
      </c>
      <c r="N25" s="180" t="s">
        <v>31</v>
      </c>
      <c r="O25" s="58"/>
      <c r="P25" s="58"/>
    </row>
    <row r="26" spans="1:16" ht="15.6">
      <c r="A26" t="s">
        <v>202</v>
      </c>
      <c r="B26" s="23">
        <v>13.496700000000001</v>
      </c>
      <c r="C26" s="22" t="s">
        <v>203</v>
      </c>
      <c r="D26" t="s">
        <v>37</v>
      </c>
      <c r="E26" s="188" t="s">
        <v>40</v>
      </c>
      <c r="F26" s="58" t="s">
        <v>1632</v>
      </c>
      <c r="G26" t="s">
        <v>82</v>
      </c>
      <c r="H26" s="58" t="s">
        <v>33</v>
      </c>
      <c r="I26" s="58">
        <v>0</v>
      </c>
      <c r="J26" s="180" t="s">
        <v>31</v>
      </c>
      <c r="K26" s="180" t="s">
        <v>31</v>
      </c>
      <c r="L26" s="180" t="s">
        <v>31</v>
      </c>
      <c r="M26" s="180" t="s">
        <v>31</v>
      </c>
      <c r="N26" s="180" t="s">
        <v>31</v>
      </c>
      <c r="O26" t="s">
        <v>204</v>
      </c>
    </row>
    <row r="27" spans="1:16" ht="15.6">
      <c r="A27" t="s">
        <v>205</v>
      </c>
      <c r="B27" s="23">
        <f>0.9</f>
        <v>0.9</v>
      </c>
      <c r="D27" t="s">
        <v>37</v>
      </c>
      <c r="E27" s="188" t="s">
        <v>40</v>
      </c>
      <c r="F27" s="58" t="s">
        <v>1632</v>
      </c>
      <c r="G27" t="s">
        <v>59</v>
      </c>
      <c r="H27" s="58" t="s">
        <v>136</v>
      </c>
      <c r="I27" s="58">
        <v>0</v>
      </c>
      <c r="J27" s="180" t="s">
        <v>31</v>
      </c>
      <c r="K27" s="180" t="s">
        <v>31</v>
      </c>
      <c r="L27" s="180" t="s">
        <v>31</v>
      </c>
      <c r="M27" s="180" t="s">
        <v>31</v>
      </c>
      <c r="N27" s="180" t="s">
        <v>31</v>
      </c>
      <c r="O27" s="58" t="s">
        <v>206</v>
      </c>
    </row>
    <row r="28" spans="1:16" ht="15.6">
      <c r="A28" t="s">
        <v>207</v>
      </c>
      <c r="B28">
        <v>9.4209999999999994</v>
      </c>
      <c r="C28" t="s">
        <v>208</v>
      </c>
      <c r="D28" t="s">
        <v>37</v>
      </c>
      <c r="E28" s="188" t="s">
        <v>40</v>
      </c>
      <c r="F28" s="58" t="s">
        <v>1632</v>
      </c>
      <c r="G28" t="s">
        <v>82</v>
      </c>
      <c r="H28" t="s">
        <v>33</v>
      </c>
      <c r="I28" s="58">
        <v>0</v>
      </c>
      <c r="J28" s="180" t="s">
        <v>31</v>
      </c>
      <c r="K28" s="180" t="s">
        <v>31</v>
      </c>
      <c r="L28" s="180" t="s">
        <v>31</v>
      </c>
      <c r="M28" s="180" t="s">
        <v>31</v>
      </c>
      <c r="N28" s="180" t="s">
        <v>31</v>
      </c>
    </row>
    <row r="29" spans="1:16" ht="15.6">
      <c r="A29" t="s">
        <v>209</v>
      </c>
      <c r="B29">
        <f>0.9*B28</f>
        <v>8.4788999999999994</v>
      </c>
      <c r="D29" t="s">
        <v>37</v>
      </c>
      <c r="E29" s="188" t="s">
        <v>40</v>
      </c>
      <c r="F29" s="58" t="s">
        <v>1632</v>
      </c>
      <c r="G29" t="s">
        <v>59</v>
      </c>
      <c r="H29" t="s">
        <v>136</v>
      </c>
      <c r="I29" s="58">
        <v>0</v>
      </c>
      <c r="J29" s="180" t="s">
        <v>31</v>
      </c>
      <c r="K29" s="180" t="s">
        <v>31</v>
      </c>
      <c r="L29" s="180" t="s">
        <v>31</v>
      </c>
      <c r="M29" s="180" t="s">
        <v>31</v>
      </c>
      <c r="N29" s="180" t="s">
        <v>31</v>
      </c>
      <c r="O29" s="58" t="s">
        <v>206</v>
      </c>
    </row>
    <row r="30" spans="1:16" ht="16.5" customHeight="1">
      <c r="A30" t="s">
        <v>210</v>
      </c>
      <c r="B30" s="23">
        <f>-((B28-B29)+(B26-B27)+3.0462)</f>
        <v>-16.585000000000001</v>
      </c>
      <c r="D30" t="s">
        <v>37</v>
      </c>
      <c r="E30" s="84" t="s">
        <v>40</v>
      </c>
      <c r="F30" s="58" t="s">
        <v>1632</v>
      </c>
      <c r="G30" t="s">
        <v>59</v>
      </c>
      <c r="H30" t="s">
        <v>33</v>
      </c>
      <c r="I30">
        <v>0</v>
      </c>
      <c r="J30" t="s">
        <v>31</v>
      </c>
      <c r="K30" t="s">
        <v>31</v>
      </c>
      <c r="L30" t="s">
        <v>31</v>
      </c>
      <c r="M30" t="s">
        <v>31</v>
      </c>
      <c r="N30" t="s">
        <v>31</v>
      </c>
      <c r="O30" s="17" t="s">
        <v>211</v>
      </c>
    </row>
    <row r="31" spans="1:16" s="185" customFormat="1" ht="15.6">
      <c r="A31" s="182" t="s">
        <v>5</v>
      </c>
      <c r="B31" s="182" t="s">
        <v>1638</v>
      </c>
      <c r="C31" s="182"/>
      <c r="D31" s="183"/>
      <c r="E31" s="184"/>
      <c r="F31" s="184"/>
      <c r="G31" s="184"/>
      <c r="H31" s="184"/>
      <c r="I31" s="184"/>
      <c r="J31" s="184"/>
      <c r="K31" s="184"/>
      <c r="L31" s="184"/>
      <c r="M31" s="184"/>
      <c r="N31" s="184"/>
      <c r="O31" s="184"/>
      <c r="P31" s="184"/>
    </row>
    <row r="32" spans="1:16">
      <c r="A32" s="58" t="s">
        <v>7</v>
      </c>
      <c r="B32" s="58" t="s">
        <v>1634</v>
      </c>
      <c r="C32" s="58"/>
      <c r="D32" s="58"/>
      <c r="E32" s="58"/>
      <c r="F32" s="58"/>
      <c r="G32" s="58"/>
      <c r="H32" s="58"/>
      <c r="I32" s="58"/>
      <c r="J32" s="58"/>
      <c r="K32" s="58"/>
      <c r="L32" s="58"/>
      <c r="M32" s="58"/>
      <c r="N32" s="58"/>
      <c r="O32" s="58"/>
      <c r="P32" s="58"/>
    </row>
    <row r="33" spans="1:16">
      <c r="A33" s="58" t="s">
        <v>9</v>
      </c>
      <c r="B33" s="186" t="s">
        <v>1639</v>
      </c>
      <c r="C33" s="58"/>
      <c r="D33" s="58"/>
      <c r="E33" s="58"/>
      <c r="F33" s="58"/>
      <c r="G33" s="58"/>
      <c r="H33" s="58"/>
      <c r="I33" s="58"/>
      <c r="J33" s="58"/>
      <c r="K33" s="58"/>
      <c r="L33" s="58"/>
      <c r="M33" s="58"/>
      <c r="N33" s="58"/>
      <c r="O33" s="58"/>
      <c r="P33" s="58"/>
    </row>
    <row r="34" spans="1:16">
      <c r="A34" s="58" t="s">
        <v>11</v>
      </c>
      <c r="B34" s="58" t="s">
        <v>214</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c r="A38" s="58" t="s">
        <v>18</v>
      </c>
      <c r="B38" s="58" t="s">
        <v>18</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
        <v>1638</v>
      </c>
      <c r="B41" s="180">
        <v>1</v>
      </c>
      <c r="C41" s="180"/>
      <c r="D41" s="180" t="s">
        <v>18</v>
      </c>
      <c r="E41" s="58" t="s">
        <v>2</v>
      </c>
      <c r="F41" s="58" t="s">
        <v>1632</v>
      </c>
      <c r="G41" s="180" t="s">
        <v>59</v>
      </c>
      <c r="H41" s="58" t="s">
        <v>30</v>
      </c>
      <c r="I41" s="58">
        <v>0</v>
      </c>
      <c r="J41" s="180" t="s">
        <v>31</v>
      </c>
      <c r="K41" s="180" t="s">
        <v>31</v>
      </c>
      <c r="L41" s="180" t="s">
        <v>31</v>
      </c>
      <c r="M41" s="180" t="s">
        <v>31</v>
      </c>
      <c r="N41" s="180" t="s">
        <v>31</v>
      </c>
      <c r="O41" s="58" t="s">
        <v>215</v>
      </c>
      <c r="P41" s="58"/>
    </row>
    <row r="42" spans="1:16" ht="15.6">
      <c r="A42" s="84" t="s">
        <v>216</v>
      </c>
      <c r="B42">
        <v>-3.81</v>
      </c>
      <c r="D42" t="s">
        <v>37</v>
      </c>
      <c r="E42" s="188" t="s">
        <v>40</v>
      </c>
      <c r="F42" s="58" t="s">
        <v>1632</v>
      </c>
      <c r="G42" t="s">
        <v>82</v>
      </c>
      <c r="H42" t="s">
        <v>33</v>
      </c>
      <c r="I42" s="58">
        <v>0</v>
      </c>
      <c r="J42" s="180" t="s">
        <v>31</v>
      </c>
      <c r="K42" s="180" t="s">
        <v>31</v>
      </c>
      <c r="L42" s="180" t="s">
        <v>31</v>
      </c>
      <c r="M42" s="180" t="s">
        <v>31</v>
      </c>
      <c r="N42" s="180" t="s">
        <v>31</v>
      </c>
      <c r="O42" s="58" t="s">
        <v>215</v>
      </c>
      <c r="P42" s="180" t="s">
        <v>217</v>
      </c>
    </row>
    <row r="43" spans="1:16" ht="15.6">
      <c r="A43" t="s">
        <v>38</v>
      </c>
      <c r="B43">
        <f>B44*0.277777777</f>
        <v>18.404416615134298</v>
      </c>
      <c r="D43" t="s">
        <v>39</v>
      </c>
      <c r="E43" s="188" t="s">
        <v>40</v>
      </c>
      <c r="F43" s="58" t="s">
        <v>1632</v>
      </c>
      <c r="G43" t="s">
        <v>59</v>
      </c>
      <c r="H43" s="58" t="s">
        <v>136</v>
      </c>
      <c r="I43" s="58">
        <v>0</v>
      </c>
      <c r="J43" s="180" t="s">
        <v>31</v>
      </c>
      <c r="K43" s="180" t="s">
        <v>31</v>
      </c>
      <c r="L43" s="180" t="s">
        <v>31</v>
      </c>
      <c r="M43" s="180" t="s">
        <v>31</v>
      </c>
      <c r="N43" s="180" t="s">
        <v>31</v>
      </c>
      <c r="O43" t="s">
        <v>218</v>
      </c>
    </row>
    <row r="44" spans="1:16" ht="15.6">
      <c r="A44" t="s">
        <v>70</v>
      </c>
      <c r="B44">
        <f>-B42*0.5*34.78</f>
        <v>66.255899999999997</v>
      </c>
      <c r="D44" t="s">
        <v>71</v>
      </c>
      <c r="E44" s="188" t="s">
        <v>40</v>
      </c>
      <c r="F44" s="58" t="s">
        <v>1632</v>
      </c>
      <c r="G44" t="s">
        <v>59</v>
      </c>
      <c r="H44" s="58" t="s">
        <v>136</v>
      </c>
      <c r="I44" s="58">
        <v>0</v>
      </c>
      <c r="J44" s="180" t="s">
        <v>31</v>
      </c>
      <c r="K44" s="180" t="s">
        <v>31</v>
      </c>
      <c r="L44" s="180" t="s">
        <v>31</v>
      </c>
      <c r="M44" s="180" t="s">
        <v>31</v>
      </c>
      <c r="N44" s="180" t="s">
        <v>31</v>
      </c>
      <c r="O44" t="s">
        <v>219</v>
      </c>
    </row>
    <row r="45" spans="1:16" s="185" customFormat="1" ht="15.6">
      <c r="A45" s="182" t="s">
        <v>5</v>
      </c>
      <c r="B45" s="182" t="s">
        <v>1640</v>
      </c>
      <c r="C45" s="182"/>
      <c r="D45" s="183"/>
      <c r="E45" s="184"/>
      <c r="F45" s="184"/>
      <c r="G45" s="184"/>
      <c r="H45" s="184"/>
      <c r="I45" s="184"/>
      <c r="J45" s="184"/>
      <c r="K45" s="184"/>
      <c r="L45" s="184"/>
      <c r="M45" s="184"/>
      <c r="N45" s="184"/>
      <c r="O45" s="184"/>
      <c r="P45" s="184"/>
    </row>
    <row r="46" spans="1:16">
      <c r="A46" s="58" t="s">
        <v>7</v>
      </c>
      <c r="B46" s="58" t="s">
        <v>1634</v>
      </c>
      <c r="C46" s="58"/>
      <c r="D46" s="58"/>
      <c r="E46" s="58"/>
      <c r="F46" s="58"/>
      <c r="G46" s="58"/>
      <c r="H46" s="58"/>
      <c r="I46" s="58"/>
      <c r="J46" s="58"/>
      <c r="K46" s="58"/>
      <c r="L46" s="58"/>
      <c r="M46" s="58"/>
      <c r="N46" s="58"/>
      <c r="O46" s="58"/>
      <c r="P46" s="58"/>
    </row>
    <row r="47" spans="1:16">
      <c r="A47" s="58" t="s">
        <v>9</v>
      </c>
      <c r="B47" s="186" t="s">
        <v>1641</v>
      </c>
      <c r="C47" s="58"/>
      <c r="D47" s="58"/>
      <c r="E47" s="58"/>
      <c r="F47" s="58"/>
      <c r="G47" s="58"/>
      <c r="H47" s="58"/>
      <c r="I47" s="58"/>
      <c r="J47" s="58"/>
      <c r="K47" s="58"/>
      <c r="L47" s="58"/>
      <c r="M47" s="58"/>
      <c r="N47" s="58"/>
      <c r="O47" s="58"/>
      <c r="P47" s="58"/>
    </row>
    <row r="48" spans="1:16">
      <c r="A48" s="58" t="s">
        <v>11</v>
      </c>
      <c r="B48" s="58" t="s">
        <v>222</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c r="A52" s="58" t="s">
        <v>18</v>
      </c>
      <c r="B52" s="58" t="s">
        <v>18</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
        <v>1640</v>
      </c>
      <c r="B55" s="180">
        <v>1</v>
      </c>
      <c r="C55" s="180"/>
      <c r="D55" s="180" t="s">
        <v>18</v>
      </c>
      <c r="E55" s="58" t="s">
        <v>2</v>
      </c>
      <c r="F55" s="58" t="s">
        <v>1632</v>
      </c>
      <c r="G55" s="180" t="s">
        <v>59</v>
      </c>
      <c r="H55" s="58" t="s">
        <v>30</v>
      </c>
      <c r="I55" s="58">
        <v>0</v>
      </c>
      <c r="J55" s="180" t="s">
        <v>31</v>
      </c>
      <c r="K55" s="180" t="s">
        <v>31</v>
      </c>
      <c r="L55" s="180" t="s">
        <v>31</v>
      </c>
      <c r="M55" s="180" t="s">
        <v>31</v>
      </c>
      <c r="N55" s="180" t="s">
        <v>31</v>
      </c>
      <c r="O55" s="58"/>
      <c r="P55" s="58"/>
    </row>
    <row r="56" spans="1:16" ht="15.6">
      <c r="A56" s="84" t="s">
        <v>223</v>
      </c>
      <c r="B56" s="58">
        <f>-0.45</f>
        <v>-0.45</v>
      </c>
      <c r="D56" t="s">
        <v>37</v>
      </c>
      <c r="E56" s="188" t="s">
        <v>40</v>
      </c>
      <c r="F56" s="58" t="s">
        <v>1632</v>
      </c>
      <c r="G56" t="s">
        <v>82</v>
      </c>
      <c r="H56" t="s">
        <v>33</v>
      </c>
      <c r="I56" s="58">
        <v>0</v>
      </c>
      <c r="J56" s="180" t="s">
        <v>31</v>
      </c>
      <c r="K56" s="180" t="s">
        <v>31</v>
      </c>
      <c r="L56" s="180" t="s">
        <v>31</v>
      </c>
      <c r="M56" s="180" t="s">
        <v>31</v>
      </c>
      <c r="N56" s="180" t="s">
        <v>31</v>
      </c>
      <c r="O56" s="180" t="s">
        <v>224</v>
      </c>
    </row>
    <row r="57" spans="1:16" s="185" customFormat="1" ht="15.6">
      <c r="A57" s="182" t="s">
        <v>5</v>
      </c>
      <c r="B57" s="182" t="s">
        <v>1642</v>
      </c>
      <c r="C57" s="182"/>
      <c r="D57" s="183"/>
      <c r="E57" s="184"/>
      <c r="F57" s="184"/>
      <c r="G57" s="184"/>
      <c r="H57" s="184"/>
      <c r="I57" s="184"/>
      <c r="J57" s="184"/>
      <c r="K57" s="184"/>
      <c r="L57" s="184"/>
      <c r="M57" s="184"/>
      <c r="N57" s="184"/>
      <c r="O57" s="184"/>
      <c r="P57" s="184"/>
    </row>
    <row r="58" spans="1:16">
      <c r="A58" s="58" t="s">
        <v>7</v>
      </c>
      <c r="B58" s="58" t="s">
        <v>1634</v>
      </c>
      <c r="C58" s="58"/>
      <c r="D58" s="58"/>
      <c r="E58" s="58"/>
      <c r="F58" s="58"/>
      <c r="G58" s="58"/>
      <c r="H58" s="58"/>
      <c r="I58" s="58"/>
      <c r="J58" s="58"/>
      <c r="K58" s="58"/>
      <c r="L58" s="58"/>
      <c r="M58" s="58"/>
      <c r="N58" s="58"/>
      <c r="O58" s="58"/>
      <c r="P58" s="58"/>
    </row>
    <row r="59" spans="1:16">
      <c r="A59" s="58" t="s">
        <v>9</v>
      </c>
      <c r="B59" s="186" t="s">
        <v>1643</v>
      </c>
      <c r="C59" s="58"/>
      <c r="D59" s="58"/>
      <c r="E59" s="58"/>
      <c r="F59" s="58"/>
      <c r="G59" s="58"/>
      <c r="H59" s="58"/>
      <c r="I59" s="58"/>
      <c r="J59" s="58"/>
      <c r="K59" s="58"/>
      <c r="L59" s="58"/>
      <c r="M59" s="58"/>
      <c r="N59" s="58"/>
      <c r="O59" s="58"/>
      <c r="P59" s="58"/>
    </row>
    <row r="60" spans="1:16">
      <c r="A60" s="58" t="s">
        <v>11</v>
      </c>
      <c r="B60" s="58" t="s">
        <v>227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c r="A64" s="58" t="s">
        <v>18</v>
      </c>
      <c r="B64" s="58" t="s">
        <v>18</v>
      </c>
      <c r="C64" s="58"/>
      <c r="D64" s="58"/>
      <c r="E64" s="58" t="s">
        <v>185</v>
      </c>
      <c r="F64" s="58"/>
      <c r="G64" s="58"/>
      <c r="H64" s="58"/>
      <c r="I64" s="58"/>
      <c r="J64" s="58"/>
      <c r="K64" s="58"/>
      <c r="L64" s="58"/>
      <c r="M64" s="58"/>
      <c r="N64" s="58"/>
      <c r="O64" s="58"/>
      <c r="P64" s="58"/>
    </row>
    <row r="65" spans="1:16" ht="15.6">
      <c r="A65" s="181" t="s">
        <v>19</v>
      </c>
      <c r="B65" s="58"/>
      <c r="C65" s="58"/>
      <c r="D65" s="58"/>
      <c r="E65" s="58"/>
      <c r="F65" s="58"/>
      <c r="G65" s="58"/>
      <c r="H65" s="58"/>
      <c r="I65" s="58"/>
      <c r="J65" s="58"/>
      <c r="K65" s="58"/>
      <c r="L65" s="58"/>
      <c r="M65" s="58"/>
      <c r="N65" s="58"/>
      <c r="O65" s="58"/>
      <c r="P65" s="58"/>
    </row>
    <row r="66" spans="1:16"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6">
      <c r="A67" s="180" t="str">
        <f>B57</f>
        <v>treatment of power electronics,Battery charging station, GT-bat, Long-term</v>
      </c>
      <c r="B67" s="180">
        <v>1</v>
      </c>
      <c r="C67" s="180"/>
      <c r="D67" s="180" t="s">
        <v>18</v>
      </c>
      <c r="E67" s="58" t="s">
        <v>2</v>
      </c>
      <c r="F67" s="58" t="s">
        <v>1632</v>
      </c>
      <c r="G67" s="180" t="s">
        <v>59</v>
      </c>
      <c r="H67" s="58" t="s">
        <v>30</v>
      </c>
      <c r="I67" s="58">
        <v>0</v>
      </c>
      <c r="J67" s="180" t="s">
        <v>31</v>
      </c>
      <c r="K67" s="180" t="s">
        <v>31</v>
      </c>
      <c r="L67" s="180" t="s">
        <v>31</v>
      </c>
      <c r="M67" s="180" t="s">
        <v>31</v>
      </c>
      <c r="N67" s="180" t="s">
        <v>31</v>
      </c>
      <c r="O67" s="58" t="s">
        <v>1644</v>
      </c>
      <c r="P67" s="58"/>
    </row>
    <row r="68" spans="1:16" ht="15.6">
      <c r="A68" t="str">
        <f>B2</f>
        <v>treatment of circuit components,Battery charging station, GT-bat, Long-term</v>
      </c>
      <c r="B68" s="180">
        <v>48</v>
      </c>
      <c r="D68" s="180" t="s">
        <v>18</v>
      </c>
      <c r="E68" s="58" t="s">
        <v>2</v>
      </c>
      <c r="F68" s="58" t="s">
        <v>1632</v>
      </c>
      <c r="G68" s="180" t="s">
        <v>59</v>
      </c>
      <c r="H68" t="s">
        <v>33</v>
      </c>
      <c r="I68" s="58">
        <v>0</v>
      </c>
      <c r="J68" s="180" t="s">
        <v>31</v>
      </c>
      <c r="K68" s="180" t="s">
        <v>31</v>
      </c>
      <c r="L68" s="180" t="s">
        <v>31</v>
      </c>
      <c r="M68" s="180" t="s">
        <v>31</v>
      </c>
      <c r="N68" s="180" t="s">
        <v>31</v>
      </c>
    </row>
    <row r="69" spans="1:16" ht="15.6">
      <c r="A69" t="str">
        <f>B14</f>
        <v>treatment of metals,Battery charging station, GT-bat, Long-term</v>
      </c>
      <c r="B69" s="180">
        <v>48</v>
      </c>
      <c r="D69" s="180" t="s">
        <v>18</v>
      </c>
      <c r="E69" s="58" t="s">
        <v>2</v>
      </c>
      <c r="F69" s="58" t="s">
        <v>1632</v>
      </c>
      <c r="G69" s="180" t="s">
        <v>59</v>
      </c>
      <c r="H69" t="s">
        <v>33</v>
      </c>
      <c r="I69" s="58">
        <v>0</v>
      </c>
      <c r="J69" s="180" t="s">
        <v>31</v>
      </c>
      <c r="K69" s="180" t="s">
        <v>31</v>
      </c>
      <c r="L69" s="180" t="s">
        <v>31</v>
      </c>
      <c r="M69" s="180" t="s">
        <v>31</v>
      </c>
      <c r="N69" s="180" t="s">
        <v>31</v>
      </c>
    </row>
    <row r="70" spans="1:16" ht="15.6">
      <c r="A70" t="str">
        <f>B31</f>
        <v>treatment of plastics,Battery charging station, GT-bat, Long-term</v>
      </c>
      <c r="B70" s="180">
        <v>48</v>
      </c>
      <c r="D70" s="180" t="s">
        <v>18</v>
      </c>
      <c r="E70" s="58" t="s">
        <v>2</v>
      </c>
      <c r="F70" s="58" t="s">
        <v>1632</v>
      </c>
      <c r="G70" s="180" t="s">
        <v>59</v>
      </c>
      <c r="H70" t="s">
        <v>33</v>
      </c>
      <c r="I70" s="58">
        <v>0</v>
      </c>
      <c r="J70" s="180" t="s">
        <v>31</v>
      </c>
      <c r="K70" s="180" t="s">
        <v>31</v>
      </c>
      <c r="L70" s="180" t="s">
        <v>31</v>
      </c>
      <c r="M70" s="180" t="s">
        <v>31</v>
      </c>
      <c r="N70" s="180" t="s">
        <v>31</v>
      </c>
    </row>
    <row r="71" spans="1:16" ht="15.6">
      <c r="A71" t="str">
        <f>B45</f>
        <v>treatment of remaining material components,Battery charging station, GT-bat, Long-term</v>
      </c>
      <c r="B71" s="180">
        <v>48</v>
      </c>
      <c r="D71" s="180" t="s">
        <v>18</v>
      </c>
      <c r="E71" s="58" t="s">
        <v>2</v>
      </c>
      <c r="F71" s="58" t="s">
        <v>1632</v>
      </c>
      <c r="G71" s="180" t="s">
        <v>59</v>
      </c>
      <c r="H71" t="s">
        <v>33</v>
      </c>
      <c r="I71" s="58">
        <v>0</v>
      </c>
      <c r="J71" s="180" t="s">
        <v>31</v>
      </c>
      <c r="K71" s="180" t="s">
        <v>31</v>
      </c>
      <c r="L71" s="180" t="s">
        <v>31</v>
      </c>
      <c r="M71" s="180" t="s">
        <v>31</v>
      </c>
      <c r="N71" s="180" t="s">
        <v>31</v>
      </c>
    </row>
    <row r="72" spans="1:16" ht="15.6">
      <c r="A72" s="84" t="s">
        <v>228</v>
      </c>
      <c r="B72">
        <f>48*-31.26</f>
        <v>-1500.48</v>
      </c>
      <c r="D72" s="180" t="s">
        <v>37</v>
      </c>
      <c r="E72" s="58" t="s">
        <v>40</v>
      </c>
      <c r="F72" s="58" t="s">
        <v>1632</v>
      </c>
      <c r="G72" s="180" t="s">
        <v>82</v>
      </c>
      <c r="H72" t="s">
        <v>33</v>
      </c>
      <c r="I72" s="58">
        <v>0</v>
      </c>
      <c r="J72" s="180" t="s">
        <v>31</v>
      </c>
      <c r="K72" s="180" t="s">
        <v>31</v>
      </c>
      <c r="L72" s="180" t="s">
        <v>31</v>
      </c>
      <c r="M72" s="180" t="s">
        <v>31</v>
      </c>
      <c r="N72" s="180" t="s">
        <v>31</v>
      </c>
      <c r="O72" s="180" t="s">
        <v>229</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88-BE25-49A8-A8D4-D405633E6ACB}">
  <dimension ref="A1:Z69"/>
  <sheetViews>
    <sheetView topLeftCell="A57" workbookViewId="0">
      <selection activeCell="B5" sqref="B5"/>
    </sheetView>
  </sheetViews>
  <sheetFormatPr defaultRowHeight="14.45"/>
  <cols>
    <col min="1" max="1" width="80.140625" bestFit="1" customWidth="1"/>
  </cols>
  <sheetData>
    <row r="1" spans="1:16">
      <c r="A1" t="s">
        <v>0</v>
      </c>
      <c r="B1">
        <v>14</v>
      </c>
    </row>
    <row r="2" spans="1:16" s="73" customFormat="1" ht="15.6">
      <c r="A2" s="178" t="s">
        <v>5</v>
      </c>
      <c r="B2" s="178" t="s">
        <v>1645</v>
      </c>
      <c r="C2" s="178"/>
      <c r="D2" s="74"/>
      <c r="E2" s="150"/>
      <c r="F2" s="150"/>
      <c r="G2" s="150"/>
      <c r="H2" s="150"/>
      <c r="I2" s="150"/>
      <c r="J2" s="150"/>
      <c r="K2" s="150"/>
      <c r="L2" s="150"/>
      <c r="M2" s="150"/>
      <c r="N2" s="150"/>
      <c r="O2" s="150"/>
      <c r="P2" s="150"/>
    </row>
    <row r="3" spans="1:16">
      <c r="A3" s="58" t="s">
        <v>7</v>
      </c>
      <c r="B3" s="58" t="s">
        <v>1634</v>
      </c>
      <c r="C3" s="58"/>
      <c r="D3" s="58"/>
      <c r="E3" s="58"/>
      <c r="F3" s="58"/>
      <c r="G3" s="58"/>
      <c r="H3" s="58"/>
      <c r="I3" s="58"/>
      <c r="J3" s="58"/>
      <c r="K3" s="58"/>
      <c r="L3" s="58"/>
      <c r="M3" s="58"/>
      <c r="N3" s="58"/>
      <c r="O3" s="58"/>
      <c r="P3" s="58"/>
    </row>
    <row r="4" spans="1:16">
      <c r="A4" s="58" t="s">
        <v>9</v>
      </c>
      <c r="B4" s="186" t="s">
        <v>1646</v>
      </c>
      <c r="C4" s="58"/>
      <c r="D4" s="58"/>
      <c r="E4" s="58"/>
      <c r="F4" s="58"/>
      <c r="G4" s="58"/>
      <c r="H4" s="58"/>
      <c r="I4" s="58"/>
      <c r="J4" s="58"/>
      <c r="K4" s="58"/>
      <c r="L4" s="58"/>
      <c r="M4" s="58"/>
      <c r="N4" s="58"/>
      <c r="O4" s="58"/>
      <c r="P4" s="58"/>
    </row>
    <row r="5" spans="1:16">
      <c r="A5" s="58" t="s">
        <v>11</v>
      </c>
      <c r="B5" s="58" t="s">
        <v>199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c r="A9" s="58" t="s">
        <v>18</v>
      </c>
      <c r="B9" s="58" t="s">
        <v>18</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alu,Battery charging station, GT-bat, Long-term</v>
      </c>
      <c r="B12" s="180">
        <v>1</v>
      </c>
      <c r="C12" s="180"/>
      <c r="D12" s="180" t="s">
        <v>18</v>
      </c>
      <c r="E12" s="58" t="s">
        <v>2</v>
      </c>
      <c r="F12" s="58" t="s">
        <v>1632</v>
      </c>
      <c r="G12" s="180" t="s">
        <v>59</v>
      </c>
      <c r="H12" s="58" t="s">
        <v>30</v>
      </c>
      <c r="I12" s="58">
        <v>0</v>
      </c>
      <c r="J12" s="180" t="s">
        <v>31</v>
      </c>
      <c r="K12" s="180" t="s">
        <v>31</v>
      </c>
      <c r="L12" s="180" t="s">
        <v>31</v>
      </c>
      <c r="M12" s="180" t="s">
        <v>31</v>
      </c>
      <c r="N12" s="180" t="s">
        <v>31</v>
      </c>
      <c r="O12" s="58" t="s">
        <v>200</v>
      </c>
      <c r="P12" s="58"/>
    </row>
    <row r="13" spans="1:16" ht="15.6">
      <c r="A13" t="s">
        <v>201</v>
      </c>
      <c r="B13" s="23">
        <v>1584.56</v>
      </c>
      <c r="C13" s="180"/>
      <c r="D13" s="180" t="s">
        <v>37</v>
      </c>
      <c r="E13" s="37" t="s">
        <v>40</v>
      </c>
      <c r="F13" s="58" t="s">
        <v>1632</v>
      </c>
      <c r="G13" t="s">
        <v>82</v>
      </c>
      <c r="H13" s="58" t="s">
        <v>33</v>
      </c>
      <c r="I13" s="58">
        <v>0</v>
      </c>
      <c r="J13" s="180" t="s">
        <v>31</v>
      </c>
      <c r="K13" s="180" t="s">
        <v>31</v>
      </c>
      <c r="L13" s="180" t="s">
        <v>31</v>
      </c>
      <c r="M13" s="180" t="s">
        <v>31</v>
      </c>
      <c r="N13" s="180" t="s">
        <v>31</v>
      </c>
      <c r="O13" s="58"/>
      <c r="P13" s="58"/>
    </row>
    <row r="14" spans="1:16" ht="15.6">
      <c r="A14" t="s">
        <v>202</v>
      </c>
      <c r="B14" s="23">
        <v>1584.56</v>
      </c>
      <c r="C14" s="22" t="s">
        <v>203</v>
      </c>
      <c r="D14" t="s">
        <v>37</v>
      </c>
      <c r="E14" s="188" t="s">
        <v>40</v>
      </c>
      <c r="F14" s="58" t="s">
        <v>1632</v>
      </c>
      <c r="G14" t="s">
        <v>82</v>
      </c>
      <c r="H14" s="58" t="s">
        <v>33</v>
      </c>
      <c r="I14" s="58">
        <v>0</v>
      </c>
      <c r="J14" s="180" t="s">
        <v>31</v>
      </c>
      <c r="K14" s="180" t="s">
        <v>31</v>
      </c>
      <c r="L14" s="180" t="s">
        <v>31</v>
      </c>
      <c r="M14" s="180" t="s">
        <v>31</v>
      </c>
      <c r="N14" s="180" t="s">
        <v>31</v>
      </c>
      <c r="O14" t="s">
        <v>204</v>
      </c>
    </row>
    <row r="15" spans="1:16" ht="15.6">
      <c r="A15" t="s">
        <v>205</v>
      </c>
      <c r="B15" s="23">
        <f>B14*0.9</f>
        <v>1426.104</v>
      </c>
      <c r="D15" t="s">
        <v>37</v>
      </c>
      <c r="E15" s="188" t="s">
        <v>40</v>
      </c>
      <c r="F15" s="58" t="s">
        <v>1632</v>
      </c>
      <c r="G15" t="s">
        <v>59</v>
      </c>
      <c r="H15" s="58" t="s">
        <v>136</v>
      </c>
      <c r="I15" s="58">
        <v>0</v>
      </c>
      <c r="J15" s="180" t="s">
        <v>31</v>
      </c>
      <c r="K15" s="180" t="s">
        <v>31</v>
      </c>
      <c r="L15" s="180" t="s">
        <v>31</v>
      </c>
      <c r="M15" s="180" t="s">
        <v>31</v>
      </c>
      <c r="N15" s="180" t="s">
        <v>31</v>
      </c>
      <c r="O15" s="58" t="s">
        <v>206</v>
      </c>
    </row>
    <row r="16" spans="1:16" ht="16.5" customHeight="1">
      <c r="A16" t="s">
        <v>210</v>
      </c>
      <c r="B16" s="23">
        <f>-0.1*B15+3.28</f>
        <v>-139.3304</v>
      </c>
      <c r="D16" t="s">
        <v>37</v>
      </c>
      <c r="E16" s="84" t="s">
        <v>40</v>
      </c>
      <c r="F16" s="58" t="s">
        <v>1632</v>
      </c>
      <c r="G16" t="s">
        <v>59</v>
      </c>
      <c r="H16" t="s">
        <v>33</v>
      </c>
      <c r="I16">
        <v>0</v>
      </c>
      <c r="J16" t="s">
        <v>31</v>
      </c>
      <c r="K16" t="s">
        <v>31</v>
      </c>
      <c r="L16" t="s">
        <v>31</v>
      </c>
      <c r="M16" t="s">
        <v>31</v>
      </c>
      <c r="N16" t="s">
        <v>31</v>
      </c>
      <c r="O16" s="17" t="s">
        <v>211</v>
      </c>
    </row>
    <row r="17" spans="1:26" ht="15.6">
      <c r="A17" s="178" t="s">
        <v>5</v>
      </c>
      <c r="B17" s="178" t="str">
        <f>A27</f>
        <v>treatment of steel,Battery charging station, Gt-bat, Long-term</v>
      </c>
      <c r="C17" s="178"/>
      <c r="D17" s="74"/>
      <c r="E17" s="150"/>
      <c r="F17" s="150"/>
      <c r="G17" s="150"/>
      <c r="H17" s="150"/>
      <c r="I17" s="150"/>
      <c r="J17" s="150"/>
      <c r="K17" s="150"/>
      <c r="L17" s="150"/>
      <c r="M17" s="150"/>
      <c r="N17" s="150"/>
      <c r="O17" s="150"/>
      <c r="P17" s="150"/>
      <c r="Q17" s="150"/>
      <c r="R17" s="150"/>
      <c r="S17" s="150"/>
      <c r="T17" s="150"/>
      <c r="U17" s="150"/>
      <c r="V17" s="150"/>
      <c r="W17" s="150"/>
      <c r="X17" s="150"/>
      <c r="Y17" s="150"/>
      <c r="Z17" s="150"/>
    </row>
    <row r="18" spans="1:26">
      <c r="A18" s="58" t="s">
        <v>7</v>
      </c>
      <c r="B18" s="58" t="s">
        <v>1647</v>
      </c>
      <c r="C18" s="58"/>
      <c r="D18" s="58"/>
      <c r="E18" s="58"/>
      <c r="F18" s="58"/>
      <c r="G18" s="58"/>
      <c r="H18" s="58"/>
      <c r="I18" s="58"/>
      <c r="J18" s="58"/>
      <c r="K18" s="58"/>
      <c r="L18" s="58"/>
      <c r="M18" s="58"/>
      <c r="N18" s="58"/>
      <c r="O18" s="58"/>
      <c r="P18" s="58"/>
      <c r="Q18" s="58"/>
      <c r="R18" s="58"/>
      <c r="S18" s="58"/>
      <c r="T18" s="58"/>
      <c r="U18" s="58"/>
      <c r="V18" s="58"/>
      <c r="W18" s="58"/>
      <c r="X18" s="58"/>
      <c r="Y18" s="58"/>
      <c r="Z18" s="58"/>
    </row>
    <row r="19" spans="1:26">
      <c r="A19" s="58" t="s">
        <v>9</v>
      </c>
      <c r="B19" s="179" t="s">
        <v>1648</v>
      </c>
      <c r="C19" s="58"/>
      <c r="D19" s="58"/>
      <c r="E19" s="58"/>
      <c r="F19" s="58"/>
      <c r="G19" s="58"/>
      <c r="H19" s="58"/>
      <c r="I19" s="58"/>
      <c r="J19" s="58"/>
      <c r="K19" s="58"/>
      <c r="L19" s="58"/>
      <c r="M19" s="58"/>
      <c r="N19" s="58"/>
      <c r="O19" s="58"/>
      <c r="P19" s="58"/>
      <c r="Q19" s="58"/>
      <c r="R19" s="58"/>
      <c r="S19" s="58"/>
      <c r="T19" s="58"/>
      <c r="U19" s="58"/>
      <c r="V19" s="58"/>
      <c r="W19" s="58"/>
      <c r="X19" s="58"/>
      <c r="Y19" s="58"/>
      <c r="Z19" s="58"/>
    </row>
    <row r="20" spans="1:26">
      <c r="A20" s="58" t="s">
        <v>11</v>
      </c>
      <c r="B20" s="58" t="s">
        <v>233</v>
      </c>
      <c r="C20" s="58"/>
      <c r="D20" s="58"/>
      <c r="E20" s="58"/>
      <c r="F20" s="58"/>
      <c r="G20" s="58"/>
      <c r="H20" s="58"/>
      <c r="I20" s="58"/>
      <c r="J20" s="58"/>
      <c r="K20" s="58"/>
      <c r="L20" s="58"/>
      <c r="M20" s="58"/>
      <c r="N20" s="58"/>
      <c r="O20" s="58"/>
      <c r="P20" s="58"/>
      <c r="Q20" s="58"/>
      <c r="R20" s="58"/>
      <c r="S20" s="58"/>
      <c r="T20" s="58"/>
      <c r="U20" s="58"/>
      <c r="V20" s="58"/>
      <c r="W20" s="58"/>
      <c r="X20" s="58"/>
      <c r="Y20" s="58"/>
      <c r="Z20" s="58"/>
    </row>
    <row r="21" spans="1:26">
      <c r="A21" s="58" t="s">
        <v>13</v>
      </c>
      <c r="B21" s="58" t="s">
        <v>59</v>
      </c>
      <c r="C21" s="58"/>
      <c r="D21" s="58"/>
      <c r="E21" s="58"/>
      <c r="F21" s="58"/>
      <c r="G21" s="58"/>
      <c r="H21" s="58"/>
      <c r="I21" s="58"/>
      <c r="J21" s="58"/>
      <c r="K21" s="58"/>
      <c r="L21" s="58"/>
      <c r="M21" s="58"/>
      <c r="N21" s="58"/>
      <c r="O21" s="58"/>
      <c r="P21" s="58"/>
      <c r="Q21" s="58"/>
      <c r="R21" s="58"/>
      <c r="S21" s="58"/>
      <c r="T21" s="58"/>
      <c r="U21" s="58"/>
      <c r="V21" s="58"/>
      <c r="W21" s="58"/>
      <c r="X21" s="58"/>
      <c r="Y21" s="58"/>
      <c r="Z21" s="58"/>
    </row>
    <row r="22" spans="1:26">
      <c r="A22" s="58" t="s">
        <v>15</v>
      </c>
      <c r="B22" s="58">
        <v>1</v>
      </c>
      <c r="C22" s="58"/>
      <c r="D22" s="58"/>
      <c r="E22" s="58"/>
      <c r="F22" s="58"/>
      <c r="G22" s="58"/>
      <c r="H22" s="58"/>
      <c r="I22" s="58"/>
      <c r="J22" s="58"/>
      <c r="K22" s="58"/>
      <c r="L22" s="58"/>
      <c r="M22" s="58"/>
      <c r="N22" s="58"/>
      <c r="O22" s="58"/>
      <c r="P22" s="58"/>
      <c r="Q22" s="58"/>
      <c r="R22" s="58"/>
      <c r="S22" s="58"/>
      <c r="T22" s="58"/>
      <c r="U22" s="58"/>
      <c r="V22" s="58"/>
      <c r="W22" s="58"/>
      <c r="X22" s="58"/>
      <c r="Y22" s="58"/>
      <c r="Z22" s="58"/>
    </row>
    <row r="23" spans="1:26">
      <c r="A23" s="58" t="s">
        <v>16</v>
      </c>
      <c r="B23" s="58" t="s">
        <v>17</v>
      </c>
      <c r="C23" s="58"/>
      <c r="D23" s="58"/>
      <c r="E23" s="58"/>
      <c r="F23" s="58"/>
      <c r="G23" s="58"/>
      <c r="H23" s="58"/>
      <c r="I23" s="58"/>
      <c r="J23" s="58"/>
      <c r="K23" s="58"/>
      <c r="L23" s="58"/>
      <c r="M23" s="58"/>
      <c r="N23" s="58"/>
      <c r="O23" s="58"/>
      <c r="P23" s="58"/>
      <c r="Q23" s="58"/>
      <c r="R23" s="58"/>
      <c r="S23" s="58"/>
      <c r="T23" s="58"/>
      <c r="U23" s="58"/>
      <c r="V23" s="58"/>
      <c r="W23" s="58"/>
      <c r="X23" s="58"/>
      <c r="Y23" s="58"/>
      <c r="Z23" s="58"/>
    </row>
    <row r="24" spans="1:26" ht="15.6">
      <c r="A24" s="58" t="s">
        <v>18</v>
      </c>
      <c r="B24" s="180" t="s">
        <v>18</v>
      </c>
      <c r="C24" s="58"/>
      <c r="D24" s="58"/>
      <c r="E24" s="58" t="s">
        <v>185</v>
      </c>
      <c r="F24" s="58"/>
      <c r="G24" s="58"/>
      <c r="H24" s="58"/>
      <c r="I24" s="58"/>
      <c r="J24" s="58"/>
      <c r="K24" s="58"/>
      <c r="L24" s="58"/>
      <c r="M24" s="58"/>
      <c r="N24" s="58"/>
      <c r="O24" s="58"/>
      <c r="P24" s="58"/>
      <c r="Q24" s="58"/>
      <c r="R24" s="58"/>
      <c r="S24" s="58"/>
      <c r="T24" s="58"/>
      <c r="U24" s="58"/>
      <c r="V24" s="58"/>
      <c r="W24" s="58"/>
      <c r="X24" s="58"/>
      <c r="Y24" s="58"/>
      <c r="Z24" s="58"/>
    </row>
    <row r="25" spans="1:26" ht="15.6">
      <c r="A25" s="181" t="s">
        <v>19</v>
      </c>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spans="1:2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c r="Q26" s="58"/>
      <c r="R26" s="58"/>
      <c r="S26" s="58"/>
      <c r="T26" s="58"/>
      <c r="U26" s="58"/>
      <c r="V26" s="58"/>
      <c r="W26" s="58"/>
      <c r="X26" s="58"/>
      <c r="Y26" s="58"/>
      <c r="Z26" s="58"/>
    </row>
    <row r="27" spans="1:26" ht="15.6">
      <c r="A27" s="180" t="s">
        <v>1649</v>
      </c>
      <c r="B27" s="180">
        <v>1</v>
      </c>
      <c r="C27" s="180"/>
      <c r="D27" s="180" t="s">
        <v>18</v>
      </c>
      <c r="E27" s="58" t="s">
        <v>2</v>
      </c>
      <c r="F27" s="58" t="s">
        <v>1650</v>
      </c>
      <c r="G27" s="180" t="s">
        <v>59</v>
      </c>
      <c r="H27" s="58" t="s">
        <v>30</v>
      </c>
      <c r="I27" s="58">
        <v>0</v>
      </c>
      <c r="J27" s="180" t="s">
        <v>31</v>
      </c>
      <c r="K27" s="180" t="s">
        <v>31</v>
      </c>
      <c r="L27" s="180" t="s">
        <v>31</v>
      </c>
      <c r="M27" s="180" t="s">
        <v>31</v>
      </c>
      <c r="N27" s="180" t="s">
        <v>31</v>
      </c>
      <c r="O27" s="58"/>
      <c r="P27" s="58"/>
      <c r="Q27" s="58"/>
      <c r="R27" s="58"/>
      <c r="S27" s="58"/>
      <c r="T27" s="58"/>
      <c r="U27" s="58"/>
      <c r="V27" s="58"/>
      <c r="W27" s="58"/>
      <c r="X27" s="58"/>
      <c r="Y27" s="58"/>
      <c r="Z27" s="58"/>
    </row>
    <row r="28" spans="1:26" ht="15.6">
      <c r="A28" s="58" t="s">
        <v>135</v>
      </c>
      <c r="B28" s="58">
        <v>-9236.4320000000007</v>
      </c>
      <c r="C28" s="180"/>
      <c r="D28" s="180" t="s">
        <v>37</v>
      </c>
      <c r="E28" s="189" t="s">
        <v>40</v>
      </c>
      <c r="F28" s="58" t="s">
        <v>29</v>
      </c>
      <c r="G28" s="180" t="s">
        <v>82</v>
      </c>
      <c r="H28" s="58" t="s">
        <v>33</v>
      </c>
      <c r="I28" s="58">
        <v>0</v>
      </c>
      <c r="J28" s="180" t="s">
        <v>31</v>
      </c>
      <c r="K28" s="180" t="s">
        <v>31</v>
      </c>
      <c r="L28" s="180" t="s">
        <v>31</v>
      </c>
      <c r="M28" s="180" t="s">
        <v>31</v>
      </c>
      <c r="N28" s="180" t="s">
        <v>31</v>
      </c>
      <c r="O28" s="58"/>
      <c r="P28" s="58" t="s">
        <v>235</v>
      </c>
      <c r="Q28" s="58"/>
      <c r="R28" s="58" t="s">
        <v>236</v>
      </c>
      <c r="S28" s="58"/>
      <c r="T28" s="58"/>
      <c r="U28" s="58"/>
      <c r="V28" s="58"/>
      <c r="W28" s="58"/>
      <c r="X28" s="58"/>
      <c r="Y28" s="58"/>
      <c r="Z28" s="58"/>
    </row>
    <row r="29" spans="1:26" ht="15.6">
      <c r="A29" s="58" t="s">
        <v>237</v>
      </c>
      <c r="B29" s="58">
        <f>-B28*0.9</f>
        <v>8312.7888000000003</v>
      </c>
      <c r="C29" s="180"/>
      <c r="D29" s="180" t="s">
        <v>37</v>
      </c>
      <c r="E29" s="189" t="s">
        <v>40</v>
      </c>
      <c r="F29" s="58" t="s">
        <v>29</v>
      </c>
      <c r="G29" s="180" t="s">
        <v>59</v>
      </c>
      <c r="H29" s="58" t="s">
        <v>136</v>
      </c>
      <c r="I29" s="58">
        <v>0</v>
      </c>
      <c r="J29" s="180" t="s">
        <v>31</v>
      </c>
      <c r="K29" s="180" t="s">
        <v>31</v>
      </c>
      <c r="L29" s="180" t="s">
        <v>31</v>
      </c>
      <c r="M29" s="180" t="s">
        <v>31</v>
      </c>
      <c r="N29" s="180" t="s">
        <v>31</v>
      </c>
      <c r="O29" s="58"/>
      <c r="P29" s="58" t="s">
        <v>206</v>
      </c>
      <c r="Q29" s="58"/>
      <c r="R29" s="58" t="s">
        <v>236</v>
      </c>
      <c r="S29" s="58"/>
      <c r="T29" s="58"/>
      <c r="U29" s="58"/>
      <c r="V29" s="58"/>
      <c r="W29" s="58"/>
      <c r="X29" s="58"/>
      <c r="Y29" s="58"/>
      <c r="Z29" s="58"/>
    </row>
    <row r="30" spans="1:26" ht="15.6">
      <c r="A30" s="58" t="s">
        <v>210</v>
      </c>
      <c r="B30" s="58">
        <f>B28+B29</f>
        <v>-923.64320000000043</v>
      </c>
      <c r="C30" s="58"/>
      <c r="D30" s="58" t="s">
        <v>37</v>
      </c>
      <c r="E30" s="189" t="s">
        <v>40</v>
      </c>
      <c r="F30" s="58" t="s">
        <v>1650</v>
      </c>
      <c r="G30" s="58" t="s">
        <v>59</v>
      </c>
      <c r="H30" s="58" t="s">
        <v>33</v>
      </c>
      <c r="I30" s="58">
        <v>0</v>
      </c>
      <c r="J30" s="58" t="s">
        <v>31</v>
      </c>
      <c r="K30" s="58" t="s">
        <v>31</v>
      </c>
      <c r="L30" s="58" t="s">
        <v>31</v>
      </c>
      <c r="M30" s="58" t="s">
        <v>31</v>
      </c>
      <c r="N30" s="58" t="s">
        <v>31</v>
      </c>
      <c r="O30" s="180"/>
      <c r="P30" s="58" t="s">
        <v>238</v>
      </c>
      <c r="Q30" s="58"/>
      <c r="R30" s="58" t="s">
        <v>236</v>
      </c>
      <c r="S30" s="58"/>
      <c r="T30" s="58"/>
      <c r="U30" s="58"/>
      <c r="V30" s="58"/>
      <c r="W30" s="58"/>
      <c r="X30" s="58"/>
      <c r="Y30" s="58"/>
      <c r="Z30" s="58"/>
    </row>
    <row r="31" spans="1:26" ht="15.6">
      <c r="A31" s="178" t="s">
        <v>5</v>
      </c>
      <c r="B31" s="178" t="str">
        <f>A41</f>
        <v>treatment of ferrite ,Battery charging station, Gt-bat, Long-term</v>
      </c>
      <c r="C31" s="178"/>
      <c r="D31" s="74"/>
      <c r="E31" s="150"/>
      <c r="F31" s="150"/>
      <c r="G31" s="150"/>
      <c r="H31" s="150"/>
      <c r="I31" s="150"/>
      <c r="J31" s="150"/>
      <c r="K31" s="150"/>
      <c r="L31" s="150"/>
      <c r="M31" s="150"/>
      <c r="N31" s="150"/>
      <c r="O31" s="150"/>
      <c r="P31" s="150"/>
      <c r="Q31" s="150"/>
      <c r="R31" s="150"/>
      <c r="S31" s="150"/>
      <c r="T31" s="150"/>
      <c r="U31" s="150"/>
      <c r="V31" s="150"/>
      <c r="W31" s="150"/>
      <c r="X31" s="150"/>
      <c r="Y31" s="150"/>
      <c r="Z31" s="150"/>
    </row>
    <row r="32" spans="1:26">
      <c r="A32" s="58" t="s">
        <v>7</v>
      </c>
      <c r="B32" s="58" t="s">
        <v>1647</v>
      </c>
      <c r="C32" s="58"/>
      <c r="D32" s="58"/>
      <c r="E32" s="58"/>
      <c r="F32" s="58"/>
      <c r="G32" s="58"/>
      <c r="H32" s="58"/>
      <c r="I32" s="58"/>
      <c r="J32" s="58"/>
      <c r="K32" s="58"/>
      <c r="L32" s="58"/>
      <c r="M32" s="58"/>
      <c r="N32" s="58"/>
      <c r="O32" s="58"/>
      <c r="P32" s="58"/>
      <c r="Q32" s="58"/>
      <c r="R32" s="58"/>
      <c r="S32" s="58"/>
      <c r="T32" s="58"/>
      <c r="U32" s="58"/>
      <c r="V32" s="58"/>
      <c r="W32" s="58"/>
      <c r="X32" s="58"/>
      <c r="Y32" s="58"/>
      <c r="Z32" s="58"/>
    </row>
    <row r="33" spans="1:26">
      <c r="A33" s="58" t="s">
        <v>9</v>
      </c>
      <c r="B33" s="179" t="s">
        <v>1651</v>
      </c>
      <c r="C33" s="58"/>
      <c r="D33" s="58"/>
      <c r="E33" s="58"/>
      <c r="F33" s="58"/>
      <c r="G33" s="58"/>
      <c r="H33" s="58"/>
      <c r="I33" s="58"/>
      <c r="J33" s="58"/>
      <c r="K33" s="58"/>
      <c r="L33" s="58"/>
      <c r="M33" s="58"/>
      <c r="N33" s="58"/>
      <c r="O33" s="58"/>
      <c r="P33" s="58"/>
      <c r="Q33" s="58"/>
      <c r="R33" s="58"/>
      <c r="S33" s="58"/>
      <c r="T33" s="58"/>
      <c r="U33" s="58"/>
      <c r="V33" s="58"/>
      <c r="W33" s="58"/>
      <c r="X33" s="58"/>
      <c r="Y33" s="58"/>
      <c r="Z33" s="58"/>
    </row>
    <row r="34" spans="1:26">
      <c r="A34" s="58" t="s">
        <v>11</v>
      </c>
      <c r="B34" s="58" t="s">
        <v>233</v>
      </c>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c r="A35" s="58" t="s">
        <v>13</v>
      </c>
      <c r="B35" s="58" t="s">
        <v>59</v>
      </c>
      <c r="C35" s="58"/>
      <c r="D35" s="58"/>
      <c r="E35" s="58"/>
      <c r="F35" s="58"/>
      <c r="G35" s="58"/>
      <c r="H35" s="58"/>
      <c r="I35" s="58"/>
      <c r="J35" s="58"/>
      <c r="K35" s="58"/>
      <c r="L35" s="58"/>
      <c r="M35" s="58"/>
      <c r="N35" s="58"/>
      <c r="O35" s="58"/>
      <c r="P35" s="58"/>
      <c r="Q35" s="58"/>
      <c r="R35" s="58"/>
      <c r="S35" s="58"/>
      <c r="T35" s="58"/>
      <c r="U35" s="58"/>
      <c r="V35" s="58"/>
      <c r="W35" s="58"/>
      <c r="X35" s="58"/>
      <c r="Y35" s="58"/>
      <c r="Z35" s="58"/>
    </row>
    <row r="36" spans="1:26">
      <c r="A36" s="58" t="s">
        <v>15</v>
      </c>
      <c r="B36" s="58">
        <v>1</v>
      </c>
      <c r="C36" s="58"/>
      <c r="D36" s="58"/>
      <c r="E36" s="58"/>
      <c r="F36" s="58"/>
      <c r="G36" s="58"/>
      <c r="H36" s="58"/>
      <c r="I36" s="58"/>
      <c r="J36" s="58"/>
      <c r="K36" s="58"/>
      <c r="L36" s="58"/>
      <c r="M36" s="58"/>
      <c r="N36" s="58"/>
      <c r="O36" s="58"/>
      <c r="P36" s="58"/>
      <c r="Q36" s="58"/>
      <c r="R36" s="58"/>
      <c r="S36" s="58"/>
      <c r="T36" s="58"/>
      <c r="U36" s="58"/>
      <c r="V36" s="58"/>
      <c r="W36" s="58"/>
      <c r="X36" s="58"/>
      <c r="Y36" s="58"/>
      <c r="Z36" s="58"/>
    </row>
    <row r="37" spans="1:26">
      <c r="A37" s="58" t="s">
        <v>16</v>
      </c>
      <c r="B37" s="58" t="s">
        <v>17</v>
      </c>
      <c r="C37" s="58"/>
      <c r="D37" s="58"/>
      <c r="E37" s="58"/>
      <c r="F37" s="58"/>
      <c r="G37" s="58"/>
      <c r="H37" s="58"/>
      <c r="I37" s="58"/>
      <c r="J37" s="58"/>
      <c r="K37" s="58"/>
      <c r="L37" s="58"/>
      <c r="M37" s="58"/>
      <c r="N37" s="58"/>
      <c r="O37" s="58"/>
      <c r="P37" s="58"/>
      <c r="Q37" s="58"/>
      <c r="R37" s="58"/>
      <c r="S37" s="58"/>
      <c r="T37" s="58"/>
      <c r="U37" s="58"/>
      <c r="V37" s="58"/>
      <c r="W37" s="58"/>
      <c r="X37" s="58"/>
      <c r="Y37" s="58"/>
      <c r="Z37" s="58"/>
    </row>
    <row r="38" spans="1:26" ht="15.6">
      <c r="A38" s="58" t="s">
        <v>18</v>
      </c>
      <c r="B38" s="180" t="s">
        <v>18</v>
      </c>
      <c r="C38" s="58"/>
      <c r="D38" s="58"/>
      <c r="E38" s="58" t="s">
        <v>185</v>
      </c>
      <c r="F38" s="58"/>
      <c r="G38" s="58"/>
      <c r="H38" s="58"/>
      <c r="I38" s="58"/>
      <c r="J38" s="58"/>
      <c r="K38" s="58"/>
      <c r="L38" s="58"/>
      <c r="M38" s="58"/>
      <c r="N38" s="58"/>
      <c r="O38" s="58"/>
      <c r="P38" s="58"/>
      <c r="Q38" s="58"/>
      <c r="R38" s="58"/>
      <c r="S38" s="58"/>
      <c r="T38" s="58"/>
      <c r="U38" s="58"/>
      <c r="V38" s="58"/>
      <c r="W38" s="58"/>
      <c r="X38" s="58"/>
      <c r="Y38" s="58"/>
      <c r="Z38" s="58"/>
    </row>
    <row r="39" spans="1:26" ht="15.6">
      <c r="A39" s="181" t="s">
        <v>19</v>
      </c>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c r="Q40" s="58"/>
      <c r="R40" s="58"/>
      <c r="S40" s="58"/>
      <c r="T40" s="58"/>
      <c r="U40" s="58"/>
      <c r="V40" s="58"/>
      <c r="W40" s="58"/>
      <c r="X40" s="58"/>
      <c r="Y40" s="58"/>
      <c r="Z40" s="58"/>
    </row>
    <row r="41" spans="1:26" ht="15.6">
      <c r="A41" s="180" t="s">
        <v>1652</v>
      </c>
      <c r="B41" s="180">
        <v>1</v>
      </c>
      <c r="C41" s="180"/>
      <c r="D41" s="180" t="s">
        <v>18</v>
      </c>
      <c r="E41" s="58" t="s">
        <v>2</v>
      </c>
      <c r="F41" s="58" t="s">
        <v>29</v>
      </c>
      <c r="G41" s="180" t="s">
        <v>59</v>
      </c>
      <c r="H41" s="58" t="s">
        <v>30</v>
      </c>
      <c r="I41" s="58">
        <v>0</v>
      </c>
      <c r="J41" s="180" t="s">
        <v>31</v>
      </c>
      <c r="K41" s="180" t="s">
        <v>31</v>
      </c>
      <c r="L41" s="180" t="s">
        <v>31</v>
      </c>
      <c r="M41" s="180" t="s">
        <v>31</v>
      </c>
      <c r="N41" s="180" t="s">
        <v>31</v>
      </c>
      <c r="O41" s="58"/>
      <c r="P41" s="58"/>
      <c r="Q41" s="58"/>
      <c r="R41" s="58"/>
      <c r="S41" s="58"/>
      <c r="T41" s="58"/>
      <c r="U41" s="58"/>
      <c r="V41" s="58"/>
      <c r="W41" s="58"/>
      <c r="X41" s="58"/>
      <c r="Y41" s="58"/>
      <c r="Z41" s="58"/>
    </row>
    <row r="42" spans="1:26" ht="15.6">
      <c r="A42" s="84" t="s">
        <v>1653</v>
      </c>
      <c r="B42">
        <v>-36149.760000000002</v>
      </c>
      <c r="C42" s="84"/>
      <c r="D42" s="180" t="s">
        <v>37</v>
      </c>
      <c r="E42" s="189" t="s">
        <v>40</v>
      </c>
      <c r="F42" s="58" t="s">
        <v>29</v>
      </c>
      <c r="G42" s="180" t="s">
        <v>82</v>
      </c>
      <c r="H42" s="58" t="s">
        <v>33</v>
      </c>
      <c r="I42" s="58">
        <v>0</v>
      </c>
      <c r="J42" s="180" t="s">
        <v>31</v>
      </c>
      <c r="K42" s="180" t="s">
        <v>31</v>
      </c>
      <c r="L42" s="180" t="s">
        <v>31</v>
      </c>
      <c r="M42" s="180" t="s">
        <v>31</v>
      </c>
      <c r="N42" s="180" t="s">
        <v>31</v>
      </c>
      <c r="O42" s="58"/>
      <c r="P42" s="58"/>
      <c r="Q42" s="58"/>
      <c r="R42" s="58"/>
      <c r="S42" s="58"/>
      <c r="T42" s="58"/>
      <c r="U42" s="58"/>
      <c r="V42" s="58"/>
      <c r="W42" s="58"/>
      <c r="X42" s="58"/>
      <c r="Y42" s="58"/>
      <c r="Z42" s="58"/>
    </row>
    <row r="43" spans="1:26" ht="15.6">
      <c r="A43" s="190" t="s">
        <v>1654</v>
      </c>
      <c r="B43" s="58">
        <f>B42*0.47</f>
        <v>-16990.387200000001</v>
      </c>
      <c r="C43" s="180"/>
      <c r="D43" s="180" t="s">
        <v>37</v>
      </c>
      <c r="E43" s="189" t="s">
        <v>40</v>
      </c>
      <c r="F43" s="58" t="s">
        <v>29</v>
      </c>
      <c r="G43" s="180" t="s">
        <v>59</v>
      </c>
      <c r="H43" s="58" t="s">
        <v>136</v>
      </c>
      <c r="I43" s="58">
        <v>0</v>
      </c>
      <c r="J43" s="180" t="s">
        <v>31</v>
      </c>
      <c r="K43" s="180" t="s">
        <v>31</v>
      </c>
      <c r="L43" s="180" t="s">
        <v>31</v>
      </c>
      <c r="M43" s="180" t="s">
        <v>31</v>
      </c>
      <c r="N43" s="180" t="s">
        <v>31</v>
      </c>
      <c r="O43" s="58"/>
      <c r="P43" s="58" t="s">
        <v>1655</v>
      </c>
      <c r="Q43" s="58"/>
      <c r="R43" s="58"/>
      <c r="S43" s="58"/>
      <c r="T43" s="58"/>
      <c r="U43" s="58"/>
      <c r="V43" s="58"/>
      <c r="W43" s="58"/>
      <c r="X43" s="58"/>
      <c r="Y43" s="58"/>
      <c r="Z43" s="58"/>
    </row>
    <row r="44" spans="1:26" ht="15.6">
      <c r="A44" s="58" t="s">
        <v>210</v>
      </c>
      <c r="B44" s="58">
        <f>-(B42-B43)</f>
        <v>19159.372800000001</v>
      </c>
      <c r="C44" s="58"/>
      <c r="D44" s="58" t="s">
        <v>37</v>
      </c>
      <c r="E44" s="189" t="s">
        <v>40</v>
      </c>
      <c r="F44" s="58" t="s">
        <v>1650</v>
      </c>
      <c r="G44" s="58" t="s">
        <v>59</v>
      </c>
      <c r="H44" s="58" t="s">
        <v>33</v>
      </c>
      <c r="I44" s="58">
        <v>0</v>
      </c>
      <c r="J44" s="58" t="s">
        <v>31</v>
      </c>
      <c r="K44" s="58" t="s">
        <v>31</v>
      </c>
      <c r="L44" s="58" t="s">
        <v>31</v>
      </c>
      <c r="M44" s="58" t="s">
        <v>31</v>
      </c>
      <c r="N44" s="58" t="s">
        <v>31</v>
      </c>
      <c r="O44" s="180"/>
      <c r="P44" s="58"/>
      <c r="Q44" s="58"/>
      <c r="R44" s="58"/>
      <c r="S44" s="58"/>
      <c r="T44" s="58"/>
      <c r="U44" s="58"/>
      <c r="V44" s="58"/>
      <c r="W44" s="58"/>
      <c r="X44" s="58"/>
      <c r="Y44" s="58"/>
      <c r="Z44" s="58"/>
    </row>
    <row r="45" spans="1:26" ht="15.6">
      <c r="A45" s="178" t="s">
        <v>5</v>
      </c>
      <c r="B45" s="178" t="str">
        <f>A55</f>
        <v>treatment of electronic components and cables ,Battery charging station, Gt-bat, Long-term</v>
      </c>
      <c r="C45" s="178"/>
      <c r="D45" s="74"/>
      <c r="E45" s="150"/>
      <c r="F45" s="150"/>
      <c r="G45" s="150"/>
      <c r="H45" s="150"/>
      <c r="I45" s="150"/>
      <c r="J45" s="150"/>
      <c r="K45" s="150"/>
      <c r="L45" s="150"/>
      <c r="M45" s="150"/>
      <c r="N45" s="150"/>
      <c r="O45" s="150"/>
      <c r="P45" s="150"/>
      <c r="Q45" s="150"/>
      <c r="R45" s="150"/>
      <c r="S45" s="150"/>
      <c r="T45" s="150"/>
      <c r="U45" s="150"/>
      <c r="V45" s="150"/>
      <c r="W45" s="150"/>
      <c r="X45" s="150"/>
      <c r="Y45" s="150"/>
      <c r="Z45" s="150"/>
    </row>
    <row r="46" spans="1:26">
      <c r="A46" s="58" t="s">
        <v>7</v>
      </c>
      <c r="B46" s="58" t="s">
        <v>1647</v>
      </c>
      <c r="C46" s="58"/>
      <c r="D46" s="58"/>
      <c r="E46" s="58"/>
      <c r="F46" s="58"/>
      <c r="G46" s="58"/>
      <c r="H46" s="58"/>
      <c r="I46" s="58"/>
      <c r="J46" s="58"/>
      <c r="K46" s="58"/>
      <c r="L46" s="58"/>
      <c r="M46" s="58"/>
      <c r="N46" s="58"/>
      <c r="O46" s="58"/>
      <c r="P46" s="58"/>
      <c r="Q46" s="58"/>
      <c r="R46" s="58"/>
      <c r="S46" s="58"/>
      <c r="T46" s="58"/>
      <c r="U46" s="58"/>
      <c r="V46" s="58"/>
      <c r="W46" s="58"/>
      <c r="X46" s="58"/>
      <c r="Y46" s="58"/>
      <c r="Z46" s="58"/>
    </row>
    <row r="47" spans="1:26">
      <c r="A47" s="58" t="s">
        <v>9</v>
      </c>
      <c r="B47" s="179" t="s">
        <v>1656</v>
      </c>
      <c r="C47" s="58"/>
      <c r="D47" s="58"/>
      <c r="E47" s="58"/>
      <c r="F47" s="58"/>
      <c r="G47" s="58"/>
      <c r="H47" s="58"/>
      <c r="I47" s="58"/>
      <c r="J47" s="58"/>
      <c r="K47" s="58"/>
      <c r="L47" s="58"/>
      <c r="M47" s="58"/>
      <c r="N47" s="58"/>
      <c r="O47" s="58"/>
      <c r="P47" s="58"/>
      <c r="Q47" s="58"/>
      <c r="R47" s="58"/>
      <c r="S47" s="58"/>
      <c r="T47" s="58"/>
      <c r="U47" s="58"/>
      <c r="V47" s="58"/>
      <c r="W47" s="58"/>
      <c r="X47" s="58"/>
      <c r="Y47" s="58"/>
      <c r="Z47" s="58"/>
    </row>
    <row r="48" spans="1:26">
      <c r="A48" s="58" t="s">
        <v>11</v>
      </c>
      <c r="B48" s="58" t="s">
        <v>233</v>
      </c>
      <c r="C48" s="58"/>
      <c r="D48" s="58"/>
      <c r="E48" s="58"/>
      <c r="F48" s="58"/>
      <c r="G48" s="58"/>
      <c r="H48" s="58"/>
      <c r="I48" s="58"/>
      <c r="J48" s="58"/>
      <c r="K48" s="58"/>
      <c r="L48" s="58"/>
      <c r="M48" s="58"/>
      <c r="N48" s="58"/>
      <c r="O48" s="58"/>
      <c r="P48" s="58"/>
      <c r="Q48" s="58"/>
      <c r="R48" s="58"/>
      <c r="S48" s="58"/>
      <c r="T48" s="58"/>
      <c r="U48" s="58"/>
      <c r="V48" s="58"/>
      <c r="W48" s="58"/>
      <c r="X48" s="58"/>
      <c r="Y48" s="58"/>
      <c r="Z48" s="58"/>
    </row>
    <row r="49" spans="1:26">
      <c r="A49" s="58" t="s">
        <v>13</v>
      </c>
      <c r="B49" s="58" t="s">
        <v>59</v>
      </c>
      <c r="C49" s="58"/>
      <c r="D49" s="58"/>
      <c r="E49" s="58"/>
      <c r="F49" s="58"/>
      <c r="G49" s="58"/>
      <c r="H49" s="58"/>
      <c r="I49" s="58"/>
      <c r="J49" s="58"/>
      <c r="K49" s="58"/>
      <c r="L49" s="58"/>
      <c r="M49" s="58"/>
      <c r="N49" s="58"/>
      <c r="O49" s="58"/>
      <c r="P49" s="58"/>
      <c r="Q49" s="58"/>
      <c r="R49" s="58"/>
      <c r="S49" s="58"/>
      <c r="T49" s="58"/>
      <c r="U49" s="58"/>
      <c r="V49" s="58"/>
      <c r="W49" s="58"/>
      <c r="X49" s="58"/>
      <c r="Y49" s="58"/>
      <c r="Z49" s="58"/>
    </row>
    <row r="50" spans="1:26">
      <c r="A50" s="58" t="s">
        <v>15</v>
      </c>
      <c r="B50" s="58">
        <v>1</v>
      </c>
      <c r="C50" s="58"/>
      <c r="D50" s="58"/>
      <c r="E50" s="58"/>
      <c r="F50" s="58"/>
      <c r="G50" s="58"/>
      <c r="H50" s="58"/>
      <c r="I50" s="58"/>
      <c r="J50" s="58"/>
      <c r="K50" s="58"/>
      <c r="L50" s="58"/>
      <c r="M50" s="58"/>
      <c r="N50" s="58"/>
      <c r="O50" s="58"/>
      <c r="P50" s="58"/>
      <c r="Q50" s="58"/>
      <c r="R50" s="58"/>
      <c r="S50" s="58"/>
      <c r="T50" s="58"/>
      <c r="U50" s="58"/>
      <c r="V50" s="58"/>
      <c r="W50" s="58"/>
      <c r="X50" s="58"/>
      <c r="Y50" s="58"/>
      <c r="Z50" s="58"/>
    </row>
    <row r="51" spans="1:26">
      <c r="A51" s="58" t="s">
        <v>16</v>
      </c>
      <c r="B51" s="58" t="s">
        <v>17</v>
      </c>
      <c r="C51" s="58"/>
      <c r="D51" s="58"/>
      <c r="E51" s="58"/>
      <c r="F51" s="58"/>
      <c r="G51" s="58"/>
      <c r="H51" s="58"/>
      <c r="I51" s="58"/>
      <c r="J51" s="58"/>
      <c r="K51" s="58"/>
      <c r="L51" s="58"/>
      <c r="M51" s="58"/>
      <c r="N51" s="58"/>
      <c r="O51" s="58"/>
      <c r="P51" s="58"/>
      <c r="Q51" s="58"/>
      <c r="R51" s="58"/>
      <c r="S51" s="58"/>
      <c r="T51" s="58"/>
      <c r="U51" s="58"/>
      <c r="V51" s="58"/>
      <c r="W51" s="58"/>
      <c r="X51" s="58"/>
      <c r="Y51" s="58"/>
      <c r="Z51" s="58"/>
    </row>
    <row r="52" spans="1:26" ht="15.6">
      <c r="A52" s="58" t="s">
        <v>18</v>
      </c>
      <c r="B52" s="180" t="s">
        <v>18</v>
      </c>
      <c r="C52" s="58"/>
      <c r="D52" s="58"/>
      <c r="E52" s="58" t="s">
        <v>185</v>
      </c>
      <c r="F52" s="58"/>
      <c r="G52" s="58"/>
      <c r="H52" s="58"/>
      <c r="I52" s="58"/>
      <c r="J52" s="58"/>
      <c r="K52" s="58"/>
      <c r="L52" s="58"/>
      <c r="M52" s="58"/>
      <c r="N52" s="58"/>
      <c r="O52" s="58"/>
      <c r="P52" s="58"/>
      <c r="Q52" s="58"/>
      <c r="R52" s="58"/>
      <c r="S52" s="58"/>
      <c r="T52" s="58"/>
      <c r="U52" s="58"/>
      <c r="V52" s="58"/>
      <c r="W52" s="58"/>
      <c r="X52" s="58"/>
      <c r="Y52" s="58"/>
      <c r="Z52" s="58"/>
    </row>
    <row r="53" spans="1:26" ht="15.6">
      <c r="A53" s="181" t="s">
        <v>19</v>
      </c>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spans="1:2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c r="Q54" s="58"/>
      <c r="R54" s="58"/>
      <c r="S54" s="58"/>
      <c r="T54" s="58"/>
      <c r="U54" s="58"/>
      <c r="V54" s="58"/>
      <c r="W54" s="58"/>
      <c r="X54" s="58"/>
      <c r="Y54" s="58"/>
      <c r="Z54" s="58"/>
    </row>
    <row r="55" spans="1:26" ht="15.6">
      <c r="A55" s="180" t="s">
        <v>1657</v>
      </c>
      <c r="B55" s="180">
        <v>1</v>
      </c>
      <c r="C55" s="180"/>
      <c r="D55" s="180" t="s">
        <v>18</v>
      </c>
      <c r="E55" s="58" t="s">
        <v>2</v>
      </c>
      <c r="F55" s="58" t="s">
        <v>29</v>
      </c>
      <c r="G55" s="180" t="s">
        <v>59</v>
      </c>
      <c r="H55" s="58" t="s">
        <v>30</v>
      </c>
      <c r="I55" s="58">
        <v>0</v>
      </c>
      <c r="J55" s="180" t="s">
        <v>31</v>
      </c>
      <c r="K55" s="180" t="s">
        <v>31</v>
      </c>
      <c r="L55" s="180" t="s">
        <v>31</v>
      </c>
      <c r="M55" s="180" t="s">
        <v>31</v>
      </c>
      <c r="N55" s="180" t="s">
        <v>31</v>
      </c>
      <c r="O55" s="58"/>
      <c r="P55" s="58"/>
      <c r="Q55" s="58"/>
      <c r="R55" s="58"/>
      <c r="S55" s="58"/>
      <c r="T55" s="58"/>
      <c r="U55" s="58"/>
      <c r="V55" s="58"/>
      <c r="W55" s="58"/>
      <c r="X55" s="58"/>
      <c r="Y55" s="58"/>
      <c r="Z55" s="58"/>
    </row>
    <row r="56" spans="1:26" ht="15.6">
      <c r="A56" s="58" t="s">
        <v>194</v>
      </c>
      <c r="B56">
        <v>440</v>
      </c>
      <c r="D56" t="s">
        <v>37</v>
      </c>
      <c r="E56" s="189" t="s">
        <v>40</v>
      </c>
      <c r="F56" t="s">
        <v>29</v>
      </c>
      <c r="G56" t="s">
        <v>82</v>
      </c>
      <c r="H56" t="s">
        <v>33</v>
      </c>
      <c r="I56">
        <v>0</v>
      </c>
      <c r="J56" s="180" t="s">
        <v>31</v>
      </c>
      <c r="K56" s="180" t="s">
        <v>31</v>
      </c>
      <c r="L56" s="180" t="s">
        <v>31</v>
      </c>
      <c r="M56" s="180" t="s">
        <v>31</v>
      </c>
      <c r="N56" s="180" t="s">
        <v>31</v>
      </c>
    </row>
    <row r="57" spans="1:26" ht="15.6">
      <c r="A57" s="191" t="s">
        <v>757</v>
      </c>
      <c r="B57">
        <f>29679/2</f>
        <v>14839.5</v>
      </c>
      <c r="D57" t="s">
        <v>37</v>
      </c>
      <c r="E57" s="189" t="s">
        <v>40</v>
      </c>
      <c r="F57" s="58" t="s">
        <v>29</v>
      </c>
      <c r="G57" t="s">
        <v>59</v>
      </c>
      <c r="H57" s="58" t="s">
        <v>136</v>
      </c>
      <c r="I57">
        <v>0</v>
      </c>
      <c r="J57" s="180" t="s">
        <v>31</v>
      </c>
      <c r="K57" s="180" t="s">
        <v>31</v>
      </c>
      <c r="L57" s="180" t="s">
        <v>31</v>
      </c>
      <c r="M57" s="180" t="s">
        <v>31</v>
      </c>
      <c r="N57" s="180" t="s">
        <v>31</v>
      </c>
      <c r="O57" t="s">
        <v>1658</v>
      </c>
    </row>
    <row r="58" spans="1:26" ht="15.6">
      <c r="A58" s="178" t="s">
        <v>5</v>
      </c>
      <c r="B58" s="178" t="str">
        <f>A68</f>
        <v>treatment of remaining components,Battery charging station, GT-bat, Long-term</v>
      </c>
      <c r="C58" s="178"/>
      <c r="D58" s="74"/>
      <c r="E58" s="150"/>
      <c r="F58" s="150"/>
      <c r="G58" s="150"/>
      <c r="H58" s="150"/>
      <c r="I58" s="482"/>
      <c r="J58" s="482"/>
      <c r="K58" s="150"/>
      <c r="L58" s="150"/>
      <c r="M58" s="150"/>
      <c r="N58" s="150"/>
      <c r="O58" s="150"/>
      <c r="P58" s="150"/>
      <c r="Q58" s="150"/>
    </row>
    <row r="59" spans="1:26">
      <c r="A59" s="58" t="s">
        <v>7</v>
      </c>
      <c r="B59" s="58" t="s">
        <v>1634</v>
      </c>
      <c r="C59" s="58"/>
      <c r="D59" s="58"/>
      <c r="E59" s="58"/>
      <c r="F59" s="58"/>
      <c r="G59" s="58"/>
      <c r="H59" s="58"/>
      <c r="I59" s="483"/>
      <c r="J59" s="483"/>
      <c r="K59" s="58"/>
      <c r="L59" s="58"/>
      <c r="M59" s="58"/>
      <c r="N59" s="58"/>
      <c r="O59" s="58"/>
      <c r="P59" s="58"/>
      <c r="Q59" s="58"/>
    </row>
    <row r="60" spans="1:26">
      <c r="A60" s="58" t="s">
        <v>9</v>
      </c>
      <c r="B60" s="179" t="s">
        <v>1659</v>
      </c>
      <c r="C60" s="58"/>
      <c r="D60" s="58"/>
      <c r="E60" s="58"/>
      <c r="F60" s="58"/>
      <c r="G60" s="58"/>
      <c r="H60" s="58"/>
      <c r="I60" s="483"/>
      <c r="J60" s="483"/>
      <c r="K60" s="58"/>
      <c r="L60" s="58"/>
      <c r="M60" s="58"/>
      <c r="N60" s="58"/>
      <c r="O60" s="58"/>
      <c r="P60" s="58"/>
      <c r="Q60" s="58"/>
    </row>
    <row r="61" spans="1:26">
      <c r="A61" s="58" t="s">
        <v>11</v>
      </c>
      <c r="B61" s="58" t="s">
        <v>222</v>
      </c>
      <c r="C61" s="58"/>
      <c r="D61" s="58"/>
      <c r="E61" s="58"/>
      <c r="F61" s="58"/>
      <c r="G61" s="58"/>
      <c r="H61" s="58"/>
      <c r="I61" s="483"/>
      <c r="J61" s="483"/>
      <c r="K61" s="58"/>
      <c r="L61" s="58"/>
      <c r="M61" s="58"/>
      <c r="N61" s="58"/>
      <c r="O61" s="58"/>
      <c r="P61" s="58"/>
      <c r="Q61" s="58"/>
    </row>
    <row r="62" spans="1:26">
      <c r="A62" s="58" t="s">
        <v>13</v>
      </c>
      <c r="B62" s="58" t="s">
        <v>59</v>
      </c>
      <c r="C62" s="58"/>
      <c r="D62" s="58"/>
      <c r="E62" s="58"/>
      <c r="F62" s="58"/>
      <c r="G62" s="58"/>
      <c r="H62" s="58"/>
      <c r="I62" s="483"/>
      <c r="J62" s="483"/>
      <c r="K62" s="58"/>
      <c r="L62" s="58"/>
      <c r="M62" s="58"/>
      <c r="N62" s="58"/>
      <c r="O62" s="58"/>
      <c r="P62" s="58"/>
      <c r="Q62" s="58"/>
    </row>
    <row r="63" spans="1:26">
      <c r="A63" s="58" t="s">
        <v>15</v>
      </c>
      <c r="B63" s="58">
        <v>1</v>
      </c>
      <c r="C63" s="58"/>
      <c r="D63" s="58"/>
      <c r="E63" s="58"/>
      <c r="F63" s="58"/>
      <c r="G63" s="58"/>
      <c r="H63" s="58"/>
      <c r="I63" s="483"/>
      <c r="J63" s="483"/>
      <c r="K63" s="58"/>
      <c r="L63" s="58"/>
      <c r="M63" s="58"/>
      <c r="N63" s="58"/>
      <c r="O63" s="58"/>
      <c r="P63" s="58"/>
      <c r="Q63" s="58"/>
    </row>
    <row r="64" spans="1:26">
      <c r="A64" s="58" t="s">
        <v>16</v>
      </c>
      <c r="B64" s="58" t="s">
        <v>17</v>
      </c>
      <c r="C64" s="58"/>
      <c r="D64" s="58"/>
      <c r="E64" s="58"/>
      <c r="F64" s="58"/>
      <c r="G64" s="58"/>
      <c r="H64" s="58"/>
      <c r="I64" s="483"/>
      <c r="J64" s="483"/>
      <c r="K64" s="58"/>
      <c r="L64" s="58"/>
      <c r="M64" s="58"/>
      <c r="N64" s="58"/>
      <c r="O64" s="58"/>
      <c r="P64" s="58"/>
      <c r="Q64" s="58"/>
    </row>
    <row r="65" spans="1:17">
      <c r="A65" s="58" t="s">
        <v>18</v>
      </c>
      <c r="B65" s="58" t="s">
        <v>18</v>
      </c>
      <c r="C65" s="58"/>
      <c r="D65" s="58"/>
      <c r="E65" s="58" t="s">
        <v>185</v>
      </c>
      <c r="F65" s="58"/>
      <c r="G65" s="58"/>
      <c r="H65" s="58"/>
      <c r="I65" s="483"/>
      <c r="J65" s="483"/>
      <c r="K65" s="58"/>
      <c r="L65" s="58"/>
      <c r="M65" s="58"/>
      <c r="N65" s="58"/>
      <c r="O65" s="58"/>
      <c r="P65" s="58"/>
      <c r="Q65" s="58"/>
    </row>
    <row r="66" spans="1:17" ht="15.6">
      <c r="A66" s="181" t="s">
        <v>19</v>
      </c>
      <c r="B66" s="58"/>
      <c r="C66" s="58"/>
      <c r="D66" s="58"/>
      <c r="E66" s="58"/>
      <c r="F66" s="58"/>
      <c r="G66" s="58"/>
      <c r="H66" s="58"/>
      <c r="I66" s="483"/>
      <c r="J66" s="483"/>
      <c r="K66" s="58"/>
      <c r="L66" s="58"/>
      <c r="M66" s="58"/>
      <c r="N66" s="58"/>
      <c r="O66" s="58"/>
      <c r="P66" s="58"/>
      <c r="Q66" s="58"/>
    </row>
    <row r="67" spans="1:17" ht="15.6">
      <c r="A67" s="181" t="s">
        <v>20</v>
      </c>
      <c r="B67" s="181" t="s">
        <v>21</v>
      </c>
      <c r="C67" s="181" t="s">
        <v>186</v>
      </c>
      <c r="D67" s="181" t="s">
        <v>18</v>
      </c>
      <c r="E67" s="181" t="s">
        <v>22</v>
      </c>
      <c r="F67" s="181" t="s">
        <v>7</v>
      </c>
      <c r="G67" s="181" t="s">
        <v>13</v>
      </c>
      <c r="H67" s="181" t="s">
        <v>16</v>
      </c>
      <c r="I67" s="181" t="s">
        <v>23</v>
      </c>
      <c r="J67" s="181" t="s">
        <v>24</v>
      </c>
      <c r="K67" s="181" t="s">
        <v>25</v>
      </c>
      <c r="L67" s="181" t="s">
        <v>26</v>
      </c>
      <c r="M67" s="181" t="s">
        <v>27</v>
      </c>
      <c r="N67" s="181" t="s">
        <v>28</v>
      </c>
      <c r="O67" s="181" t="s">
        <v>11</v>
      </c>
      <c r="P67" s="181" t="s">
        <v>187</v>
      </c>
      <c r="Q67" s="58"/>
    </row>
    <row r="68" spans="1:17" ht="15.6">
      <c r="A68" s="180" t="s">
        <v>1660</v>
      </c>
      <c r="B68" s="180">
        <v>1</v>
      </c>
      <c r="C68" s="180"/>
      <c r="D68" s="180" t="s">
        <v>18</v>
      </c>
      <c r="E68" s="58" t="s">
        <v>2</v>
      </c>
      <c r="F68" s="58" t="s">
        <v>1632</v>
      </c>
      <c r="G68" s="180" t="s">
        <v>59</v>
      </c>
      <c r="H68" s="58" t="s">
        <v>30</v>
      </c>
      <c r="I68" s="58">
        <v>0</v>
      </c>
      <c r="J68" s="180" t="s">
        <v>31</v>
      </c>
      <c r="K68" s="180" t="s">
        <v>31</v>
      </c>
      <c r="L68" s="180" t="s">
        <v>31</v>
      </c>
      <c r="M68" s="180" t="s">
        <v>31</v>
      </c>
      <c r="N68" s="180" t="s">
        <v>31</v>
      </c>
      <c r="O68" s="58"/>
      <c r="P68" s="58"/>
      <c r="Q68" s="58"/>
    </row>
    <row r="69" spans="1:17" ht="15.6">
      <c r="A69" s="189" t="s">
        <v>223</v>
      </c>
      <c r="B69" s="58">
        <v>-490</v>
      </c>
      <c r="C69" s="58"/>
      <c r="D69" s="58" t="s">
        <v>37</v>
      </c>
      <c r="E69" s="192" t="s">
        <v>40</v>
      </c>
      <c r="F69" s="58" t="s">
        <v>1632</v>
      </c>
      <c r="G69" s="58" t="s">
        <v>82</v>
      </c>
      <c r="H69" s="58" t="s">
        <v>33</v>
      </c>
      <c r="I69" s="58">
        <v>0</v>
      </c>
      <c r="J69" s="180" t="s">
        <v>31</v>
      </c>
      <c r="K69" s="180" t="s">
        <v>31</v>
      </c>
      <c r="L69" s="180" t="s">
        <v>31</v>
      </c>
      <c r="M69" s="180" t="s">
        <v>31</v>
      </c>
      <c r="N69" s="180" t="s">
        <v>31</v>
      </c>
      <c r="O69" s="180" t="s">
        <v>224</v>
      </c>
      <c r="P69" s="58"/>
      <c r="Q69" s="58"/>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8716-E09A-4AC3-AE0E-3549AA5170D1}">
  <dimension ref="A1:P120"/>
  <sheetViews>
    <sheetView zoomScale="70" zoomScaleNormal="70" workbookViewId="0">
      <selection activeCell="A120" sqref="A120"/>
    </sheetView>
  </sheetViews>
  <sheetFormatPr defaultColWidth="8.7109375" defaultRowHeight="14.45"/>
  <cols>
    <col min="1" max="1" width="53.42578125" style="50" customWidth="1"/>
    <col min="2" max="3" width="25.85546875" style="50" customWidth="1"/>
    <col min="4" max="4" width="10.140625" style="50" customWidth="1"/>
    <col min="5" max="5" width="47" style="50" customWidth="1"/>
    <col min="6" max="6" width="11" style="50" customWidth="1"/>
    <col min="7" max="14" width="8.7109375" style="50"/>
    <col min="15" max="15" width="47.85546875" style="50" customWidth="1"/>
    <col min="16" max="16" width="40.140625" style="50" bestFit="1" customWidth="1"/>
    <col min="17" max="16384" width="8.7109375" style="50"/>
  </cols>
  <sheetData>
    <row r="1" spans="1:16">
      <c r="A1" s="50" t="s">
        <v>0</v>
      </c>
      <c r="B1" s="50">
        <v>14</v>
      </c>
      <c r="D1" s="66" t="s">
        <v>408</v>
      </c>
    </row>
    <row r="2" spans="1:16" s="54" customFormat="1" ht="15.6">
      <c r="A2" s="56" t="s">
        <v>5</v>
      </c>
      <c r="B2" s="56" t="s">
        <v>1661</v>
      </c>
      <c r="C2" s="56"/>
      <c r="D2" s="55"/>
    </row>
    <row r="3" spans="1:16">
      <c r="A3" s="50" t="s">
        <v>7</v>
      </c>
      <c r="B3" s="50" t="s">
        <v>1526</v>
      </c>
    </row>
    <row r="4" spans="1:16">
      <c r="A4" s="50" t="s">
        <v>9</v>
      </c>
      <c r="B4" s="50" t="s">
        <v>1662</v>
      </c>
    </row>
    <row r="5" spans="1:16">
      <c r="A5" s="50" t="s">
        <v>11</v>
      </c>
      <c r="B5" s="50" t="s">
        <v>268</v>
      </c>
    </row>
    <row r="6" spans="1:16">
      <c r="A6" s="50" t="s">
        <v>13</v>
      </c>
      <c r="B6" s="50" t="s">
        <v>59</v>
      </c>
    </row>
    <row r="7" spans="1:16">
      <c r="A7" s="50" t="s">
        <v>15</v>
      </c>
      <c r="B7" s="50">
        <v>1</v>
      </c>
    </row>
    <row r="8" spans="1:16">
      <c r="A8" s="50" t="s">
        <v>16</v>
      </c>
      <c r="B8" s="50" t="s">
        <v>17</v>
      </c>
    </row>
    <row r="9" spans="1:16">
      <c r="A9" s="50" t="s">
        <v>18</v>
      </c>
      <c r="B9" s="50" t="s">
        <v>18</v>
      </c>
    </row>
    <row r="10" spans="1:16" ht="15.6">
      <c r="A10" s="53" t="s">
        <v>19</v>
      </c>
    </row>
    <row r="11" spans="1:16" ht="15.6">
      <c r="A11" s="53" t="s">
        <v>20</v>
      </c>
      <c r="B11" s="53" t="s">
        <v>21</v>
      </c>
      <c r="C11" s="53" t="s">
        <v>186</v>
      </c>
      <c r="D11" s="53" t="s">
        <v>18</v>
      </c>
      <c r="E11" s="53" t="s">
        <v>22</v>
      </c>
      <c r="F11" s="53" t="s">
        <v>7</v>
      </c>
      <c r="G11" s="53" t="s">
        <v>13</v>
      </c>
      <c r="H11" s="53" t="s">
        <v>16</v>
      </c>
      <c r="I11" s="53" t="s">
        <v>23</v>
      </c>
      <c r="J11" s="53" t="s">
        <v>24</v>
      </c>
      <c r="K11" s="53" t="s">
        <v>25</v>
      </c>
      <c r="L11" s="53" t="s">
        <v>26</v>
      </c>
      <c r="M11" s="53" t="s">
        <v>27</v>
      </c>
      <c r="N11" s="53" t="s">
        <v>28</v>
      </c>
      <c r="O11" s="53" t="s">
        <v>9</v>
      </c>
      <c r="P11" s="53" t="s">
        <v>11</v>
      </c>
    </row>
    <row r="12" spans="1:16" ht="15.6">
      <c r="A12" s="50" t="str">
        <f>B2</f>
        <v>production of casing</v>
      </c>
      <c r="B12" s="50">
        <f>B7</f>
        <v>1</v>
      </c>
      <c r="D12" s="50" t="str">
        <f>B9</f>
        <v>unit</v>
      </c>
      <c r="E12" s="51" t="s">
        <v>2</v>
      </c>
      <c r="F12" s="50" t="str">
        <f>B3</f>
        <v>airport</v>
      </c>
      <c r="G12" s="50" t="s">
        <v>59</v>
      </c>
      <c r="H12" s="50" t="s">
        <v>30</v>
      </c>
      <c r="I12" s="50">
        <v>0</v>
      </c>
      <c r="J12" s="51" t="s">
        <v>31</v>
      </c>
      <c r="K12" s="51" t="s">
        <v>31</v>
      </c>
      <c r="L12" s="51" t="s">
        <v>31</v>
      </c>
      <c r="M12" s="51" t="s">
        <v>31</v>
      </c>
      <c r="N12" s="51" t="s">
        <v>31</v>
      </c>
      <c r="O12" s="50" t="str">
        <f>B4</f>
        <v>B6F596DBDD1844EE930544B90A4858B8</v>
      </c>
      <c r="P12" s="51" t="s">
        <v>1663</v>
      </c>
    </row>
    <row r="13" spans="1:16" ht="15.6">
      <c r="A13" s="50" t="s">
        <v>237</v>
      </c>
      <c r="B13" s="50">
        <v>2494.8229080000001</v>
      </c>
      <c r="D13" s="50" t="s">
        <v>37</v>
      </c>
      <c r="E13" s="65" t="s">
        <v>40</v>
      </c>
      <c r="F13" s="50" t="s">
        <v>29</v>
      </c>
      <c r="G13" s="50" t="s">
        <v>59</v>
      </c>
      <c r="H13" s="50" t="s">
        <v>33</v>
      </c>
      <c r="I13" s="50">
        <v>2</v>
      </c>
      <c r="J13" s="51">
        <f>LN(B13)</f>
        <v>7.8219730269089931</v>
      </c>
      <c r="K13" s="51">
        <v>0.34985711400000002</v>
      </c>
      <c r="L13" s="51" t="s">
        <v>31</v>
      </c>
      <c r="M13" s="51" t="s">
        <v>31</v>
      </c>
      <c r="N13" s="51" t="s">
        <v>31</v>
      </c>
      <c r="O13" s="50" t="s">
        <v>1664</v>
      </c>
      <c r="P13" s="50" t="s">
        <v>1665</v>
      </c>
    </row>
    <row r="14" spans="1:16" s="54" customFormat="1" ht="15.6">
      <c r="A14" s="56" t="s">
        <v>5</v>
      </c>
      <c r="B14" s="56" t="s">
        <v>1666</v>
      </c>
      <c r="C14" s="56"/>
      <c r="D14" s="55" t="s">
        <v>565</v>
      </c>
    </row>
    <row r="15" spans="1:16">
      <c r="A15" s="50" t="s">
        <v>7</v>
      </c>
      <c r="B15" s="50" t="s">
        <v>1526</v>
      </c>
    </row>
    <row r="16" spans="1:16">
      <c r="A16" s="50" t="s">
        <v>9</v>
      </c>
      <c r="B16" s="50" t="s">
        <v>1667</v>
      </c>
    </row>
    <row r="17" spans="1:16">
      <c r="A17" s="50" t="s">
        <v>11</v>
      </c>
      <c r="B17" s="50" t="s">
        <v>268</v>
      </c>
    </row>
    <row r="18" spans="1:16">
      <c r="A18" s="50" t="s">
        <v>13</v>
      </c>
      <c r="B18" s="50" t="s">
        <v>59</v>
      </c>
    </row>
    <row r="19" spans="1:16">
      <c r="A19" s="50" t="s">
        <v>15</v>
      </c>
      <c r="B19" s="50">
        <v>1</v>
      </c>
    </row>
    <row r="20" spans="1:16">
      <c r="A20" s="50" t="s">
        <v>16</v>
      </c>
      <c r="B20" s="50" t="s">
        <v>17</v>
      </c>
    </row>
    <row r="21" spans="1:16">
      <c r="A21" s="50" t="s">
        <v>18</v>
      </c>
      <c r="B21" s="50" t="s">
        <v>18</v>
      </c>
      <c r="E21" s="50" t="s">
        <v>185</v>
      </c>
    </row>
    <row r="22" spans="1:16" ht="15.6">
      <c r="A22" s="53" t="s">
        <v>19</v>
      </c>
    </row>
    <row r="23" spans="1:16" ht="15.6">
      <c r="A23" s="53" t="s">
        <v>20</v>
      </c>
      <c r="B23" s="53" t="s">
        <v>21</v>
      </c>
      <c r="C23" s="53" t="s">
        <v>186</v>
      </c>
      <c r="D23" s="53" t="s">
        <v>18</v>
      </c>
      <c r="E23" s="53" t="s">
        <v>22</v>
      </c>
      <c r="F23" s="53" t="s">
        <v>7</v>
      </c>
      <c r="G23" s="53" t="s">
        <v>13</v>
      </c>
      <c r="H23" s="53" t="s">
        <v>16</v>
      </c>
      <c r="I23" s="53" t="s">
        <v>23</v>
      </c>
      <c r="J23" s="53" t="s">
        <v>24</v>
      </c>
      <c r="K23" s="53" t="s">
        <v>25</v>
      </c>
      <c r="L23" s="53" t="s">
        <v>26</v>
      </c>
      <c r="M23" s="53" t="s">
        <v>27</v>
      </c>
      <c r="N23" s="53" t="s">
        <v>28</v>
      </c>
      <c r="O23" s="53" t="s">
        <v>9</v>
      </c>
      <c r="P23" s="53" t="s">
        <v>11</v>
      </c>
    </row>
    <row r="24" spans="1:16" ht="15.6">
      <c r="A24" s="50" t="str">
        <f>B14</f>
        <v>production of display unit</v>
      </c>
      <c r="B24" s="50">
        <f>B19</f>
        <v>1</v>
      </c>
      <c r="D24" s="50" t="str">
        <f>B21</f>
        <v>unit</v>
      </c>
      <c r="E24" s="51" t="s">
        <v>2</v>
      </c>
      <c r="F24" s="50" t="str">
        <f>B15</f>
        <v>airport</v>
      </c>
      <c r="G24" s="50" t="s">
        <v>59</v>
      </c>
      <c r="H24" s="50" t="s">
        <v>30</v>
      </c>
      <c r="I24" s="50">
        <v>0</v>
      </c>
      <c r="J24" s="51" t="s">
        <v>31</v>
      </c>
      <c r="K24" s="51" t="s">
        <v>31</v>
      </c>
      <c r="L24" s="51" t="s">
        <v>31</v>
      </c>
      <c r="M24" s="51" t="s">
        <v>31</v>
      </c>
      <c r="N24" s="51" t="s">
        <v>31</v>
      </c>
      <c r="O24" s="50" t="str">
        <f>B16</f>
        <v>DFB80C16145A4B1F839E23271BACC3BC</v>
      </c>
      <c r="P24" s="51" t="s">
        <v>1668</v>
      </c>
    </row>
    <row r="25" spans="1:16" ht="15.6">
      <c r="A25" s="50" t="s">
        <v>1669</v>
      </c>
      <c r="B25" s="50">
        <v>30</v>
      </c>
      <c r="D25" s="50" t="s">
        <v>37</v>
      </c>
      <c r="E25" s="65" t="s">
        <v>2</v>
      </c>
      <c r="F25" s="50" t="s">
        <v>1526</v>
      </c>
      <c r="G25" s="50" t="s">
        <v>59</v>
      </c>
      <c r="H25" s="50" t="s">
        <v>33</v>
      </c>
      <c r="I25" s="50">
        <v>2</v>
      </c>
      <c r="J25" s="51">
        <f>LN(B25)</f>
        <v>3.4011973816621555</v>
      </c>
      <c r="K25" s="51">
        <v>0.34985711400000002</v>
      </c>
      <c r="L25" s="51" t="s">
        <v>31</v>
      </c>
      <c r="M25" s="51" t="s">
        <v>31</v>
      </c>
      <c r="N25" s="51" t="s">
        <v>31</v>
      </c>
      <c r="O25" s="57" t="s">
        <v>1670</v>
      </c>
    </row>
    <row r="26" spans="1:16" ht="15.6">
      <c r="A26" s="50" t="s">
        <v>134</v>
      </c>
      <c r="B26" s="50">
        <v>227.44785999999999</v>
      </c>
      <c r="D26" s="50" t="s">
        <v>37</v>
      </c>
      <c r="E26" s="65" t="s">
        <v>2</v>
      </c>
      <c r="F26" s="50" t="s">
        <v>1526</v>
      </c>
      <c r="G26" s="50" t="s">
        <v>59</v>
      </c>
      <c r="H26" s="50" t="s">
        <v>33</v>
      </c>
      <c r="I26" s="50">
        <v>2</v>
      </c>
      <c r="J26" s="51">
        <f>LN(B26)</f>
        <v>5.4269210253105067</v>
      </c>
      <c r="K26" s="51">
        <v>0.34985711400000002</v>
      </c>
      <c r="L26" s="51" t="s">
        <v>31</v>
      </c>
      <c r="M26" s="51" t="s">
        <v>31</v>
      </c>
      <c r="N26" s="51" t="s">
        <v>31</v>
      </c>
      <c r="O26" s="51" t="s">
        <v>1671</v>
      </c>
    </row>
    <row r="27" spans="1:16" s="54" customFormat="1" ht="15.6">
      <c r="A27" s="56" t="s">
        <v>5</v>
      </c>
      <c r="B27" s="56" t="s">
        <v>1672</v>
      </c>
      <c r="C27" s="56"/>
      <c r="D27" s="55" t="s">
        <v>565</v>
      </c>
    </row>
    <row r="28" spans="1:16">
      <c r="A28" s="50" t="s">
        <v>7</v>
      </c>
      <c r="B28" s="50" t="s">
        <v>1526</v>
      </c>
    </row>
    <row r="29" spans="1:16">
      <c r="A29" s="50" t="s">
        <v>9</v>
      </c>
      <c r="B29" s="50" t="s">
        <v>1673</v>
      </c>
    </row>
    <row r="30" spans="1:16">
      <c r="A30" s="50" t="s">
        <v>11</v>
      </c>
      <c r="B30" s="50" t="s">
        <v>268</v>
      </c>
    </row>
    <row r="31" spans="1:16">
      <c r="A31" s="50" t="s">
        <v>13</v>
      </c>
      <c r="B31" s="50" t="s">
        <v>59</v>
      </c>
    </row>
    <row r="32" spans="1:16">
      <c r="A32" s="50" t="s">
        <v>15</v>
      </c>
      <c r="B32" s="50">
        <v>1</v>
      </c>
    </row>
    <row r="33" spans="1:16">
      <c r="A33" s="50" t="s">
        <v>16</v>
      </c>
      <c r="B33" s="50" t="s">
        <v>17</v>
      </c>
    </row>
    <row r="34" spans="1:16">
      <c r="A34" s="50" t="s">
        <v>18</v>
      </c>
      <c r="B34" s="50" t="s">
        <v>18</v>
      </c>
      <c r="E34" s="50" t="s">
        <v>185</v>
      </c>
    </row>
    <row r="35" spans="1:16" ht="15.6">
      <c r="A35" s="53" t="s">
        <v>19</v>
      </c>
    </row>
    <row r="36" spans="1:16" ht="15.6">
      <c r="A36" s="53" t="s">
        <v>20</v>
      </c>
      <c r="B36" s="53" t="s">
        <v>21</v>
      </c>
      <c r="C36" s="53" t="s">
        <v>186</v>
      </c>
      <c r="D36" s="53" t="s">
        <v>18</v>
      </c>
      <c r="E36" s="53" t="s">
        <v>22</v>
      </c>
      <c r="F36" s="53" t="s">
        <v>7</v>
      </c>
      <c r="G36" s="53" t="s">
        <v>13</v>
      </c>
      <c r="H36" s="53" t="s">
        <v>16</v>
      </c>
      <c r="I36" s="53" t="s">
        <v>23</v>
      </c>
      <c r="J36" s="53" t="s">
        <v>24</v>
      </c>
      <c r="K36" s="53" t="s">
        <v>25</v>
      </c>
      <c r="L36" s="53" t="s">
        <v>26</v>
      </c>
      <c r="M36" s="53" t="s">
        <v>27</v>
      </c>
      <c r="N36" s="53" t="s">
        <v>28</v>
      </c>
      <c r="O36" s="53" t="s">
        <v>9</v>
      </c>
      <c r="P36" s="53" t="s">
        <v>11</v>
      </c>
    </row>
    <row r="37" spans="1:16" ht="15.6">
      <c r="A37" s="50" t="s">
        <v>1672</v>
      </c>
      <c r="B37" s="50">
        <f>B32</f>
        <v>1</v>
      </c>
      <c r="D37" s="50" t="str">
        <f>B34</f>
        <v>unit</v>
      </c>
      <c r="E37" s="51" t="s">
        <v>2</v>
      </c>
      <c r="F37" s="50" t="str">
        <f>B28</f>
        <v>airport</v>
      </c>
      <c r="G37" s="50" t="str">
        <f>B31</f>
        <v>GLO</v>
      </c>
      <c r="H37" s="50" t="s">
        <v>30</v>
      </c>
      <c r="I37" s="50">
        <v>0</v>
      </c>
      <c r="J37" s="51" t="s">
        <v>31</v>
      </c>
      <c r="K37" s="51" t="s">
        <v>31</v>
      </c>
      <c r="L37" s="51" t="s">
        <v>31</v>
      </c>
      <c r="M37" s="51" t="s">
        <v>31</v>
      </c>
      <c r="N37" s="51" t="s">
        <v>31</v>
      </c>
      <c r="O37" s="50" t="str">
        <f>B29</f>
        <v>FF3166E8B44F4982A9EEC35A560063C4</v>
      </c>
      <c r="P37" s="51" t="s">
        <v>1674</v>
      </c>
    </row>
    <row r="38" spans="1:16" ht="15.6">
      <c r="A38" s="50" t="s">
        <v>1675</v>
      </c>
      <c r="B38" s="50">
        <v>0.03</v>
      </c>
      <c r="D38" s="50" t="s">
        <v>37</v>
      </c>
      <c r="E38" s="50" t="s">
        <v>40</v>
      </c>
      <c r="F38" s="50" t="s">
        <v>1526</v>
      </c>
      <c r="G38" s="50" t="s">
        <v>59</v>
      </c>
      <c r="H38" s="50" t="s">
        <v>33</v>
      </c>
      <c r="I38" s="50">
        <v>2</v>
      </c>
      <c r="J38" s="50">
        <f t="shared" ref="J38:J44" si="0">LN(B38)</f>
        <v>-3.5065578973199818</v>
      </c>
      <c r="K38" s="50">
        <v>0.34756294399999998</v>
      </c>
      <c r="L38" s="51" t="s">
        <v>31</v>
      </c>
      <c r="M38" s="51" t="s">
        <v>31</v>
      </c>
      <c r="N38" s="51" t="s">
        <v>31</v>
      </c>
      <c r="O38" s="57" t="s">
        <v>1676</v>
      </c>
    </row>
    <row r="39" spans="1:16" ht="15.6">
      <c r="A39" s="50" t="s">
        <v>101</v>
      </c>
      <c r="B39" s="50">
        <v>0.94500000000000006</v>
      </c>
      <c r="D39" s="50" t="s">
        <v>37</v>
      </c>
      <c r="E39" s="50" t="s">
        <v>40</v>
      </c>
      <c r="F39" s="50" t="s">
        <v>1526</v>
      </c>
      <c r="G39" s="50" t="s">
        <v>59</v>
      </c>
      <c r="H39" s="50" t="s">
        <v>33</v>
      </c>
      <c r="I39" s="50">
        <v>2</v>
      </c>
      <c r="J39" s="50">
        <f t="shared" si="0"/>
        <v>-5.6570351488394233E-2</v>
      </c>
      <c r="K39" s="50">
        <v>0.34756294399999998</v>
      </c>
      <c r="L39" s="51" t="s">
        <v>31</v>
      </c>
      <c r="M39" s="51" t="s">
        <v>31</v>
      </c>
      <c r="N39" s="51" t="s">
        <v>31</v>
      </c>
      <c r="O39" s="57" t="s">
        <v>1677</v>
      </c>
    </row>
    <row r="40" spans="1:16" ht="15.6">
      <c r="A40" s="57" t="s">
        <v>101</v>
      </c>
      <c r="B40" s="50">
        <v>0.54500000000000004</v>
      </c>
      <c r="D40" s="50" t="s">
        <v>37</v>
      </c>
      <c r="E40" s="50" t="s">
        <v>40</v>
      </c>
      <c r="F40" s="50" t="s">
        <v>1526</v>
      </c>
      <c r="G40" s="50" t="s">
        <v>59</v>
      </c>
      <c r="H40" s="50" t="s">
        <v>33</v>
      </c>
      <c r="I40" s="50">
        <v>2</v>
      </c>
      <c r="J40" s="50">
        <f t="shared" si="0"/>
        <v>-0.60696948431889286</v>
      </c>
      <c r="K40" s="50">
        <v>0.34756294399999998</v>
      </c>
      <c r="L40" s="51" t="s">
        <v>31</v>
      </c>
      <c r="M40" s="51" t="s">
        <v>31</v>
      </c>
      <c r="N40" s="51" t="s">
        <v>31</v>
      </c>
      <c r="O40" s="57" t="s">
        <v>1677</v>
      </c>
    </row>
    <row r="41" spans="1:16" ht="15.6">
      <c r="A41" s="57" t="s">
        <v>101</v>
      </c>
      <c r="B41" s="50">
        <v>5.2500000000000005E-2</v>
      </c>
      <c r="D41" s="50" t="s">
        <v>37</v>
      </c>
      <c r="E41" s="50" t="s">
        <v>40</v>
      </c>
      <c r="F41" s="50" t="s">
        <v>1526</v>
      </c>
      <c r="G41" s="50" t="s">
        <v>59</v>
      </c>
      <c r="H41" s="50" t="s">
        <v>33</v>
      </c>
      <c r="I41" s="50">
        <v>2</v>
      </c>
      <c r="J41" s="50">
        <f t="shared" si="0"/>
        <v>-2.9469421093845587</v>
      </c>
      <c r="K41" s="50">
        <v>0.34756294399999998</v>
      </c>
      <c r="L41" s="51" t="s">
        <v>31</v>
      </c>
      <c r="M41" s="51" t="s">
        <v>31</v>
      </c>
      <c r="N41" s="51" t="s">
        <v>31</v>
      </c>
      <c r="O41" s="57" t="s">
        <v>1677</v>
      </c>
    </row>
    <row r="42" spans="1:16" ht="15.6">
      <c r="A42" s="58" t="s">
        <v>205</v>
      </c>
      <c r="B42" s="50">
        <v>0.35000000000000003</v>
      </c>
      <c r="D42" s="50" t="s">
        <v>37</v>
      </c>
      <c r="E42" s="50" t="s">
        <v>40</v>
      </c>
      <c r="F42" s="50" t="s">
        <v>1526</v>
      </c>
      <c r="G42" s="50" t="s">
        <v>59</v>
      </c>
      <c r="H42" s="50" t="s">
        <v>33</v>
      </c>
      <c r="I42" s="50">
        <v>2</v>
      </c>
      <c r="J42" s="50">
        <f t="shared" si="0"/>
        <v>-1.0498221244986776</v>
      </c>
      <c r="K42" s="50">
        <v>0.34756294399999998</v>
      </c>
      <c r="L42" s="51" t="s">
        <v>31</v>
      </c>
      <c r="M42" s="51" t="s">
        <v>31</v>
      </c>
      <c r="N42" s="51" t="s">
        <v>31</v>
      </c>
      <c r="O42" s="50" t="s">
        <v>1678</v>
      </c>
    </row>
    <row r="43" spans="1:16" ht="15.6">
      <c r="A43" s="50" t="s">
        <v>738</v>
      </c>
      <c r="B43" s="50">
        <v>0.16500000000000001</v>
      </c>
      <c r="D43" s="50" t="s">
        <v>37</v>
      </c>
      <c r="E43" s="50" t="s">
        <v>40</v>
      </c>
      <c r="F43" s="50" t="s">
        <v>1526</v>
      </c>
      <c r="G43" s="50" t="s">
        <v>59</v>
      </c>
      <c r="H43" s="50" t="s">
        <v>33</v>
      </c>
      <c r="I43" s="50">
        <v>2</v>
      </c>
      <c r="J43" s="50">
        <f t="shared" si="0"/>
        <v>-1.8018098050815563</v>
      </c>
      <c r="K43" s="50">
        <v>0.34756294399999998</v>
      </c>
      <c r="L43" s="51" t="s">
        <v>31</v>
      </c>
      <c r="M43" s="51" t="s">
        <v>31</v>
      </c>
      <c r="N43" s="51" t="s">
        <v>31</v>
      </c>
      <c r="O43" s="57" t="s">
        <v>1679</v>
      </c>
    </row>
    <row r="44" spans="1:16" ht="15.6">
      <c r="A44" s="57" t="s">
        <v>101</v>
      </c>
      <c r="B44" s="50">
        <v>7.4999999999999997E-2</v>
      </c>
      <c r="D44" s="50" t="s">
        <v>37</v>
      </c>
      <c r="E44" s="50" t="s">
        <v>40</v>
      </c>
      <c r="F44" s="50" t="s">
        <v>1526</v>
      </c>
      <c r="G44" s="50" t="s">
        <v>59</v>
      </c>
      <c r="H44" s="50" t="s">
        <v>33</v>
      </c>
      <c r="I44" s="50">
        <v>2</v>
      </c>
      <c r="J44" s="50">
        <f t="shared" si="0"/>
        <v>-2.5902671654458267</v>
      </c>
      <c r="K44" s="50">
        <v>0.34756294399999998</v>
      </c>
      <c r="L44" s="51" t="s">
        <v>31</v>
      </c>
      <c r="M44" s="51" t="s">
        <v>31</v>
      </c>
      <c r="N44" s="51" t="s">
        <v>31</v>
      </c>
      <c r="O44" s="57" t="s">
        <v>1677</v>
      </c>
    </row>
    <row r="45" spans="1:16" s="54" customFormat="1" ht="15.6">
      <c r="A45" s="56" t="s">
        <v>5</v>
      </c>
      <c r="B45" s="56" t="s">
        <v>1680</v>
      </c>
      <c r="C45" s="56"/>
      <c r="D45" s="55" t="s">
        <v>565</v>
      </c>
    </row>
    <row r="46" spans="1:16">
      <c r="A46" s="50" t="s">
        <v>7</v>
      </c>
      <c r="B46" s="50" t="s">
        <v>1526</v>
      </c>
    </row>
    <row r="47" spans="1:16">
      <c r="A47" s="50" t="s">
        <v>9</v>
      </c>
      <c r="B47" s="50" t="s">
        <v>1681</v>
      </c>
    </row>
    <row r="48" spans="1:16">
      <c r="A48" s="50" t="s">
        <v>11</v>
      </c>
      <c r="B48" s="50" t="s">
        <v>268</v>
      </c>
    </row>
    <row r="49" spans="1:16">
      <c r="A49" s="50" t="s">
        <v>13</v>
      </c>
      <c r="B49" s="50" t="s">
        <v>59</v>
      </c>
    </row>
    <row r="50" spans="1:16">
      <c r="A50" s="50" t="s">
        <v>15</v>
      </c>
      <c r="B50" s="50">
        <v>1</v>
      </c>
    </row>
    <row r="51" spans="1:16">
      <c r="A51" s="50" t="s">
        <v>16</v>
      </c>
      <c r="B51" s="50" t="s">
        <v>17</v>
      </c>
    </row>
    <row r="52" spans="1:16">
      <c r="A52" s="50" t="s">
        <v>18</v>
      </c>
      <c r="B52" s="50" t="s">
        <v>18</v>
      </c>
    </row>
    <row r="53" spans="1:16" ht="15.6">
      <c r="A53" s="53" t="s">
        <v>19</v>
      </c>
    </row>
    <row r="54" spans="1:16" ht="15.6">
      <c r="A54" s="53" t="s">
        <v>20</v>
      </c>
      <c r="B54" s="53" t="s">
        <v>21</v>
      </c>
      <c r="C54" s="53" t="s">
        <v>186</v>
      </c>
      <c r="D54" s="53" t="s">
        <v>18</v>
      </c>
      <c r="E54" s="53" t="s">
        <v>22</v>
      </c>
      <c r="F54" s="53" t="s">
        <v>7</v>
      </c>
      <c r="G54" s="53" t="s">
        <v>13</v>
      </c>
      <c r="H54" s="53" t="s">
        <v>16</v>
      </c>
      <c r="I54" s="53" t="s">
        <v>23</v>
      </c>
      <c r="J54" s="53" t="s">
        <v>24</v>
      </c>
      <c r="K54" s="53" t="s">
        <v>25</v>
      </c>
      <c r="L54" s="53" t="s">
        <v>26</v>
      </c>
      <c r="M54" s="53" t="s">
        <v>27</v>
      </c>
      <c r="N54" s="53" t="s">
        <v>28</v>
      </c>
      <c r="O54" s="53" t="s">
        <v>9</v>
      </c>
      <c r="P54" s="53" t="s">
        <v>11</v>
      </c>
    </row>
    <row r="55" spans="1:16" ht="15.6">
      <c r="A55" s="50" t="str">
        <f>B45</f>
        <v>production of transformer</v>
      </c>
      <c r="B55" s="50">
        <f>B50</f>
        <v>1</v>
      </c>
      <c r="D55" s="50" t="str">
        <f>B52</f>
        <v>unit</v>
      </c>
      <c r="E55" s="51" t="s">
        <v>2</v>
      </c>
      <c r="F55" s="50" t="str">
        <f>B46</f>
        <v>airport</v>
      </c>
      <c r="G55" s="50" t="str">
        <f>B49</f>
        <v>GLO</v>
      </c>
      <c r="H55" s="50" t="s">
        <v>30</v>
      </c>
      <c r="I55" s="50">
        <v>0</v>
      </c>
      <c r="J55" s="51" t="s">
        <v>31</v>
      </c>
      <c r="K55" s="51" t="s">
        <v>31</v>
      </c>
      <c r="L55" s="51" t="s">
        <v>31</v>
      </c>
      <c r="M55" s="51" t="s">
        <v>31</v>
      </c>
      <c r="N55" s="51" t="s">
        <v>31</v>
      </c>
      <c r="O55" s="50" t="str">
        <f>B47</f>
        <v>E273023275094F8195D3F03BCCA9946C</v>
      </c>
      <c r="P55" s="51" t="s">
        <v>1682</v>
      </c>
    </row>
    <row r="56" spans="1:16" ht="15.6">
      <c r="A56" s="62" t="s">
        <v>1654</v>
      </c>
      <c r="B56" s="50">
        <v>1512.75</v>
      </c>
      <c r="D56" s="50" t="s">
        <v>37</v>
      </c>
      <c r="E56" s="50" t="s">
        <v>40</v>
      </c>
      <c r="F56" s="50" t="s">
        <v>1526</v>
      </c>
      <c r="G56" s="50" t="s">
        <v>59</v>
      </c>
      <c r="H56" s="50" t="s">
        <v>33</v>
      </c>
      <c r="I56" s="50">
        <v>2</v>
      </c>
      <c r="J56" s="50">
        <f>LN(B56)</f>
        <v>7.3216844655024307</v>
      </c>
      <c r="K56" s="50">
        <v>0.34756294399999998</v>
      </c>
      <c r="L56" s="51" t="s">
        <v>31</v>
      </c>
      <c r="M56" s="51" t="s">
        <v>31</v>
      </c>
      <c r="N56" s="51" t="s">
        <v>31</v>
      </c>
      <c r="O56" s="57" t="s">
        <v>1683</v>
      </c>
      <c r="P56" s="50" t="s">
        <v>1684</v>
      </c>
    </row>
    <row r="57" spans="1:16" ht="15.6">
      <c r="A57" s="62" t="s">
        <v>139</v>
      </c>
      <c r="B57" s="50">
        <v>9.5</v>
      </c>
      <c r="D57" s="50" t="s">
        <v>37</v>
      </c>
      <c r="E57" s="50" t="s">
        <v>40</v>
      </c>
      <c r="F57" s="50" t="s">
        <v>1526</v>
      </c>
      <c r="G57" s="50" t="s">
        <v>82</v>
      </c>
      <c r="H57" s="50" t="s">
        <v>33</v>
      </c>
      <c r="I57" s="50">
        <v>2</v>
      </c>
      <c r="J57" s="50">
        <f>LN(B57)</f>
        <v>2.2512917986064953</v>
      </c>
      <c r="K57" s="50">
        <v>0.34756294399999998</v>
      </c>
      <c r="L57" s="51" t="s">
        <v>31</v>
      </c>
      <c r="M57" s="51" t="s">
        <v>31</v>
      </c>
      <c r="N57" s="51" t="s">
        <v>31</v>
      </c>
      <c r="O57" s="57" t="s">
        <v>1685</v>
      </c>
      <c r="P57" s="50" t="s">
        <v>1686</v>
      </c>
    </row>
    <row r="58" spans="1:16" ht="15.6">
      <c r="A58" s="64" t="s">
        <v>757</v>
      </c>
      <c r="B58" s="50">
        <v>1250.45</v>
      </c>
      <c r="D58" s="50" t="s">
        <v>37</v>
      </c>
      <c r="E58" s="50" t="s">
        <v>40</v>
      </c>
      <c r="F58" s="50" t="s">
        <v>1526</v>
      </c>
      <c r="G58" s="50" t="s">
        <v>59</v>
      </c>
      <c r="H58" s="50" t="s">
        <v>33</v>
      </c>
      <c r="I58" s="50">
        <v>2</v>
      </c>
      <c r="J58" s="50">
        <f>LN(B58)</f>
        <v>7.1312587655118946</v>
      </c>
      <c r="K58" s="50">
        <v>0.34756294399999998</v>
      </c>
      <c r="L58" s="51" t="s">
        <v>31</v>
      </c>
      <c r="M58" s="51" t="s">
        <v>31</v>
      </c>
      <c r="N58" s="51" t="s">
        <v>31</v>
      </c>
      <c r="O58" s="57" t="s">
        <v>1687</v>
      </c>
      <c r="P58" s="50" t="s">
        <v>1688</v>
      </c>
    </row>
    <row r="59" spans="1:16" ht="15.6">
      <c r="A59" s="63" t="s">
        <v>139</v>
      </c>
      <c r="B59" s="50">
        <v>7.8579999999999997</v>
      </c>
      <c r="D59" s="50" t="s">
        <v>37</v>
      </c>
      <c r="E59" s="50" t="s">
        <v>40</v>
      </c>
      <c r="F59" s="50" t="s">
        <v>1526</v>
      </c>
      <c r="G59" s="50" t="s">
        <v>82</v>
      </c>
      <c r="H59" s="50" t="s">
        <v>33</v>
      </c>
      <c r="I59" s="50">
        <v>2</v>
      </c>
      <c r="J59" s="50">
        <f>LN(B59)</f>
        <v>2.0615321211362678</v>
      </c>
      <c r="K59" s="50">
        <v>0.34756294399999998</v>
      </c>
      <c r="L59" s="51" t="s">
        <v>31</v>
      </c>
      <c r="M59" s="51" t="s">
        <v>31</v>
      </c>
      <c r="N59" s="51" t="s">
        <v>31</v>
      </c>
      <c r="O59" s="57" t="s">
        <v>1685</v>
      </c>
      <c r="P59" s="50" t="s">
        <v>1689</v>
      </c>
    </row>
    <row r="60" spans="1:16" s="54" customFormat="1" ht="15.6">
      <c r="A60" s="56" t="s">
        <v>5</v>
      </c>
      <c r="B60" s="56" t="s">
        <v>1690</v>
      </c>
      <c r="C60" s="56"/>
      <c r="D60" s="55" t="s">
        <v>565</v>
      </c>
    </row>
    <row r="61" spans="1:16">
      <c r="A61" s="50" t="s">
        <v>7</v>
      </c>
      <c r="B61" s="50" t="s">
        <v>1526</v>
      </c>
    </row>
    <row r="62" spans="1:16">
      <c r="A62" s="50" t="s">
        <v>9</v>
      </c>
      <c r="B62" s="50" t="s">
        <v>1691</v>
      </c>
    </row>
    <row r="63" spans="1:16">
      <c r="A63" s="50" t="s">
        <v>11</v>
      </c>
      <c r="B63" s="50" t="s">
        <v>268</v>
      </c>
    </row>
    <row r="64" spans="1:16">
      <c r="A64" s="50" t="s">
        <v>13</v>
      </c>
      <c r="B64" s="50" t="s">
        <v>59</v>
      </c>
    </row>
    <row r="65" spans="1:16">
      <c r="A65" s="50" t="s">
        <v>15</v>
      </c>
      <c r="B65" s="50">
        <v>1</v>
      </c>
    </row>
    <row r="66" spans="1:16">
      <c r="A66" s="50" t="s">
        <v>16</v>
      </c>
      <c r="B66" s="50" t="s">
        <v>17</v>
      </c>
    </row>
    <row r="67" spans="1:16">
      <c r="A67" s="50" t="s">
        <v>18</v>
      </c>
      <c r="B67" s="50" t="s">
        <v>18</v>
      </c>
    </row>
    <row r="68" spans="1:16" ht="15.6">
      <c r="A68" s="53" t="s">
        <v>19</v>
      </c>
    </row>
    <row r="69" spans="1:16" ht="15.6">
      <c r="A69" s="53" t="s">
        <v>20</v>
      </c>
      <c r="B69" s="53" t="s">
        <v>21</v>
      </c>
      <c r="C69" s="53" t="s">
        <v>186</v>
      </c>
      <c r="D69" s="53" t="s">
        <v>18</v>
      </c>
      <c r="E69" s="53" t="s">
        <v>22</v>
      </c>
      <c r="F69" s="53" t="s">
        <v>7</v>
      </c>
      <c r="G69" s="53" t="s">
        <v>13</v>
      </c>
      <c r="H69" s="53" t="s">
        <v>16</v>
      </c>
      <c r="I69" s="53" t="s">
        <v>23</v>
      </c>
      <c r="J69" s="53" t="s">
        <v>24</v>
      </c>
      <c r="K69" s="53" t="s">
        <v>25</v>
      </c>
      <c r="L69" s="53" t="s">
        <v>26</v>
      </c>
      <c r="M69" s="53" t="s">
        <v>27</v>
      </c>
      <c r="N69" s="53" t="s">
        <v>28</v>
      </c>
      <c r="O69" s="53" t="s">
        <v>9</v>
      </c>
      <c r="P69" s="53" t="s">
        <v>11</v>
      </c>
    </row>
    <row r="70" spans="1:16" ht="15.6">
      <c r="A70" s="50" t="str">
        <f>B60</f>
        <v>production of charging cable</v>
      </c>
      <c r="B70" s="50">
        <f>B65</f>
        <v>1</v>
      </c>
      <c r="D70" s="50" t="str">
        <f>B67</f>
        <v>unit</v>
      </c>
      <c r="E70" s="51" t="s">
        <v>2</v>
      </c>
      <c r="F70" s="50" t="str">
        <f>B61</f>
        <v>airport</v>
      </c>
      <c r="G70" s="50" t="str">
        <f>B64</f>
        <v>GLO</v>
      </c>
      <c r="H70" s="50" t="s">
        <v>30</v>
      </c>
      <c r="I70" s="50">
        <v>0</v>
      </c>
      <c r="J70" s="51" t="s">
        <v>31</v>
      </c>
      <c r="K70" s="51" t="s">
        <v>31</v>
      </c>
      <c r="L70" s="51" t="s">
        <v>31</v>
      </c>
      <c r="M70" s="51" t="s">
        <v>31</v>
      </c>
      <c r="N70" s="51" t="s">
        <v>31</v>
      </c>
      <c r="O70" s="50" t="str">
        <f>B62</f>
        <v>EF6B3F5E63DC47D3A0BBBDF84D4281CE</v>
      </c>
      <c r="P70" s="51" t="s">
        <v>1692</v>
      </c>
    </row>
    <row r="71" spans="1:16" ht="15.6">
      <c r="A71" s="62" t="s">
        <v>738</v>
      </c>
      <c r="B71" s="50">
        <v>0.8</v>
      </c>
      <c r="D71" s="50" t="s">
        <v>37</v>
      </c>
      <c r="E71" s="50" t="s">
        <v>40</v>
      </c>
      <c r="F71" s="50" t="s">
        <v>1526</v>
      </c>
      <c r="G71" s="50" t="s">
        <v>59</v>
      </c>
      <c r="H71" s="50" t="s">
        <v>33</v>
      </c>
      <c r="I71" s="50">
        <v>2</v>
      </c>
      <c r="J71" s="50">
        <f>LN(B71)</f>
        <v>-0.22314355131420971</v>
      </c>
      <c r="K71" s="50">
        <v>0.34756294399999998</v>
      </c>
      <c r="L71" s="51" t="s">
        <v>31</v>
      </c>
      <c r="M71" s="51" t="s">
        <v>31</v>
      </c>
      <c r="N71" s="51" t="s">
        <v>31</v>
      </c>
      <c r="O71" s="57" t="s">
        <v>1693</v>
      </c>
    </row>
    <row r="72" spans="1:16" ht="15.6">
      <c r="A72" s="50" t="s">
        <v>1413</v>
      </c>
      <c r="B72" s="50">
        <v>2.0499999999999998</v>
      </c>
      <c r="D72" s="50" t="s">
        <v>37</v>
      </c>
      <c r="E72" s="50" t="s">
        <v>40</v>
      </c>
      <c r="F72" s="50" t="s">
        <v>1526</v>
      </c>
      <c r="G72" s="50" t="s">
        <v>82</v>
      </c>
      <c r="H72" s="50" t="s">
        <v>33</v>
      </c>
      <c r="I72" s="50">
        <v>2</v>
      </c>
      <c r="J72" s="50">
        <f>LN(B72)</f>
        <v>0.71783979315031676</v>
      </c>
      <c r="K72" s="50">
        <v>0.34756294399999998</v>
      </c>
      <c r="L72" s="51" t="s">
        <v>31</v>
      </c>
      <c r="M72" s="51" t="s">
        <v>31</v>
      </c>
      <c r="N72" s="51" t="s">
        <v>31</v>
      </c>
      <c r="O72" s="57" t="s">
        <v>1694</v>
      </c>
    </row>
    <row r="73" spans="1:16" ht="15.6">
      <c r="A73" s="61" t="s">
        <v>757</v>
      </c>
      <c r="B73" s="50">
        <v>36.153930729999999</v>
      </c>
      <c r="D73" s="50" t="s">
        <v>37</v>
      </c>
      <c r="E73" s="50" t="s">
        <v>40</v>
      </c>
      <c r="F73" s="50" t="s">
        <v>1526</v>
      </c>
      <c r="G73" s="50" t="s">
        <v>59</v>
      </c>
      <c r="H73" s="50" t="s">
        <v>33</v>
      </c>
      <c r="I73" s="50">
        <v>2</v>
      </c>
      <c r="J73" s="50">
        <f>LN(B73)</f>
        <v>3.5877856765802569</v>
      </c>
      <c r="K73" s="50">
        <v>0.34756294399999998</v>
      </c>
      <c r="L73" s="51" t="s">
        <v>31</v>
      </c>
      <c r="M73" s="51" t="s">
        <v>31</v>
      </c>
      <c r="N73" s="51" t="s">
        <v>31</v>
      </c>
      <c r="O73" s="57" t="s">
        <v>1687</v>
      </c>
      <c r="P73" s="50" t="s">
        <v>1695</v>
      </c>
    </row>
    <row r="74" spans="1:16" ht="15.6">
      <c r="A74" s="60" t="s">
        <v>98</v>
      </c>
      <c r="B74" s="50">
        <v>32.5013468</v>
      </c>
      <c r="D74" s="50" t="s">
        <v>37</v>
      </c>
      <c r="E74" s="50" t="s">
        <v>40</v>
      </c>
      <c r="F74" s="50" t="s">
        <v>1526</v>
      </c>
      <c r="G74" s="50" t="s">
        <v>59</v>
      </c>
      <c r="H74" s="50" t="s">
        <v>33</v>
      </c>
      <c r="I74" s="50">
        <v>2</v>
      </c>
      <c r="J74" s="50">
        <f>LN(B74)</f>
        <v>3.4812815284770786</v>
      </c>
      <c r="K74" s="50">
        <v>0.34756294399999998</v>
      </c>
      <c r="L74" s="51" t="s">
        <v>31</v>
      </c>
      <c r="M74" s="51" t="s">
        <v>31</v>
      </c>
      <c r="N74" s="51" t="s">
        <v>31</v>
      </c>
      <c r="O74" s="57" t="s">
        <v>1696</v>
      </c>
    </row>
    <row r="75" spans="1:16" ht="15.6">
      <c r="A75" s="59" t="s">
        <v>524</v>
      </c>
      <c r="B75" s="50">
        <v>14.116389270000001</v>
      </c>
      <c r="D75" s="50" t="s">
        <v>37</v>
      </c>
      <c r="E75" s="50" t="s">
        <v>40</v>
      </c>
      <c r="F75" s="50" t="s">
        <v>1526</v>
      </c>
      <c r="G75" s="50" t="s">
        <v>59</v>
      </c>
      <c r="H75" s="50" t="s">
        <v>33</v>
      </c>
      <c r="I75" s="50">
        <v>2</v>
      </c>
      <c r="J75" s="50">
        <f>LN(B75)</f>
        <v>2.6473364819417249</v>
      </c>
      <c r="K75" s="50">
        <v>0.34756294399999998</v>
      </c>
      <c r="L75" s="51" t="s">
        <v>31</v>
      </c>
      <c r="M75" s="51" t="s">
        <v>31</v>
      </c>
      <c r="N75" s="51" t="s">
        <v>31</v>
      </c>
      <c r="O75" s="57" t="s">
        <v>1697</v>
      </c>
      <c r="P75" s="50" t="s">
        <v>1698</v>
      </c>
    </row>
    <row r="76" spans="1:16" s="54" customFormat="1" ht="15.6">
      <c r="A76" s="56" t="s">
        <v>5</v>
      </c>
      <c r="B76" s="56" t="s">
        <v>1699</v>
      </c>
      <c r="C76" s="56"/>
      <c r="D76" s="55" t="s">
        <v>565</v>
      </c>
    </row>
    <row r="77" spans="1:16">
      <c r="A77" s="50" t="s">
        <v>7</v>
      </c>
      <c r="B77" s="50" t="s">
        <v>1526</v>
      </c>
    </row>
    <row r="78" spans="1:16">
      <c r="A78" s="50" t="s">
        <v>9</v>
      </c>
      <c r="B78" s="50" t="s">
        <v>1700</v>
      </c>
    </row>
    <row r="79" spans="1:16">
      <c r="A79" s="50" t="s">
        <v>11</v>
      </c>
      <c r="B79" s="50" t="s">
        <v>268</v>
      </c>
    </row>
    <row r="80" spans="1:16">
      <c r="A80" s="50" t="s">
        <v>13</v>
      </c>
      <c r="B80" s="50" t="s">
        <v>59</v>
      </c>
    </row>
    <row r="81" spans="1:16">
      <c r="A81" s="50" t="s">
        <v>15</v>
      </c>
      <c r="B81" s="50">
        <v>1</v>
      </c>
    </row>
    <row r="82" spans="1:16">
      <c r="A82" s="50" t="s">
        <v>16</v>
      </c>
      <c r="B82" s="50" t="s">
        <v>17</v>
      </c>
    </row>
    <row r="83" spans="1:16">
      <c r="A83" s="50" t="s">
        <v>18</v>
      </c>
      <c r="B83" s="50" t="s">
        <v>18</v>
      </c>
    </row>
    <row r="84" spans="1:16" ht="15.6">
      <c r="A84" s="53" t="s">
        <v>19</v>
      </c>
    </row>
    <row r="85" spans="1:16" ht="15.6">
      <c r="A85" s="53" t="s">
        <v>20</v>
      </c>
      <c r="B85" s="53" t="s">
        <v>21</v>
      </c>
      <c r="C85" s="53" t="s">
        <v>186</v>
      </c>
      <c r="D85" s="53" t="s">
        <v>18</v>
      </c>
      <c r="E85" s="53" t="s">
        <v>22</v>
      </c>
      <c r="F85" s="53" t="s">
        <v>7</v>
      </c>
      <c r="G85" s="53" t="s">
        <v>13</v>
      </c>
      <c r="H85" s="53" t="s">
        <v>16</v>
      </c>
      <c r="I85" s="53" t="s">
        <v>23</v>
      </c>
      <c r="J85" s="53" t="s">
        <v>24</v>
      </c>
      <c r="K85" s="53" t="s">
        <v>25</v>
      </c>
      <c r="L85" s="53" t="s">
        <v>26</v>
      </c>
      <c r="M85" s="53" t="s">
        <v>27</v>
      </c>
      <c r="N85" s="53" t="s">
        <v>28</v>
      </c>
      <c r="O85" s="53" t="s">
        <v>9</v>
      </c>
      <c r="P85" s="53" t="s">
        <v>11</v>
      </c>
    </row>
    <row r="86" spans="1:16" ht="15.6">
      <c r="A86" s="50" t="str">
        <f>B76</f>
        <v>produciton of control cabinet, fuses, signal cables</v>
      </c>
      <c r="B86" s="50">
        <f>B81</f>
        <v>1</v>
      </c>
      <c r="D86" s="50" t="str">
        <f>B83</f>
        <v>unit</v>
      </c>
      <c r="E86" s="51" t="s">
        <v>2</v>
      </c>
      <c r="F86" s="50" t="str">
        <f>B77</f>
        <v>airport</v>
      </c>
      <c r="G86" s="50" t="str">
        <f>B80</f>
        <v>GLO</v>
      </c>
      <c r="H86" s="50" t="s">
        <v>30</v>
      </c>
      <c r="I86" s="50">
        <v>0</v>
      </c>
      <c r="J86" s="51" t="s">
        <v>31</v>
      </c>
      <c r="K86" s="51" t="s">
        <v>31</v>
      </c>
      <c r="L86" s="51" t="s">
        <v>31</v>
      </c>
      <c r="M86" s="51" t="s">
        <v>31</v>
      </c>
      <c r="N86" s="51" t="s">
        <v>31</v>
      </c>
      <c r="O86" s="50" t="str">
        <f>B78</f>
        <v>6EA2BFB3D2844F798A82A1136EA2A047</v>
      </c>
      <c r="P86" s="51" t="s">
        <v>1701</v>
      </c>
    </row>
    <row r="87" spans="1:16" ht="15.6">
      <c r="A87" s="50" t="s">
        <v>1702</v>
      </c>
      <c r="B87" s="50">
        <v>20</v>
      </c>
      <c r="D87" s="50" t="s">
        <v>37</v>
      </c>
      <c r="E87" s="50" t="s">
        <v>40</v>
      </c>
      <c r="F87" s="50" t="s">
        <v>1526</v>
      </c>
      <c r="G87" s="50" t="s">
        <v>59</v>
      </c>
      <c r="H87" s="50" t="s">
        <v>33</v>
      </c>
      <c r="I87" s="50">
        <v>2</v>
      </c>
      <c r="J87" s="50">
        <f>LN(B87)</f>
        <v>2.9957322735539909</v>
      </c>
      <c r="K87" s="50">
        <v>0.35958309199999999</v>
      </c>
      <c r="L87" s="51" t="s">
        <v>31</v>
      </c>
      <c r="M87" s="51" t="s">
        <v>31</v>
      </c>
      <c r="N87" s="51" t="s">
        <v>31</v>
      </c>
      <c r="O87" s="57" t="s">
        <v>1703</v>
      </c>
    </row>
    <row r="88" spans="1:16" s="54" customFormat="1" ht="15.6">
      <c r="A88" s="56" t="s">
        <v>5</v>
      </c>
      <c r="B88" s="56" t="s">
        <v>1704</v>
      </c>
      <c r="C88" s="56"/>
      <c r="D88" s="55" t="s">
        <v>565</v>
      </c>
    </row>
    <row r="89" spans="1:16">
      <c r="A89" s="50" t="s">
        <v>7</v>
      </c>
      <c r="B89" s="50" t="s">
        <v>1526</v>
      </c>
    </row>
    <row r="90" spans="1:16">
      <c r="A90" s="50" t="s">
        <v>9</v>
      </c>
      <c r="B90" s="50" t="s">
        <v>1705</v>
      </c>
    </row>
    <row r="91" spans="1:16">
      <c r="A91" s="50" t="s">
        <v>11</v>
      </c>
      <c r="B91" s="50" t="s">
        <v>268</v>
      </c>
    </row>
    <row r="92" spans="1:16">
      <c r="A92" s="50" t="s">
        <v>13</v>
      </c>
      <c r="B92" s="50" t="s">
        <v>59</v>
      </c>
    </row>
    <row r="93" spans="1:16">
      <c r="A93" s="50" t="s">
        <v>15</v>
      </c>
      <c r="B93" s="50">
        <v>1</v>
      </c>
    </row>
    <row r="94" spans="1:16">
      <c r="A94" s="50" t="s">
        <v>16</v>
      </c>
      <c r="B94" s="50" t="s">
        <v>17</v>
      </c>
    </row>
    <row r="95" spans="1:16">
      <c r="A95" s="50" t="s">
        <v>18</v>
      </c>
      <c r="B95" s="50" t="s">
        <v>18</v>
      </c>
    </row>
    <row r="96" spans="1:16" ht="15.6">
      <c r="A96" s="53" t="s">
        <v>19</v>
      </c>
    </row>
    <row r="97" spans="1:16" ht="15.6">
      <c r="A97" s="53" t="s">
        <v>20</v>
      </c>
      <c r="B97" s="53" t="s">
        <v>21</v>
      </c>
      <c r="C97" s="53" t="s">
        <v>186</v>
      </c>
      <c r="D97" s="53" t="s">
        <v>18</v>
      </c>
      <c r="E97" s="53" t="s">
        <v>22</v>
      </c>
      <c r="F97" s="53" t="s">
        <v>7</v>
      </c>
      <c r="G97" s="53" t="s">
        <v>13</v>
      </c>
      <c r="H97" s="53" t="s">
        <v>16</v>
      </c>
      <c r="I97" s="53" t="s">
        <v>23</v>
      </c>
      <c r="J97" s="53" t="s">
        <v>24</v>
      </c>
      <c r="K97" s="53" t="s">
        <v>25</v>
      </c>
      <c r="L97" s="53" t="s">
        <v>26</v>
      </c>
      <c r="M97" s="53" t="s">
        <v>27</v>
      </c>
      <c r="N97" s="53" t="s">
        <v>28</v>
      </c>
      <c r="O97" s="53" t="s">
        <v>9</v>
      </c>
      <c r="P97" s="53" t="s">
        <v>11</v>
      </c>
    </row>
    <row r="98" spans="1:16" ht="15.6">
      <c r="A98" s="50" t="str">
        <f>B88</f>
        <v>produciton of fans</v>
      </c>
      <c r="B98" s="50">
        <f>B93</f>
        <v>1</v>
      </c>
      <c r="D98" s="50" t="str">
        <f>B95</f>
        <v>unit</v>
      </c>
      <c r="E98" s="51" t="s">
        <v>2</v>
      </c>
      <c r="F98" s="50" t="str">
        <f>B89</f>
        <v>airport</v>
      </c>
      <c r="G98" s="50" t="str">
        <f>B92</f>
        <v>GLO</v>
      </c>
      <c r="H98" s="50" t="s">
        <v>30</v>
      </c>
      <c r="I98" s="50">
        <v>0</v>
      </c>
      <c r="J98" s="51" t="s">
        <v>31</v>
      </c>
      <c r="K98" s="51" t="s">
        <v>31</v>
      </c>
      <c r="L98" s="51" t="s">
        <v>31</v>
      </c>
      <c r="M98" s="51" t="s">
        <v>31</v>
      </c>
      <c r="N98" s="51" t="s">
        <v>31</v>
      </c>
      <c r="O98" s="50" t="str">
        <f>B90</f>
        <v>FB10AE9851404A5D9E9C092A15A46419</v>
      </c>
      <c r="P98" s="51" t="s">
        <v>1706</v>
      </c>
    </row>
    <row r="99" spans="1:16" ht="15.6">
      <c r="A99" s="58" t="s">
        <v>205</v>
      </c>
      <c r="B99" s="50">
        <v>33</v>
      </c>
      <c r="D99" s="50" t="s">
        <v>37</v>
      </c>
      <c r="E99" s="50" t="s">
        <v>40</v>
      </c>
      <c r="F99" s="50" t="s">
        <v>1526</v>
      </c>
      <c r="G99" s="50" t="s">
        <v>59</v>
      </c>
      <c r="H99" s="50" t="s">
        <v>33</v>
      </c>
      <c r="I99" s="50">
        <v>2</v>
      </c>
      <c r="J99" s="50">
        <f>LN(B99)</f>
        <v>3.4965075614664802</v>
      </c>
      <c r="K99" s="50">
        <v>0.35958309199999999</v>
      </c>
      <c r="L99" s="51" t="s">
        <v>31</v>
      </c>
      <c r="M99" s="51" t="s">
        <v>31</v>
      </c>
      <c r="N99" s="51" t="s">
        <v>31</v>
      </c>
      <c r="O99" s="57" t="s">
        <v>1703</v>
      </c>
    </row>
    <row r="100" spans="1:16" s="54" customFormat="1" ht="15.6">
      <c r="A100" s="56" t="s">
        <v>5</v>
      </c>
      <c r="B100" s="56" t="s">
        <v>1525</v>
      </c>
      <c r="C100" s="56"/>
      <c r="D100" s="55" t="s">
        <v>565</v>
      </c>
    </row>
    <row r="101" spans="1:16">
      <c r="A101" s="50" t="s">
        <v>7</v>
      </c>
      <c r="B101" s="50" t="s">
        <v>1526</v>
      </c>
    </row>
    <row r="102" spans="1:16">
      <c r="A102" s="50" t="s">
        <v>9</v>
      </c>
      <c r="B102" s="50" t="s">
        <v>1707</v>
      </c>
    </row>
    <row r="103" spans="1:16">
      <c r="A103" s="50" t="s">
        <v>11</v>
      </c>
      <c r="B103" s="50" t="s">
        <v>268</v>
      </c>
    </row>
    <row r="104" spans="1:16">
      <c r="A104" s="50" t="s">
        <v>13</v>
      </c>
      <c r="B104" s="50" t="s">
        <v>59</v>
      </c>
    </row>
    <row r="105" spans="1:16">
      <c r="A105" s="50" t="s">
        <v>15</v>
      </c>
      <c r="B105" s="50">
        <v>1</v>
      </c>
    </row>
    <row r="106" spans="1:16">
      <c r="A106" s="50" t="s">
        <v>16</v>
      </c>
      <c r="B106" s="50" t="s">
        <v>17</v>
      </c>
    </row>
    <row r="107" spans="1:16">
      <c r="A107" s="50" t="s">
        <v>18</v>
      </c>
      <c r="B107" s="50" t="s">
        <v>18</v>
      </c>
      <c r="E107" s="50" t="s">
        <v>185</v>
      </c>
    </row>
    <row r="108" spans="1:16" ht="15.6">
      <c r="A108" s="53" t="s">
        <v>19</v>
      </c>
    </row>
    <row r="109" spans="1:16" ht="15.6">
      <c r="A109" s="53" t="s">
        <v>20</v>
      </c>
      <c r="B109" s="53" t="s">
        <v>21</v>
      </c>
      <c r="C109" s="53" t="s">
        <v>186</v>
      </c>
      <c r="D109" s="53" t="s">
        <v>18</v>
      </c>
      <c r="E109" s="53" t="s">
        <v>22</v>
      </c>
      <c r="F109" s="53" t="s">
        <v>7</v>
      </c>
      <c r="G109" s="53" t="s">
        <v>13</v>
      </c>
      <c r="H109" s="53" t="s">
        <v>16</v>
      </c>
      <c r="I109" s="53" t="s">
        <v>23</v>
      </c>
      <c r="J109" s="53" t="s">
        <v>24</v>
      </c>
      <c r="K109" s="53" t="s">
        <v>25</v>
      </c>
      <c r="L109" s="53" t="s">
        <v>26</v>
      </c>
      <c r="M109" s="53" t="s">
        <v>27</v>
      </c>
      <c r="N109" s="53" t="s">
        <v>28</v>
      </c>
      <c r="O109" s="53" t="s">
        <v>9</v>
      </c>
      <c r="P109" s="53" t="s">
        <v>11</v>
      </c>
    </row>
    <row r="110" spans="1:16" ht="15.6">
      <c r="A110" s="50" t="str">
        <f>B100</f>
        <v>production of charging station, long-term</v>
      </c>
      <c r="B110" s="50">
        <f>B105</f>
        <v>1</v>
      </c>
      <c r="D110" s="50" t="str">
        <f>B107</f>
        <v>unit</v>
      </c>
      <c r="E110" s="51" t="s">
        <v>2</v>
      </c>
      <c r="F110" s="50" t="str">
        <f>B101</f>
        <v>airport</v>
      </c>
      <c r="G110" s="50" t="s">
        <v>59</v>
      </c>
      <c r="H110" s="50" t="s">
        <v>30</v>
      </c>
      <c r="I110" s="50">
        <v>0</v>
      </c>
      <c r="J110" s="51" t="s">
        <v>31</v>
      </c>
      <c r="K110" s="51" t="s">
        <v>31</v>
      </c>
      <c r="L110" s="51" t="s">
        <v>31</v>
      </c>
      <c r="M110" s="51" t="s">
        <v>31</v>
      </c>
      <c r="N110" s="51" t="s">
        <v>31</v>
      </c>
      <c r="O110" s="50" t="str">
        <f>B102</f>
        <v>F15282F3A61E494E8F559DE5517C07DB</v>
      </c>
      <c r="P110" s="51" t="s">
        <v>1708</v>
      </c>
    </row>
    <row r="111" spans="1:16" ht="15.6">
      <c r="A111" s="50" t="str">
        <f>A12</f>
        <v>production of casing</v>
      </c>
      <c r="B111" s="50">
        <v>16</v>
      </c>
      <c r="D111" s="50" t="str">
        <f>D12</f>
        <v>unit</v>
      </c>
      <c r="E111" s="50" t="str">
        <f>E12</f>
        <v>GENESIS_2050_SOFC-bat_Base</v>
      </c>
      <c r="F111" s="50" t="str">
        <f>F12</f>
        <v>airport</v>
      </c>
      <c r="G111" s="50" t="str">
        <f>G12</f>
        <v>GLO</v>
      </c>
      <c r="H111" s="50" t="s">
        <v>33</v>
      </c>
      <c r="I111" s="50">
        <v>0</v>
      </c>
      <c r="J111" s="51" t="s">
        <v>31</v>
      </c>
      <c r="K111" s="51" t="s">
        <v>31</v>
      </c>
      <c r="L111" s="51" t="s">
        <v>31</v>
      </c>
      <c r="M111" s="51" t="s">
        <v>31</v>
      </c>
      <c r="N111" s="51" t="s">
        <v>31</v>
      </c>
      <c r="O111" s="50" t="str">
        <f>O12</f>
        <v>B6F596DBDD1844EE930544B90A4858B8</v>
      </c>
      <c r="P111" s="51"/>
    </row>
    <row r="112" spans="1:16" ht="15.6">
      <c r="A112" s="50" t="str">
        <f>A24</f>
        <v>production of display unit</v>
      </c>
      <c r="B112" s="50">
        <v>4</v>
      </c>
      <c r="D112" s="50" t="str">
        <f>D24</f>
        <v>unit</v>
      </c>
      <c r="E112" s="50" t="str">
        <f>E24</f>
        <v>GENESIS_2050_SOFC-bat_Base</v>
      </c>
      <c r="F112" s="50" t="str">
        <f>F24</f>
        <v>airport</v>
      </c>
      <c r="G112" s="50" t="str">
        <f>G24</f>
        <v>GLO</v>
      </c>
      <c r="H112" s="50" t="s">
        <v>33</v>
      </c>
      <c r="I112" s="50">
        <v>0</v>
      </c>
      <c r="J112" s="51" t="s">
        <v>31</v>
      </c>
      <c r="K112" s="51" t="s">
        <v>31</v>
      </c>
      <c r="L112" s="51" t="s">
        <v>31</v>
      </c>
      <c r="M112" s="51" t="s">
        <v>31</v>
      </c>
      <c r="N112" s="51" t="s">
        <v>31</v>
      </c>
      <c r="O112" s="50" t="str">
        <f>O24</f>
        <v>DFB80C16145A4B1F839E23271BACC3BC</v>
      </c>
      <c r="P112" s="51"/>
    </row>
    <row r="113" spans="1:16" ht="15.6">
      <c r="A113" s="50" t="str">
        <f>'A. ACDC POWER MODULE '!B2</f>
        <v>production of ACDC power module, battery charging, long-term</v>
      </c>
      <c r="B113" s="52">
        <v>48</v>
      </c>
      <c r="D113" s="50" t="s">
        <v>18</v>
      </c>
      <c r="E113" s="50" t="str">
        <f>E25</f>
        <v>GENESIS_2050_SOFC-bat_Base</v>
      </c>
      <c r="F113" t="s">
        <v>1709</v>
      </c>
      <c r="G113" s="50" t="s">
        <v>14</v>
      </c>
      <c r="H113" s="50" t="s">
        <v>33</v>
      </c>
      <c r="I113" s="50">
        <v>0</v>
      </c>
      <c r="J113" s="51" t="s">
        <v>31</v>
      </c>
      <c r="K113" s="51" t="s">
        <v>31</v>
      </c>
      <c r="L113" s="51" t="s">
        <v>31</v>
      </c>
      <c r="M113" s="51" t="s">
        <v>31</v>
      </c>
      <c r="N113" s="51" t="s">
        <v>31</v>
      </c>
      <c r="O113" s="50" t="str">
        <f>'A. ACDC POWER MODULE '!B4</f>
        <v>FACBC3E417194852B8E4083D698D8ED2</v>
      </c>
      <c r="P113" s="51" t="s">
        <v>1710</v>
      </c>
    </row>
    <row r="114" spans="1:16" ht="15.6">
      <c r="A114" s="50" t="str">
        <f>'B. DCDC POWER MODULE '!B2</f>
        <v>production of DCDC power module, battery charging, long-term</v>
      </c>
      <c r="B114" s="52">
        <v>48</v>
      </c>
      <c r="D114" s="50" t="s">
        <v>18</v>
      </c>
      <c r="E114" s="50" t="str">
        <f>E26</f>
        <v>GENESIS_2050_SOFC-bat_Base</v>
      </c>
      <c r="F114" t="s">
        <v>1709</v>
      </c>
      <c r="G114" s="50" t="s">
        <v>14</v>
      </c>
      <c r="H114" s="50" t="s">
        <v>33</v>
      </c>
      <c r="I114" s="50">
        <v>0</v>
      </c>
      <c r="J114" s="51" t="s">
        <v>31</v>
      </c>
      <c r="K114" s="51" t="s">
        <v>31</v>
      </c>
      <c r="L114" s="51" t="s">
        <v>31</v>
      </c>
      <c r="M114" s="51" t="s">
        <v>31</v>
      </c>
      <c r="N114" s="51" t="s">
        <v>31</v>
      </c>
      <c r="O114" s="50" t="str">
        <f>'B. DCDC POWER MODULE '!B4</f>
        <v>1B2098F46C1D45D891A50C0C0AA76792</v>
      </c>
      <c r="P114" s="51" t="s">
        <v>1711</v>
      </c>
    </row>
    <row r="115" spans="1:16" ht="15.6">
      <c r="A115" s="50" t="str">
        <f>A37</f>
        <v>production of plug</v>
      </c>
      <c r="B115" s="50">
        <v>4</v>
      </c>
      <c r="D115" s="50" t="s">
        <v>18</v>
      </c>
      <c r="E115" s="50" t="str">
        <f>E37</f>
        <v>GENESIS_2050_SOFC-bat_Base</v>
      </c>
      <c r="F115" s="50" t="str">
        <f>F37</f>
        <v>airport</v>
      </c>
      <c r="G115" s="50" t="str">
        <f>G37</f>
        <v>GLO</v>
      </c>
      <c r="H115" s="50" t="s">
        <v>33</v>
      </c>
      <c r="I115" s="50">
        <v>0</v>
      </c>
      <c r="J115" s="51" t="s">
        <v>31</v>
      </c>
      <c r="K115" s="51" t="s">
        <v>31</v>
      </c>
      <c r="L115" s="51" t="s">
        <v>31</v>
      </c>
      <c r="M115" s="51" t="s">
        <v>31</v>
      </c>
      <c r="N115" s="51" t="s">
        <v>31</v>
      </c>
      <c r="O115" s="50" t="str">
        <f>O37</f>
        <v>FF3166E8B44F4982A9EEC35A560063C4</v>
      </c>
      <c r="P115" s="51"/>
    </row>
    <row r="116" spans="1:16" ht="15.6">
      <c r="A116" s="50" t="str">
        <f>A55</f>
        <v>production of transformer</v>
      </c>
      <c r="B116" s="50">
        <v>48</v>
      </c>
      <c r="D116" s="50" t="str">
        <f>D55</f>
        <v>unit</v>
      </c>
      <c r="E116" s="50" t="str">
        <f>E55</f>
        <v>GENESIS_2050_SOFC-bat_Base</v>
      </c>
      <c r="F116" s="50" t="str">
        <f>F55</f>
        <v>airport</v>
      </c>
      <c r="G116" s="50" t="str">
        <f>G55</f>
        <v>GLO</v>
      </c>
      <c r="H116" s="50" t="s">
        <v>33</v>
      </c>
      <c r="I116" s="50">
        <v>0</v>
      </c>
      <c r="J116" s="51" t="s">
        <v>31</v>
      </c>
      <c r="K116" s="51" t="s">
        <v>31</v>
      </c>
      <c r="L116" s="51" t="s">
        <v>31</v>
      </c>
      <c r="M116" s="51" t="s">
        <v>31</v>
      </c>
      <c r="N116" s="51" t="s">
        <v>31</v>
      </c>
      <c r="O116" s="50" t="str">
        <f>O55</f>
        <v>E273023275094F8195D3F03BCCA9946C</v>
      </c>
      <c r="P116" s="51"/>
    </row>
    <row r="117" spans="1:16" ht="15.6">
      <c r="A117" s="50" t="str">
        <f>A70</f>
        <v>production of charging cable</v>
      </c>
      <c r="B117" s="50">
        <v>4</v>
      </c>
      <c r="D117" s="50" t="str">
        <f>D70</f>
        <v>unit</v>
      </c>
      <c r="E117" s="50" t="str">
        <f>E70</f>
        <v>GENESIS_2050_SOFC-bat_Base</v>
      </c>
      <c r="F117" s="50" t="str">
        <f>F70</f>
        <v>airport</v>
      </c>
      <c r="G117" s="50" t="str">
        <f>G70</f>
        <v>GLO</v>
      </c>
      <c r="H117" s="50" t="s">
        <v>33</v>
      </c>
      <c r="I117" s="50">
        <v>0</v>
      </c>
      <c r="J117" s="51" t="s">
        <v>31</v>
      </c>
      <c r="K117" s="51" t="s">
        <v>31</v>
      </c>
      <c r="L117" s="51" t="s">
        <v>31</v>
      </c>
      <c r="M117" s="51" t="s">
        <v>31</v>
      </c>
      <c r="N117" s="51" t="s">
        <v>31</v>
      </c>
      <c r="O117" s="50" t="str">
        <f>O70</f>
        <v>EF6B3F5E63DC47D3A0BBBDF84D4281CE</v>
      </c>
      <c r="P117" s="51"/>
    </row>
    <row r="118" spans="1:16" ht="15.6">
      <c r="A118" s="50" t="str">
        <f>A86</f>
        <v>produciton of control cabinet, fuses, signal cables</v>
      </c>
      <c r="B118" s="50">
        <v>16</v>
      </c>
      <c r="D118" s="50" t="str">
        <f>D86</f>
        <v>unit</v>
      </c>
      <c r="E118" s="50" t="str">
        <f>E86</f>
        <v>GENESIS_2050_SOFC-bat_Base</v>
      </c>
      <c r="F118" s="50" t="str">
        <f>F86</f>
        <v>airport</v>
      </c>
      <c r="G118" s="50" t="str">
        <f>G86</f>
        <v>GLO</v>
      </c>
      <c r="H118" s="50" t="s">
        <v>33</v>
      </c>
      <c r="I118" s="50">
        <v>0</v>
      </c>
      <c r="J118" s="51" t="s">
        <v>31</v>
      </c>
      <c r="K118" s="51" t="s">
        <v>31</v>
      </c>
      <c r="L118" s="51" t="s">
        <v>31</v>
      </c>
      <c r="M118" s="51" t="s">
        <v>31</v>
      </c>
      <c r="N118" s="51" t="s">
        <v>31</v>
      </c>
      <c r="O118" s="50" t="str">
        <f>O86</f>
        <v>6EA2BFB3D2844F798A82A1136EA2A047</v>
      </c>
      <c r="P118" s="51"/>
    </row>
    <row r="119" spans="1:16" ht="15.6">
      <c r="A119" s="50" t="str">
        <f>A98</f>
        <v>produciton of fans</v>
      </c>
      <c r="B119" s="50">
        <v>48</v>
      </c>
      <c r="D119" s="50" t="str">
        <f>D98</f>
        <v>unit</v>
      </c>
      <c r="E119" s="50" t="str">
        <f>E98</f>
        <v>GENESIS_2050_SOFC-bat_Base</v>
      </c>
      <c r="F119" s="50" t="str">
        <f>F98</f>
        <v>airport</v>
      </c>
      <c r="G119" s="50" t="str">
        <f>G98</f>
        <v>GLO</v>
      </c>
      <c r="H119" s="50" t="s">
        <v>33</v>
      </c>
      <c r="I119" s="50">
        <v>0</v>
      </c>
      <c r="J119" s="51" t="s">
        <v>31</v>
      </c>
      <c r="K119" s="51" t="s">
        <v>31</v>
      </c>
      <c r="L119" s="51" t="s">
        <v>31</v>
      </c>
      <c r="M119" s="51" t="s">
        <v>31</v>
      </c>
      <c r="N119" s="51" t="s">
        <v>31</v>
      </c>
      <c r="O119" s="50" t="str">
        <f>O98</f>
        <v>FB10AE9851404A5D9E9C092A15A46419</v>
      </c>
      <c r="P119" s="51"/>
    </row>
    <row r="120" spans="1:16" ht="15.6">
      <c r="A120" s="50" t="s">
        <v>1628</v>
      </c>
      <c r="B120" s="50">
        <v>1</v>
      </c>
      <c r="D120" s="50" t="s">
        <v>18</v>
      </c>
      <c r="E120" s="50" t="s">
        <v>2</v>
      </c>
      <c r="F120" s="50" t="s">
        <v>1629</v>
      </c>
      <c r="G120" s="50" t="s">
        <v>59</v>
      </c>
      <c r="H120" s="50" t="s">
        <v>33</v>
      </c>
      <c r="I120" s="50">
        <v>0</v>
      </c>
      <c r="J120" s="51" t="s">
        <v>31</v>
      </c>
      <c r="K120" s="51" t="s">
        <v>31</v>
      </c>
      <c r="L120" s="51" t="s">
        <v>31</v>
      </c>
      <c r="M120" s="51" t="s">
        <v>31</v>
      </c>
      <c r="N120" s="51" t="s">
        <v>31</v>
      </c>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D8FBA-CDE7-40BF-A0F7-72EF05B1EFBE}">
  <dimension ref="A1:Q25"/>
  <sheetViews>
    <sheetView topLeftCell="A102" zoomScale="82" workbookViewId="0">
      <selection activeCell="A120" sqref="A120:I126"/>
    </sheetView>
  </sheetViews>
  <sheetFormatPr defaultRowHeight="14.45"/>
  <cols>
    <col min="1" max="1" width="43.140625" bestFit="1" customWidth="1"/>
    <col min="4" max="4" width="34.42578125" bestFit="1" customWidth="1"/>
  </cols>
  <sheetData>
    <row r="1" spans="1:17">
      <c r="A1" t="s">
        <v>0</v>
      </c>
      <c r="B1">
        <v>14</v>
      </c>
    </row>
    <row r="2" spans="1:17" ht="15.6">
      <c r="A2" s="76" t="s">
        <v>5</v>
      </c>
      <c r="B2" s="75" t="s">
        <v>1712</v>
      </c>
      <c r="C2" s="74"/>
      <c r="D2" s="73"/>
      <c r="E2" s="73"/>
      <c r="F2" s="73"/>
      <c r="G2" s="73"/>
      <c r="H2" s="73"/>
      <c r="I2" s="73"/>
      <c r="J2" s="73"/>
      <c r="K2" s="73"/>
      <c r="L2" s="73"/>
      <c r="M2" s="73"/>
      <c r="Q2" t="s">
        <v>830</v>
      </c>
    </row>
    <row r="3" spans="1:17">
      <c r="A3" s="70" t="s">
        <v>7</v>
      </c>
      <c r="B3" t="s">
        <v>1709</v>
      </c>
      <c r="C3" s="72"/>
    </row>
    <row r="4" spans="1:17">
      <c r="A4" s="70" t="s">
        <v>9</v>
      </c>
      <c r="B4" t="s">
        <v>1713</v>
      </c>
      <c r="C4" s="72"/>
    </row>
    <row r="5" spans="1:17">
      <c r="A5" s="70" t="s">
        <v>11</v>
      </c>
      <c r="B5" s="71" t="s">
        <v>833</v>
      </c>
    </row>
    <row r="6" spans="1:17">
      <c r="A6" s="70" t="s">
        <v>13</v>
      </c>
      <c r="B6" s="68" t="s">
        <v>74</v>
      </c>
    </row>
    <row r="7" spans="1:17">
      <c r="A7" s="70" t="s">
        <v>15</v>
      </c>
      <c r="B7">
        <v>1</v>
      </c>
    </row>
    <row r="8" spans="1:17">
      <c r="A8" s="70" t="s">
        <v>16</v>
      </c>
      <c r="B8" t="s">
        <v>17</v>
      </c>
    </row>
    <row r="9" spans="1:17">
      <c r="A9" s="70" t="s">
        <v>18</v>
      </c>
      <c r="B9" t="s">
        <v>37</v>
      </c>
    </row>
    <row r="10" spans="1:17" ht="15.6">
      <c r="A10" s="69" t="s">
        <v>19</v>
      </c>
    </row>
    <row r="11" spans="1:17"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7" ht="15.6">
      <c r="A12" s="17" t="s">
        <v>1712</v>
      </c>
      <c r="B12">
        <v>1</v>
      </c>
      <c r="C12" t="s">
        <v>37</v>
      </c>
      <c r="D12" s="17" t="s">
        <v>2</v>
      </c>
      <c r="E12" t="s">
        <v>29</v>
      </c>
      <c r="F12" s="68" t="s">
        <v>74</v>
      </c>
      <c r="G12" t="s">
        <v>30</v>
      </c>
      <c r="H12">
        <v>1</v>
      </c>
      <c r="I12">
        <v>1</v>
      </c>
      <c r="J12" t="s">
        <v>31</v>
      </c>
      <c r="K12" t="s">
        <v>31</v>
      </c>
      <c r="L12" t="s">
        <v>31</v>
      </c>
      <c r="M12" t="s">
        <v>31</v>
      </c>
    </row>
    <row r="13" spans="1:17" ht="15.6">
      <c r="A13" s="67" t="s">
        <v>834</v>
      </c>
      <c r="B13">
        <v>-1</v>
      </c>
      <c r="C13" t="s">
        <v>37</v>
      </c>
      <c r="D13" s="17" t="s">
        <v>40</v>
      </c>
      <c r="E13" t="s">
        <v>29</v>
      </c>
      <c r="F13" s="68" t="s">
        <v>74</v>
      </c>
      <c r="G13" t="s">
        <v>33</v>
      </c>
      <c r="H13">
        <v>1</v>
      </c>
      <c r="I13">
        <v>1</v>
      </c>
      <c r="J13" t="s">
        <v>31</v>
      </c>
      <c r="K13" t="s">
        <v>31</v>
      </c>
      <c r="L13" t="s">
        <v>31</v>
      </c>
      <c r="M13" t="s">
        <v>31</v>
      </c>
    </row>
    <row r="14" spans="1:17" ht="15.6">
      <c r="A14" s="76" t="s">
        <v>5</v>
      </c>
      <c r="B14" s="75" t="s">
        <v>1714</v>
      </c>
      <c r="C14" s="74"/>
      <c r="D14" s="73"/>
      <c r="E14" s="73"/>
      <c r="F14" s="73"/>
      <c r="G14" s="73"/>
      <c r="H14" s="73"/>
      <c r="I14" s="73"/>
      <c r="J14" s="73"/>
      <c r="K14" s="73"/>
      <c r="L14" s="73"/>
      <c r="M14" s="73"/>
    </row>
    <row r="15" spans="1:17">
      <c r="A15" s="70" t="s">
        <v>7</v>
      </c>
      <c r="B15" t="s">
        <v>1709</v>
      </c>
      <c r="C15" s="72"/>
    </row>
    <row r="16" spans="1:17">
      <c r="A16" s="70" t="s">
        <v>9</v>
      </c>
      <c r="B16" s="22" t="s">
        <v>1715</v>
      </c>
      <c r="C16" s="72"/>
    </row>
    <row r="17" spans="1:14">
      <c r="A17" s="70" t="s">
        <v>11</v>
      </c>
      <c r="B17" s="71" t="s">
        <v>833</v>
      </c>
    </row>
    <row r="18" spans="1:14">
      <c r="A18" s="70" t="s">
        <v>13</v>
      </c>
      <c r="B18" s="68" t="s">
        <v>74</v>
      </c>
    </row>
    <row r="19" spans="1:14">
      <c r="A19" s="70" t="s">
        <v>15</v>
      </c>
      <c r="B19">
        <v>1</v>
      </c>
    </row>
    <row r="20" spans="1:14">
      <c r="A20" s="70" t="s">
        <v>16</v>
      </c>
      <c r="B20" t="s">
        <v>17</v>
      </c>
    </row>
    <row r="21" spans="1:14">
      <c r="A21" s="70" t="s">
        <v>18</v>
      </c>
      <c r="B21" t="s">
        <v>37</v>
      </c>
    </row>
    <row r="22" spans="1:14" ht="15.6">
      <c r="A22" s="69" t="s">
        <v>19</v>
      </c>
    </row>
    <row r="23" spans="1:14" ht="15.6">
      <c r="A23" s="69" t="s">
        <v>20</v>
      </c>
      <c r="B23" s="16" t="s">
        <v>21</v>
      </c>
      <c r="C23" s="16" t="s">
        <v>18</v>
      </c>
      <c r="D23" s="16" t="s">
        <v>22</v>
      </c>
      <c r="E23" s="16" t="s">
        <v>7</v>
      </c>
      <c r="F23" s="16" t="s">
        <v>13</v>
      </c>
      <c r="G23" s="16" t="s">
        <v>16</v>
      </c>
      <c r="H23" s="16" t="s">
        <v>23</v>
      </c>
      <c r="I23" s="16" t="s">
        <v>24</v>
      </c>
      <c r="J23" s="16" t="s">
        <v>25</v>
      </c>
      <c r="K23" s="16" t="s">
        <v>26</v>
      </c>
      <c r="L23" s="16" t="s">
        <v>27</v>
      </c>
      <c r="M23" s="16" t="s">
        <v>28</v>
      </c>
      <c r="N23" s="16" t="s">
        <v>11</v>
      </c>
    </row>
    <row r="24" spans="1:14" ht="15.6">
      <c r="A24" s="17" t="s">
        <v>1714</v>
      </c>
      <c r="B24">
        <v>1</v>
      </c>
      <c r="C24" t="s">
        <v>37</v>
      </c>
      <c r="D24" s="17" t="s">
        <v>2</v>
      </c>
      <c r="E24" t="s">
        <v>29</v>
      </c>
      <c r="F24" s="68" t="s">
        <v>74</v>
      </c>
      <c r="G24" t="s">
        <v>30</v>
      </c>
      <c r="H24">
        <v>1</v>
      </c>
      <c r="I24">
        <v>1</v>
      </c>
      <c r="J24" t="s">
        <v>31</v>
      </c>
      <c r="K24" t="s">
        <v>31</v>
      </c>
      <c r="L24" t="s">
        <v>31</v>
      </c>
      <c r="M24" t="s">
        <v>31</v>
      </c>
    </row>
    <row r="25" spans="1:14" ht="15.6">
      <c r="A25" s="67" t="s">
        <v>223</v>
      </c>
      <c r="B25">
        <v>-1</v>
      </c>
      <c r="C25" t="s">
        <v>37</v>
      </c>
      <c r="D25" s="17" t="s">
        <v>40</v>
      </c>
      <c r="E25" t="s">
        <v>29</v>
      </c>
      <c r="F25" t="s">
        <v>74</v>
      </c>
      <c r="G25" t="s">
        <v>33</v>
      </c>
      <c r="H25">
        <v>1</v>
      </c>
      <c r="I25">
        <v>1</v>
      </c>
      <c r="J25" t="s">
        <v>31</v>
      </c>
      <c r="K25" t="s">
        <v>31</v>
      </c>
      <c r="L25" t="s">
        <v>31</v>
      </c>
      <c r="M25" t="s">
        <v>31</v>
      </c>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BF5E5-7784-45F7-9C4B-EAE58C809269}">
  <dimension ref="A1:T53"/>
  <sheetViews>
    <sheetView topLeftCell="A103" zoomScale="85" zoomScaleNormal="85" workbookViewId="0">
      <selection activeCell="A116" sqref="A116:I130"/>
    </sheetView>
  </sheetViews>
  <sheetFormatPr defaultRowHeight="14.4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6">
      <c r="A2" s="76" t="s">
        <v>5</v>
      </c>
      <c r="B2" s="75" t="s">
        <v>1716</v>
      </c>
      <c r="C2" s="75"/>
      <c r="D2" s="74"/>
      <c r="E2" s="73"/>
      <c r="F2" s="73"/>
      <c r="G2" s="73"/>
      <c r="H2" s="73"/>
      <c r="I2" s="73"/>
      <c r="J2" s="73"/>
      <c r="K2" s="73"/>
      <c r="L2" s="73"/>
      <c r="M2" s="73"/>
      <c r="N2" s="73"/>
    </row>
    <row r="3" spans="1:17">
      <c r="A3" s="70" t="s">
        <v>7</v>
      </c>
      <c r="B3" t="s">
        <v>1709</v>
      </c>
      <c r="D3" s="72"/>
    </row>
    <row r="4" spans="1:17">
      <c r="A4" s="70" t="s">
        <v>9</v>
      </c>
      <c r="B4" t="s">
        <v>1717</v>
      </c>
      <c r="D4" s="72"/>
    </row>
    <row r="5" spans="1:17" ht="15" customHeight="1">
      <c r="A5" s="70" t="s">
        <v>11</v>
      </c>
      <c r="B5" s="71" t="s">
        <v>841</v>
      </c>
      <c r="C5" s="71"/>
    </row>
    <row r="6" spans="1:17">
      <c r="A6" s="70" t="s">
        <v>13</v>
      </c>
      <c r="B6" t="s">
        <v>14</v>
      </c>
      <c r="Q6" t="s">
        <v>1718</v>
      </c>
    </row>
    <row r="7" spans="1:17">
      <c r="A7" s="70" t="s">
        <v>15</v>
      </c>
      <c r="B7">
        <v>7.7843999999999997E-2</v>
      </c>
    </row>
    <row r="8" spans="1:17">
      <c r="A8" s="70" t="s">
        <v>16</v>
      </c>
      <c r="B8" t="s">
        <v>17</v>
      </c>
    </row>
    <row r="9" spans="1:17">
      <c r="A9" s="70" t="s">
        <v>18</v>
      </c>
      <c r="B9" t="s">
        <v>37</v>
      </c>
    </row>
    <row r="10" spans="1:17" ht="15.6">
      <c r="A10" s="69" t="s">
        <v>19</v>
      </c>
    </row>
    <row r="11" spans="1:17" ht="15.6">
      <c r="A11" s="69"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row>
    <row r="12" spans="1:17" ht="15.6">
      <c r="A12" s="67" t="s">
        <v>1716</v>
      </c>
      <c r="B12">
        <v>7.7843999999999997E-2</v>
      </c>
      <c r="D12" t="s">
        <v>37</v>
      </c>
      <c r="E12" s="17" t="s">
        <v>2</v>
      </c>
      <c r="F12" t="s">
        <v>29</v>
      </c>
      <c r="G12" s="68" t="s">
        <v>14</v>
      </c>
      <c r="H12" t="s">
        <v>30</v>
      </c>
      <c r="I12">
        <v>1</v>
      </c>
      <c r="J12">
        <f>B12</f>
        <v>7.7843999999999997E-2</v>
      </c>
      <c r="K12" t="s">
        <v>31</v>
      </c>
      <c r="L12" t="s">
        <v>31</v>
      </c>
      <c r="M12" t="s">
        <v>31</v>
      </c>
      <c r="N12" t="s">
        <v>31</v>
      </c>
    </row>
    <row r="13" spans="1:17" ht="15.6">
      <c r="A13" s="67" t="s">
        <v>1719</v>
      </c>
      <c r="B13">
        <v>1</v>
      </c>
      <c r="D13" t="s">
        <v>18</v>
      </c>
      <c r="E13" s="17" t="s">
        <v>2</v>
      </c>
      <c r="F13" t="s">
        <v>29</v>
      </c>
      <c r="G13" s="68" t="s">
        <v>14</v>
      </c>
      <c r="H13" t="s">
        <v>33</v>
      </c>
      <c r="I13">
        <v>1</v>
      </c>
      <c r="J13">
        <f>B13</f>
        <v>1</v>
      </c>
      <c r="K13" t="s">
        <v>31</v>
      </c>
      <c r="L13" t="s">
        <v>31</v>
      </c>
      <c r="M13" t="s">
        <v>31</v>
      </c>
      <c r="N13" t="s">
        <v>31</v>
      </c>
    </row>
    <row r="14" spans="1:17" ht="15.6">
      <c r="A14" s="67" t="s">
        <v>38</v>
      </c>
      <c r="B14">
        <v>1.02</v>
      </c>
      <c r="D14" t="s">
        <v>39</v>
      </c>
      <c r="E14" s="17" t="s">
        <v>40</v>
      </c>
      <c r="F14" t="s">
        <v>29</v>
      </c>
      <c r="G14" s="68" t="s">
        <v>14</v>
      </c>
      <c r="H14" t="s">
        <v>33</v>
      </c>
      <c r="I14">
        <v>2</v>
      </c>
      <c r="J14">
        <f t="shared" ref="J14:J27" si="0">LN(B14)</f>
        <v>1.980262729617973E-2</v>
      </c>
      <c r="K14">
        <v>3.7749171999999998E-2</v>
      </c>
      <c r="L14" t="s">
        <v>31</v>
      </c>
      <c r="M14" t="s">
        <v>31</v>
      </c>
      <c r="N14" t="s">
        <v>31</v>
      </c>
    </row>
    <row r="15" spans="1:17" ht="15.6">
      <c r="A15" s="67" t="s">
        <v>843</v>
      </c>
      <c r="B15">
        <f>1.4/1000</f>
        <v>1.4E-3</v>
      </c>
      <c r="D15" t="s">
        <v>37</v>
      </c>
      <c r="E15" s="17" t="s">
        <v>40</v>
      </c>
      <c r="F15" t="s">
        <v>29</v>
      </c>
      <c r="G15" s="68" t="s">
        <v>35</v>
      </c>
      <c r="H15" t="s">
        <v>33</v>
      </c>
      <c r="I15">
        <v>2</v>
      </c>
      <c r="J15">
        <f t="shared" si="0"/>
        <v>-6.5712830423609239</v>
      </c>
      <c r="K15">
        <v>3.7749171999999998E-2</v>
      </c>
      <c r="L15" t="s">
        <v>31</v>
      </c>
      <c r="M15" t="s">
        <v>31</v>
      </c>
      <c r="N15" t="s">
        <v>31</v>
      </c>
    </row>
    <row r="16" spans="1:17" ht="15.6">
      <c r="A16" s="67" t="s">
        <v>489</v>
      </c>
      <c r="B16">
        <f>0.2/1000</f>
        <v>2.0000000000000001E-4</v>
      </c>
      <c r="D16" t="s">
        <v>37</v>
      </c>
      <c r="E16" s="17" t="s">
        <v>40</v>
      </c>
      <c r="F16" t="s">
        <v>29</v>
      </c>
      <c r="G16" s="68" t="s">
        <v>59</v>
      </c>
      <c r="H16" t="s">
        <v>33</v>
      </c>
      <c r="I16">
        <v>2</v>
      </c>
      <c r="J16">
        <f t="shared" si="0"/>
        <v>-8.5171931914162382</v>
      </c>
      <c r="K16">
        <v>3.7749171999999998E-2</v>
      </c>
      <c r="L16" t="s">
        <v>31</v>
      </c>
      <c r="M16" t="s">
        <v>31</v>
      </c>
      <c r="N16" t="s">
        <v>31</v>
      </c>
    </row>
    <row r="17" spans="1:17" ht="15.6">
      <c r="A17" s="67" t="s">
        <v>844</v>
      </c>
      <c r="B17">
        <f>7.1/1000</f>
        <v>7.0999999999999995E-3</v>
      </c>
      <c r="D17" t="s">
        <v>37</v>
      </c>
      <c r="E17" s="17" t="s">
        <v>40</v>
      </c>
      <c r="F17" t="s">
        <v>29</v>
      </c>
      <c r="G17" s="68" t="s">
        <v>74</v>
      </c>
      <c r="H17" t="s">
        <v>33</v>
      </c>
      <c r="I17">
        <v>2</v>
      </c>
      <c r="J17">
        <f t="shared" si="0"/>
        <v>-4.9476604949348673</v>
      </c>
      <c r="K17">
        <v>3.7749171999999998E-2</v>
      </c>
      <c r="L17" t="s">
        <v>31</v>
      </c>
      <c r="M17" t="s">
        <v>31</v>
      </c>
      <c r="N17" t="s">
        <v>31</v>
      </c>
    </row>
    <row r="18" spans="1:17" ht="15.6">
      <c r="A18" s="67" t="s">
        <v>845</v>
      </c>
      <c r="B18">
        <v>1.4</v>
      </c>
      <c r="D18" t="s">
        <v>37</v>
      </c>
      <c r="E18" s="17" t="s">
        <v>40</v>
      </c>
      <c r="F18" t="s">
        <v>29</v>
      </c>
      <c r="G18" s="68" t="s">
        <v>35</v>
      </c>
      <c r="H18" t="s">
        <v>33</v>
      </c>
      <c r="I18">
        <v>2</v>
      </c>
      <c r="J18">
        <f t="shared" si="0"/>
        <v>0.33647223662121289</v>
      </c>
      <c r="K18">
        <v>3.7749171999999998E-2</v>
      </c>
      <c r="L18" t="s">
        <v>31</v>
      </c>
      <c r="M18" t="s">
        <v>31</v>
      </c>
      <c r="N18" t="s">
        <v>31</v>
      </c>
    </row>
    <row r="19" spans="1:17" ht="15.6">
      <c r="A19" s="67" t="s">
        <v>846</v>
      </c>
      <c r="B19">
        <v>2E-3</v>
      </c>
      <c r="D19" t="s">
        <v>37</v>
      </c>
      <c r="E19" s="17" t="s">
        <v>40</v>
      </c>
      <c r="F19" t="s">
        <v>29</v>
      </c>
      <c r="G19" s="68" t="s">
        <v>59</v>
      </c>
      <c r="H19" t="s">
        <v>33</v>
      </c>
      <c r="I19">
        <v>2</v>
      </c>
      <c r="J19">
        <f t="shared" si="0"/>
        <v>-6.2146080984221914</v>
      </c>
      <c r="K19">
        <v>3.7749171999999998E-2</v>
      </c>
      <c r="L19" t="s">
        <v>31</v>
      </c>
      <c r="M19" t="s">
        <v>31</v>
      </c>
      <c r="N19" t="s">
        <v>31</v>
      </c>
    </row>
    <row r="20" spans="1:17" ht="15.6">
      <c r="A20" s="67" t="s">
        <v>847</v>
      </c>
      <c r="B20">
        <v>3.0000000000000001E-3</v>
      </c>
      <c r="D20" t="s">
        <v>37</v>
      </c>
      <c r="E20" s="17" t="s">
        <v>40</v>
      </c>
      <c r="F20" t="s">
        <v>29</v>
      </c>
      <c r="G20" s="68" t="s">
        <v>59</v>
      </c>
      <c r="H20" t="s">
        <v>33</v>
      </c>
      <c r="I20">
        <v>2</v>
      </c>
      <c r="J20">
        <f t="shared" si="0"/>
        <v>-5.8091429903140277</v>
      </c>
      <c r="K20">
        <v>3.7749171999999998E-2</v>
      </c>
      <c r="L20" t="s">
        <v>31</v>
      </c>
      <c r="M20" t="s">
        <v>31</v>
      </c>
      <c r="N20" t="s">
        <v>31</v>
      </c>
    </row>
    <row r="21" spans="1:17" ht="15.6">
      <c r="A21" s="67" t="s">
        <v>848</v>
      </c>
      <c r="B21">
        <v>2.9999999999999997E-4</v>
      </c>
      <c r="D21" t="s">
        <v>37</v>
      </c>
      <c r="E21" s="17" t="s">
        <v>40</v>
      </c>
      <c r="F21" t="s">
        <v>29</v>
      </c>
      <c r="G21" s="68" t="s">
        <v>35</v>
      </c>
      <c r="H21" t="s">
        <v>33</v>
      </c>
      <c r="I21">
        <v>2</v>
      </c>
      <c r="J21">
        <f t="shared" si="0"/>
        <v>-8.1117280833080727</v>
      </c>
      <c r="K21">
        <v>3.7749171999999998E-2</v>
      </c>
      <c r="L21" t="s">
        <v>31</v>
      </c>
      <c r="M21" t="s">
        <v>31</v>
      </c>
      <c r="N21" t="s">
        <v>31</v>
      </c>
    </row>
    <row r="22" spans="1:17" ht="15.6">
      <c r="A22" s="67" t="s">
        <v>849</v>
      </c>
      <c r="B22">
        <v>1.5E-3</v>
      </c>
      <c r="D22" t="s">
        <v>37</v>
      </c>
      <c r="E22" s="17" t="s">
        <v>40</v>
      </c>
      <c r="F22" t="s">
        <v>29</v>
      </c>
      <c r="G22" s="68" t="s">
        <v>59</v>
      </c>
      <c r="H22" t="s">
        <v>33</v>
      </c>
      <c r="I22">
        <v>2</v>
      </c>
      <c r="J22">
        <f t="shared" si="0"/>
        <v>-6.5022901708739722</v>
      </c>
      <c r="K22">
        <v>3.7749171999999998E-2</v>
      </c>
      <c r="L22" t="s">
        <v>31</v>
      </c>
      <c r="M22" t="s">
        <v>31</v>
      </c>
      <c r="N22" t="s">
        <v>31</v>
      </c>
    </row>
    <row r="23" spans="1:17" ht="15.6">
      <c r="A23" s="67" t="s">
        <v>850</v>
      </c>
      <c r="B23">
        <v>5.0000000000000001E-4</v>
      </c>
      <c r="D23" t="s">
        <v>37</v>
      </c>
      <c r="E23" s="17" t="s">
        <v>40</v>
      </c>
      <c r="F23" t="s">
        <v>29</v>
      </c>
      <c r="G23" s="68" t="s">
        <v>35</v>
      </c>
      <c r="H23" t="s">
        <v>33</v>
      </c>
      <c r="I23">
        <v>2</v>
      </c>
      <c r="J23">
        <f t="shared" si="0"/>
        <v>-7.6009024595420822</v>
      </c>
      <c r="K23">
        <v>3.7749171999999998E-2</v>
      </c>
      <c r="L23" t="s">
        <v>31</v>
      </c>
      <c r="M23" t="s">
        <v>31</v>
      </c>
      <c r="N23" t="s">
        <v>31</v>
      </c>
    </row>
    <row r="24" spans="1:17" ht="15.6">
      <c r="A24" s="67" t="s">
        <v>502</v>
      </c>
      <c r="B24">
        <v>8.9999999999999992E-5</v>
      </c>
      <c r="D24" t="s">
        <v>37</v>
      </c>
      <c r="E24" s="17" t="s">
        <v>43</v>
      </c>
      <c r="F24" t="s">
        <v>44</v>
      </c>
      <c r="G24" s="68" t="s">
        <v>29</v>
      </c>
      <c r="H24" t="s">
        <v>45</v>
      </c>
      <c r="I24">
        <v>2</v>
      </c>
      <c r="J24">
        <f t="shared" si="0"/>
        <v>-9.3157008876340086</v>
      </c>
      <c r="K24">
        <v>3.7749171999999998E-2</v>
      </c>
      <c r="L24" t="s">
        <v>31</v>
      </c>
      <c r="M24" t="s">
        <v>31</v>
      </c>
      <c r="N24" t="s">
        <v>31</v>
      </c>
    </row>
    <row r="25" spans="1:17" ht="15.6">
      <c r="A25" s="67" t="s">
        <v>807</v>
      </c>
      <c r="B25">
        <v>3.3999999999999998E-3</v>
      </c>
      <c r="D25" t="s">
        <v>37</v>
      </c>
      <c r="E25" s="17" t="s">
        <v>43</v>
      </c>
      <c r="F25" t="s">
        <v>44</v>
      </c>
      <c r="G25" s="68" t="s">
        <v>29</v>
      </c>
      <c r="H25" t="s">
        <v>45</v>
      </c>
      <c r="I25">
        <v>2</v>
      </c>
      <c r="J25">
        <f t="shared" si="0"/>
        <v>-5.6839798473600212</v>
      </c>
      <c r="K25">
        <v>3.7749171999999998E-2</v>
      </c>
      <c r="L25" t="s">
        <v>31</v>
      </c>
      <c r="M25" t="s">
        <v>31</v>
      </c>
      <c r="N25" t="s">
        <v>31</v>
      </c>
    </row>
    <row r="26" spans="1:17" ht="15.6">
      <c r="A26" s="17" t="s">
        <v>1712</v>
      </c>
      <c r="B26">
        <v>1.4E-3</v>
      </c>
      <c r="D26" t="s">
        <v>37</v>
      </c>
      <c r="E26" s="17" t="s">
        <v>2</v>
      </c>
      <c r="F26" t="s">
        <v>29</v>
      </c>
      <c r="G26" s="68" t="s">
        <v>74</v>
      </c>
      <c r="H26" t="s">
        <v>33</v>
      </c>
      <c r="I26">
        <v>2</v>
      </c>
      <c r="J26">
        <f t="shared" si="0"/>
        <v>-6.5712830423609239</v>
      </c>
      <c r="K26">
        <v>3.7749171999999998E-2</v>
      </c>
      <c r="L26" t="s">
        <v>31</v>
      </c>
      <c r="M26" t="s">
        <v>31</v>
      </c>
      <c r="N26" t="s">
        <v>31</v>
      </c>
    </row>
    <row r="27" spans="1:17" ht="15.6">
      <c r="A27" s="17" t="s">
        <v>1714</v>
      </c>
      <c r="B27">
        <v>6.0000000000000002E-5</v>
      </c>
      <c r="D27" t="s">
        <v>37</v>
      </c>
      <c r="E27" s="17" t="s">
        <v>2</v>
      </c>
      <c r="F27" t="s">
        <v>29</v>
      </c>
      <c r="G27" t="s">
        <v>74</v>
      </c>
      <c r="H27" t="s">
        <v>33</v>
      </c>
      <c r="I27">
        <v>2</v>
      </c>
      <c r="J27">
        <f t="shared" si="0"/>
        <v>-9.7211659957421741</v>
      </c>
      <c r="K27">
        <v>3.7749171999999998E-2</v>
      </c>
      <c r="L27" t="s">
        <v>31</v>
      </c>
      <c r="M27" t="s">
        <v>31</v>
      </c>
      <c r="N27" t="s">
        <v>31</v>
      </c>
    </row>
    <row r="28" spans="1:17" ht="15.6">
      <c r="A28" s="76" t="s">
        <v>5</v>
      </c>
      <c r="B28" s="75" t="s">
        <v>1719</v>
      </c>
      <c r="C28" s="75"/>
      <c r="D28" s="74"/>
      <c r="E28" s="73"/>
      <c r="F28" s="73"/>
      <c r="G28" s="73"/>
      <c r="H28" s="73"/>
      <c r="I28" s="73"/>
      <c r="J28" s="73"/>
      <c r="K28" s="73"/>
      <c r="L28" s="73"/>
      <c r="M28" s="73"/>
      <c r="N28" s="73"/>
    </row>
    <row r="29" spans="1:17">
      <c r="A29" s="70" t="s">
        <v>7</v>
      </c>
      <c r="B29" t="s">
        <v>1709</v>
      </c>
      <c r="D29" s="72"/>
      <c r="Q29" t="s">
        <v>1718</v>
      </c>
    </row>
    <row r="30" spans="1:17">
      <c r="A30" s="70" t="s">
        <v>9</v>
      </c>
      <c r="B30" t="s">
        <v>1720</v>
      </c>
      <c r="D30" s="72"/>
    </row>
    <row r="31" spans="1:17" ht="15.75" customHeight="1">
      <c r="A31" s="70" t="s">
        <v>11</v>
      </c>
      <c r="B31" s="71" t="s">
        <v>841</v>
      </c>
      <c r="C31" s="71"/>
    </row>
    <row r="32" spans="1:17">
      <c r="A32" s="70" t="s">
        <v>13</v>
      </c>
      <c r="B32" t="s">
        <v>14</v>
      </c>
    </row>
    <row r="33" spans="1:20">
      <c r="A33" s="70" t="s">
        <v>15</v>
      </c>
      <c r="B33">
        <v>1</v>
      </c>
    </row>
    <row r="34" spans="1:20">
      <c r="A34" s="70" t="s">
        <v>16</v>
      </c>
      <c r="B34" t="s">
        <v>17</v>
      </c>
    </row>
    <row r="35" spans="1:20">
      <c r="A35" s="70" t="s">
        <v>18</v>
      </c>
      <c r="B35" t="s">
        <v>18</v>
      </c>
    </row>
    <row r="36" spans="1:20" ht="15.6">
      <c r="A36" s="69" t="s">
        <v>19</v>
      </c>
    </row>
    <row r="37" spans="1:20" ht="15.6">
      <c r="A37" s="69" t="s">
        <v>20</v>
      </c>
      <c r="B37" s="16" t="s">
        <v>21</v>
      </c>
      <c r="C37" s="83" t="s">
        <v>186</v>
      </c>
      <c r="D37" s="16" t="s">
        <v>18</v>
      </c>
      <c r="E37" s="16" t="s">
        <v>22</v>
      </c>
      <c r="F37" s="16" t="s">
        <v>7</v>
      </c>
      <c r="G37" s="16" t="s">
        <v>13</v>
      </c>
      <c r="H37" s="16" t="s">
        <v>16</v>
      </c>
      <c r="I37" s="16" t="s">
        <v>23</v>
      </c>
      <c r="J37" s="16" t="s">
        <v>24</v>
      </c>
      <c r="K37" s="16" t="s">
        <v>25</v>
      </c>
      <c r="L37" s="16" t="s">
        <v>26</v>
      </c>
      <c r="M37" s="16" t="s">
        <v>27</v>
      </c>
      <c r="N37" s="16" t="s">
        <v>28</v>
      </c>
      <c r="O37" s="16" t="s">
        <v>11</v>
      </c>
    </row>
    <row r="38" spans="1:20" ht="15.6">
      <c r="A38" s="67" t="s">
        <v>1719</v>
      </c>
      <c r="B38">
        <v>1</v>
      </c>
      <c r="D38" t="s">
        <v>18</v>
      </c>
      <c r="E38" s="17" t="s">
        <v>2</v>
      </c>
      <c r="F38" t="s">
        <v>29</v>
      </c>
      <c r="G38" s="68" t="s">
        <v>14</v>
      </c>
      <c r="H38" t="s">
        <v>30</v>
      </c>
      <c r="I38">
        <v>1</v>
      </c>
      <c r="J38">
        <f>B38</f>
        <v>1</v>
      </c>
      <c r="K38" t="s">
        <v>31</v>
      </c>
      <c r="L38" t="s">
        <v>31</v>
      </c>
      <c r="M38" t="s">
        <v>31</v>
      </c>
      <c r="N38" t="s">
        <v>31</v>
      </c>
    </row>
    <row r="39" spans="1:20" ht="15.6">
      <c r="A39" s="67" t="s">
        <v>852</v>
      </c>
      <c r="B39">
        <f t="shared" ref="B39:B50" si="1">T39</f>
        <v>1.4999999999999999E-2</v>
      </c>
      <c r="D39" t="s">
        <v>853</v>
      </c>
      <c r="E39" s="17" t="s">
        <v>40</v>
      </c>
      <c r="F39" t="s">
        <v>29</v>
      </c>
      <c r="G39" s="68" t="s">
        <v>59</v>
      </c>
      <c r="H39" t="s">
        <v>33</v>
      </c>
      <c r="I39">
        <v>2</v>
      </c>
      <c r="J39">
        <f t="shared" ref="J39:J50" si="2">LN(B39)</f>
        <v>-4.1997050778799272</v>
      </c>
      <c r="K39">
        <v>2.8722813232690055E-2</v>
      </c>
      <c r="L39" t="s">
        <v>31</v>
      </c>
      <c r="M39" t="s">
        <v>31</v>
      </c>
      <c r="N39" t="s">
        <v>31</v>
      </c>
      <c r="Q39" s="80" t="s">
        <v>854</v>
      </c>
      <c r="R39" s="81">
        <v>1.5</v>
      </c>
      <c r="S39" t="s">
        <v>855</v>
      </c>
      <c r="T39">
        <f>R39*0.01</f>
        <v>1.4999999999999999E-2</v>
      </c>
    </row>
    <row r="40" spans="1:20" ht="15.6">
      <c r="A40" s="67" t="s">
        <v>856</v>
      </c>
      <c r="B40">
        <f t="shared" si="1"/>
        <v>2.8E-3</v>
      </c>
      <c r="D40" t="s">
        <v>37</v>
      </c>
      <c r="E40" s="17" t="s">
        <v>40</v>
      </c>
      <c r="F40" t="s">
        <v>29</v>
      </c>
      <c r="G40" s="68" t="s">
        <v>59</v>
      </c>
      <c r="H40" t="s">
        <v>33</v>
      </c>
      <c r="I40">
        <v>2</v>
      </c>
      <c r="J40">
        <f t="shared" si="2"/>
        <v>-5.8781358618009785</v>
      </c>
      <c r="K40">
        <v>2.8722813232690055E-2</v>
      </c>
      <c r="L40" t="s">
        <v>31</v>
      </c>
      <c r="M40" t="s">
        <v>31</v>
      </c>
      <c r="N40" t="s">
        <v>31</v>
      </c>
      <c r="Q40" s="78" t="s">
        <v>857</v>
      </c>
      <c r="R40" s="77">
        <v>2.8</v>
      </c>
      <c r="S40" t="s">
        <v>275</v>
      </c>
      <c r="T40">
        <f>R40*0.001</f>
        <v>2.8E-3</v>
      </c>
    </row>
    <row r="41" spans="1:20" ht="15.6">
      <c r="A41" s="67" t="s">
        <v>858</v>
      </c>
      <c r="B41">
        <f t="shared" si="1"/>
        <v>2.2000000000000001E-3</v>
      </c>
      <c r="D41" t="s">
        <v>37</v>
      </c>
      <c r="E41" s="17" t="s">
        <v>40</v>
      </c>
      <c r="F41" t="s">
        <v>29</v>
      </c>
      <c r="G41" s="68" t="s">
        <v>59</v>
      </c>
      <c r="H41" t="s">
        <v>33</v>
      </c>
      <c r="I41">
        <v>2</v>
      </c>
      <c r="J41">
        <f t="shared" si="2"/>
        <v>-6.1192979186178666</v>
      </c>
      <c r="K41">
        <v>2.8722813232690055E-2</v>
      </c>
      <c r="L41" t="s">
        <v>31</v>
      </c>
      <c r="M41" t="s">
        <v>31</v>
      </c>
      <c r="N41" t="s">
        <v>31</v>
      </c>
      <c r="Q41" s="80" t="s">
        <v>857</v>
      </c>
      <c r="R41" s="81">
        <v>2.2000000000000002</v>
      </c>
      <c r="S41" t="s">
        <v>275</v>
      </c>
      <c r="T41">
        <f>R41*0.001</f>
        <v>2.2000000000000001E-3</v>
      </c>
    </row>
    <row r="42" spans="1:20" ht="15.6">
      <c r="A42" s="67" t="s">
        <v>859</v>
      </c>
      <c r="B42">
        <f t="shared" si="1"/>
        <v>2.2000000000000001E-3</v>
      </c>
      <c r="D42" t="s">
        <v>37</v>
      </c>
      <c r="E42" s="17" t="s">
        <v>40</v>
      </c>
      <c r="F42" t="s">
        <v>29</v>
      </c>
      <c r="G42" s="68" t="s">
        <v>59</v>
      </c>
      <c r="H42" t="s">
        <v>33</v>
      </c>
      <c r="I42">
        <v>2</v>
      </c>
      <c r="J42">
        <f t="shared" si="2"/>
        <v>-6.1192979186178666</v>
      </c>
      <c r="K42">
        <v>2.8722813232690055E-2</v>
      </c>
      <c r="L42" t="s">
        <v>31</v>
      </c>
      <c r="M42" t="s">
        <v>31</v>
      </c>
      <c r="N42" t="s">
        <v>31</v>
      </c>
      <c r="Q42" s="78" t="s">
        <v>857</v>
      </c>
      <c r="R42" s="77">
        <v>2.2000000000000002</v>
      </c>
      <c r="S42" t="s">
        <v>275</v>
      </c>
      <c r="T42">
        <f>R42*0.001</f>
        <v>2.2000000000000001E-3</v>
      </c>
    </row>
    <row r="43" spans="1:20" ht="15.6">
      <c r="A43" s="67" t="s">
        <v>860</v>
      </c>
      <c r="B43">
        <f t="shared" si="1"/>
        <v>1.8000000000000002E-2</v>
      </c>
      <c r="D43" t="s">
        <v>37</v>
      </c>
      <c r="E43" s="17" t="s">
        <v>40</v>
      </c>
      <c r="F43" t="s">
        <v>29</v>
      </c>
      <c r="G43" s="68" t="s">
        <v>59</v>
      </c>
      <c r="H43" t="s">
        <v>33</v>
      </c>
      <c r="I43">
        <v>2</v>
      </c>
      <c r="J43">
        <f t="shared" si="2"/>
        <v>-4.0173835210859723</v>
      </c>
      <c r="K43">
        <v>2.8722813232690055E-2</v>
      </c>
      <c r="L43" t="s">
        <v>31</v>
      </c>
      <c r="M43" t="s">
        <v>31</v>
      </c>
      <c r="N43" t="s">
        <v>31</v>
      </c>
      <c r="Q43" s="80" t="s">
        <v>857</v>
      </c>
      <c r="R43" s="82">
        <v>18</v>
      </c>
      <c r="S43" t="s">
        <v>275</v>
      </c>
      <c r="T43">
        <f>R43*0.001</f>
        <v>1.8000000000000002E-2</v>
      </c>
    </row>
    <row r="44" spans="1:20" ht="15.6">
      <c r="A44" s="67" t="s">
        <v>861</v>
      </c>
      <c r="B44">
        <f t="shared" si="1"/>
        <v>9.0000000000000002E-6</v>
      </c>
      <c r="D44" t="s">
        <v>37</v>
      </c>
      <c r="E44" s="17" t="s">
        <v>40</v>
      </c>
      <c r="F44" t="s">
        <v>29</v>
      </c>
      <c r="G44" s="68" t="s">
        <v>59</v>
      </c>
      <c r="H44" t="s">
        <v>33</v>
      </c>
      <c r="I44">
        <v>2</v>
      </c>
      <c r="J44">
        <f t="shared" si="2"/>
        <v>-11.618285980628055</v>
      </c>
      <c r="K44">
        <v>2.8722813232690055E-2</v>
      </c>
      <c r="L44" t="s">
        <v>31</v>
      </c>
      <c r="M44" t="s">
        <v>31</v>
      </c>
      <c r="N44" t="s">
        <v>31</v>
      </c>
      <c r="Q44" s="78" t="s">
        <v>862</v>
      </c>
      <c r="R44" s="77">
        <v>9</v>
      </c>
      <c r="S44" t="s">
        <v>275</v>
      </c>
      <c r="T44">
        <f>R44*0.000001</f>
        <v>9.0000000000000002E-6</v>
      </c>
    </row>
    <row r="45" spans="1:20" ht="15.6">
      <c r="A45" s="67" t="s">
        <v>863</v>
      </c>
      <c r="B45">
        <f t="shared" si="1"/>
        <v>3.8E-3</v>
      </c>
      <c r="D45" t="s">
        <v>37</v>
      </c>
      <c r="E45" s="17" t="s">
        <v>40</v>
      </c>
      <c r="F45" t="s">
        <v>29</v>
      </c>
      <c r="G45" s="68" t="s">
        <v>59</v>
      </c>
      <c r="H45" t="s">
        <v>33</v>
      </c>
      <c r="I45">
        <v>2</v>
      </c>
      <c r="J45">
        <f t="shared" si="2"/>
        <v>-5.5727542122497971</v>
      </c>
      <c r="K45">
        <v>2.8722813232690055E-2</v>
      </c>
      <c r="L45" t="s">
        <v>31</v>
      </c>
      <c r="M45" t="s">
        <v>31</v>
      </c>
      <c r="N45" t="s">
        <v>31</v>
      </c>
      <c r="Q45" s="80" t="s">
        <v>857</v>
      </c>
      <c r="R45" s="81">
        <v>3.8</v>
      </c>
      <c r="S45" t="s">
        <v>275</v>
      </c>
      <c r="T45">
        <f>R45*0.001</f>
        <v>3.8E-3</v>
      </c>
    </row>
    <row r="46" spans="1:20" ht="15.6">
      <c r="A46" s="67" t="s">
        <v>864</v>
      </c>
      <c r="B46">
        <f t="shared" si="1"/>
        <v>3.7000000000000002E-3</v>
      </c>
      <c r="D46" t="s">
        <v>37</v>
      </c>
      <c r="E46" s="17" t="s">
        <v>40</v>
      </c>
      <c r="F46" t="s">
        <v>29</v>
      </c>
      <c r="G46" s="68" t="s">
        <v>59</v>
      </c>
      <c r="H46" t="s">
        <v>33</v>
      </c>
      <c r="I46">
        <v>2</v>
      </c>
      <c r="J46">
        <f t="shared" si="2"/>
        <v>-5.5994224593319579</v>
      </c>
      <c r="K46">
        <v>2.8722813232690055E-2</v>
      </c>
      <c r="L46" t="s">
        <v>31</v>
      </c>
      <c r="M46" t="s">
        <v>31</v>
      </c>
      <c r="N46" t="s">
        <v>31</v>
      </c>
      <c r="Q46" s="78" t="s">
        <v>857</v>
      </c>
      <c r="R46" s="77">
        <v>3.7</v>
      </c>
      <c r="S46" t="s">
        <v>275</v>
      </c>
      <c r="T46">
        <f>R46*0.001</f>
        <v>3.7000000000000002E-3</v>
      </c>
    </row>
    <row r="47" spans="1:20" ht="15.6">
      <c r="A47" s="67" t="s">
        <v>865</v>
      </c>
      <c r="B47">
        <f t="shared" si="1"/>
        <v>3.4999999999999997E-5</v>
      </c>
      <c r="D47" t="s">
        <v>37</v>
      </c>
      <c r="E47" s="17" t="s">
        <v>40</v>
      </c>
      <c r="F47" t="s">
        <v>29</v>
      </c>
      <c r="G47" s="68" t="s">
        <v>59</v>
      </c>
      <c r="H47" t="s">
        <v>33</v>
      </c>
      <c r="I47">
        <v>2</v>
      </c>
      <c r="J47">
        <f t="shared" si="2"/>
        <v>-10.260162496474861</v>
      </c>
      <c r="K47">
        <v>2.8722813232690055E-2</v>
      </c>
      <c r="L47" t="s">
        <v>31</v>
      </c>
      <c r="M47" t="s">
        <v>31</v>
      </c>
      <c r="N47" t="s">
        <v>31</v>
      </c>
      <c r="Q47" s="80" t="s">
        <v>862</v>
      </c>
      <c r="R47" s="79">
        <v>35</v>
      </c>
      <c r="S47" t="s">
        <v>275</v>
      </c>
      <c r="T47">
        <f>R47*0.000001</f>
        <v>3.4999999999999997E-5</v>
      </c>
    </row>
    <row r="48" spans="1:20" ht="15.6">
      <c r="A48" s="67" t="s">
        <v>866</v>
      </c>
      <c r="B48">
        <f t="shared" si="1"/>
        <v>1E-3</v>
      </c>
      <c r="D48" t="s">
        <v>37</v>
      </c>
      <c r="E48" s="17" t="s">
        <v>40</v>
      </c>
      <c r="F48" t="s">
        <v>29</v>
      </c>
      <c r="G48" s="68" t="s">
        <v>59</v>
      </c>
      <c r="H48" t="s">
        <v>33</v>
      </c>
      <c r="I48">
        <v>2</v>
      </c>
      <c r="J48">
        <f t="shared" si="2"/>
        <v>-6.9077552789821368</v>
      </c>
      <c r="K48">
        <v>2.8722813232690055E-2</v>
      </c>
      <c r="L48" t="s">
        <v>31</v>
      </c>
      <c r="M48" t="s">
        <v>31</v>
      </c>
      <c r="N48" t="s">
        <v>31</v>
      </c>
      <c r="Q48" s="78" t="s">
        <v>857</v>
      </c>
      <c r="R48" s="77">
        <v>1</v>
      </c>
      <c r="S48" t="s">
        <v>275</v>
      </c>
      <c r="T48">
        <f>R48*0.001</f>
        <v>1E-3</v>
      </c>
    </row>
    <row r="49" spans="1:20" ht="15.6">
      <c r="A49" s="67" t="s">
        <v>867</v>
      </c>
      <c r="B49">
        <f t="shared" si="1"/>
        <v>0.03</v>
      </c>
      <c r="D49" t="s">
        <v>37</v>
      </c>
      <c r="E49" s="17" t="s">
        <v>40</v>
      </c>
      <c r="F49" t="s">
        <v>29</v>
      </c>
      <c r="G49" s="68" t="s">
        <v>59</v>
      </c>
      <c r="H49" t="s">
        <v>33</v>
      </c>
      <c r="I49">
        <v>2</v>
      </c>
      <c r="J49">
        <f t="shared" si="2"/>
        <v>-3.5065578973199818</v>
      </c>
      <c r="K49">
        <v>2.8722813232690055E-2</v>
      </c>
      <c r="L49" t="s">
        <v>31</v>
      </c>
      <c r="M49" t="s">
        <v>31</v>
      </c>
      <c r="N49" t="s">
        <v>31</v>
      </c>
      <c r="Q49" s="80" t="s">
        <v>857</v>
      </c>
      <c r="R49" s="79">
        <v>30</v>
      </c>
      <c r="S49" t="s">
        <v>275</v>
      </c>
      <c r="T49">
        <f>R49*0.001</f>
        <v>0.03</v>
      </c>
    </row>
    <row r="50" spans="1:20" ht="15.6">
      <c r="A50" s="67" t="s">
        <v>868</v>
      </c>
      <c r="B50">
        <f t="shared" si="1"/>
        <v>1.3000000000000002E-3</v>
      </c>
      <c r="D50" t="s">
        <v>37</v>
      </c>
      <c r="E50" s="17" t="s">
        <v>40</v>
      </c>
      <c r="F50" t="s">
        <v>29</v>
      </c>
      <c r="G50" s="68" t="s">
        <v>59</v>
      </c>
      <c r="H50" t="s">
        <v>33</v>
      </c>
      <c r="I50">
        <v>2</v>
      </c>
      <c r="J50">
        <f t="shared" si="2"/>
        <v>-6.6453910145146455</v>
      </c>
      <c r="K50">
        <v>2.8722813232690055E-2</v>
      </c>
      <c r="L50" t="s">
        <v>31</v>
      </c>
      <c r="M50" t="s">
        <v>31</v>
      </c>
      <c r="N50" t="s">
        <v>31</v>
      </c>
      <c r="Q50" s="78" t="s">
        <v>857</v>
      </c>
      <c r="R50" s="77">
        <v>1.3</v>
      </c>
      <c r="S50" t="s">
        <v>275</v>
      </c>
      <c r="T50">
        <f>R50*0.001</f>
        <v>1.3000000000000002E-3</v>
      </c>
    </row>
    <row r="51" spans="1:20" ht="15.6">
      <c r="A51" s="67"/>
      <c r="E51" s="17"/>
      <c r="G51" s="68"/>
    </row>
    <row r="52" spans="1:20" ht="15.6">
      <c r="A52" s="17"/>
      <c r="E52" s="17"/>
      <c r="G52" s="68"/>
    </row>
    <row r="53" spans="1:20" ht="15.6">
      <c r="A53" s="17"/>
      <c r="E53" s="17"/>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4DAE-B5FC-45AB-8578-2677EDB661AD}">
  <sheetPr>
    <tabColor theme="6" tint="0.79998168889431442"/>
  </sheetPr>
  <dimension ref="A1:T75"/>
  <sheetViews>
    <sheetView topLeftCell="A103" zoomScale="85" zoomScaleNormal="85" workbookViewId="0">
      <selection activeCell="A117" sqref="A117:H126"/>
    </sheetView>
  </sheetViews>
  <sheetFormatPr defaultRowHeight="14.4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6">
      <c r="A2" s="76" t="s">
        <v>5</v>
      </c>
      <c r="B2" s="75" t="s">
        <v>1721</v>
      </c>
      <c r="C2" s="75"/>
      <c r="D2" s="74"/>
      <c r="E2" s="73"/>
      <c r="F2" s="73"/>
      <c r="G2" s="73"/>
      <c r="H2" s="73"/>
      <c r="I2" s="73"/>
      <c r="J2" s="73"/>
      <c r="K2" s="73"/>
      <c r="L2" s="73"/>
      <c r="M2" s="73"/>
      <c r="N2" s="73"/>
    </row>
    <row r="3" spans="1:20">
      <c r="A3" s="70" t="s">
        <v>7</v>
      </c>
      <c r="B3" t="s">
        <v>1709</v>
      </c>
      <c r="D3" s="72"/>
      <c r="Q3" t="s">
        <v>1718</v>
      </c>
    </row>
    <row r="4" spans="1:20">
      <c r="A4" s="70" t="s">
        <v>9</v>
      </c>
      <c r="B4" s="22" t="s">
        <v>1722</v>
      </c>
      <c r="C4" s="22"/>
      <c r="D4" s="72"/>
    </row>
    <row r="5" spans="1:20" ht="16.5" customHeight="1">
      <c r="A5" s="70" t="s">
        <v>11</v>
      </c>
      <c r="B5" s="71" t="s">
        <v>841</v>
      </c>
      <c r="C5" s="71"/>
    </row>
    <row r="6" spans="1:20">
      <c r="A6" s="70" t="s">
        <v>13</v>
      </c>
      <c r="B6" t="s">
        <v>14</v>
      </c>
    </row>
    <row r="7" spans="1:20">
      <c r="A7" s="70" t="s">
        <v>15</v>
      </c>
      <c r="B7">
        <v>9.8095000000000002E-2</v>
      </c>
    </row>
    <row r="8" spans="1:20">
      <c r="A8" s="70" t="s">
        <v>16</v>
      </c>
      <c r="B8" t="s">
        <v>17</v>
      </c>
    </row>
    <row r="9" spans="1:20">
      <c r="A9" s="70" t="s">
        <v>18</v>
      </c>
      <c r="B9" t="s">
        <v>37</v>
      </c>
    </row>
    <row r="10" spans="1:20" ht="15.6">
      <c r="A10" s="69" t="s">
        <v>19</v>
      </c>
    </row>
    <row r="11" spans="1:20" ht="15.6">
      <c r="A11" s="69"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row>
    <row r="12" spans="1:20" ht="15.6">
      <c r="A12" s="67" t="s">
        <v>1721</v>
      </c>
      <c r="B12">
        <v>9.8095000000000002E-2</v>
      </c>
      <c r="D12" t="s">
        <v>37</v>
      </c>
      <c r="E12" s="17" t="s">
        <v>2</v>
      </c>
      <c r="F12" t="s">
        <v>29</v>
      </c>
      <c r="G12" s="68" t="s">
        <v>14</v>
      </c>
      <c r="H12" t="s">
        <v>30</v>
      </c>
      <c r="I12">
        <v>1</v>
      </c>
      <c r="J12">
        <f>B12</f>
        <v>9.8095000000000002E-2</v>
      </c>
      <c r="K12" t="s">
        <v>31</v>
      </c>
      <c r="L12" t="s">
        <v>31</v>
      </c>
      <c r="M12" t="s">
        <v>31</v>
      </c>
      <c r="N12" t="s">
        <v>31</v>
      </c>
      <c r="Q12" s="90" t="s">
        <v>871</v>
      </c>
    </row>
    <row r="13" spans="1:20" ht="15.6">
      <c r="A13" s="67" t="s">
        <v>1723</v>
      </c>
      <c r="B13">
        <f t="shared" ref="B13:B19" si="0">S13</f>
        <v>6.9999999999999999E-4</v>
      </c>
      <c r="D13" t="s">
        <v>853</v>
      </c>
      <c r="E13" s="17" t="s">
        <v>2</v>
      </c>
      <c r="F13" t="s">
        <v>29</v>
      </c>
      <c r="G13" s="68" t="s">
        <v>14</v>
      </c>
      <c r="H13" t="s">
        <v>33</v>
      </c>
      <c r="I13">
        <v>2</v>
      </c>
      <c r="J13">
        <f t="shared" ref="J13:J19" si="1">LN(B13)</f>
        <v>-7.2644302229208693</v>
      </c>
      <c r="K13">
        <v>2.8722813232690055E-2</v>
      </c>
      <c r="L13" t="s">
        <v>31</v>
      </c>
      <c r="M13" t="s">
        <v>31</v>
      </c>
      <c r="N13" t="s">
        <v>31</v>
      </c>
      <c r="Q13" s="89" t="s">
        <v>873</v>
      </c>
      <c r="R13" s="88">
        <v>6.9999999999999999E-4</v>
      </c>
      <c r="S13" s="85">
        <f>R13</f>
        <v>6.9999999999999999E-4</v>
      </c>
      <c r="T13" t="s">
        <v>855</v>
      </c>
    </row>
    <row r="14" spans="1:20" ht="15.6">
      <c r="A14" s="84" t="s">
        <v>874</v>
      </c>
      <c r="B14">
        <f t="shared" si="0"/>
        <v>4.9000000000000002E-2</v>
      </c>
      <c r="D14" t="s">
        <v>37</v>
      </c>
      <c r="E14" s="17" t="s">
        <v>40</v>
      </c>
      <c r="F14" t="s">
        <v>29</v>
      </c>
      <c r="G14" s="68" t="s">
        <v>59</v>
      </c>
      <c r="H14" t="s">
        <v>33</v>
      </c>
      <c r="I14">
        <v>2</v>
      </c>
      <c r="J14">
        <f t="shared" si="1"/>
        <v>-3.0159349808715104</v>
      </c>
      <c r="K14">
        <v>5.8523499553598146E-2</v>
      </c>
      <c r="L14" t="s">
        <v>31</v>
      </c>
      <c r="M14" t="s">
        <v>31</v>
      </c>
      <c r="N14" t="s">
        <v>31</v>
      </c>
      <c r="Q14" s="80" t="s">
        <v>857</v>
      </c>
      <c r="R14" s="79">
        <v>49</v>
      </c>
      <c r="S14">
        <f>R14*0.001</f>
        <v>4.9000000000000002E-2</v>
      </c>
      <c r="T14" t="s">
        <v>275</v>
      </c>
    </row>
    <row r="15" spans="1:20" ht="15.6">
      <c r="A15" s="84" t="s">
        <v>846</v>
      </c>
      <c r="B15">
        <f t="shared" si="0"/>
        <v>3.1E-4</v>
      </c>
      <c r="D15" t="s">
        <v>37</v>
      </c>
      <c r="E15" s="17" t="s">
        <v>40</v>
      </c>
      <c r="F15" t="s">
        <v>29</v>
      </c>
      <c r="G15" s="68" t="s">
        <v>59</v>
      </c>
      <c r="H15" t="s">
        <v>33</v>
      </c>
      <c r="I15">
        <v>2</v>
      </c>
      <c r="J15">
        <f t="shared" si="1"/>
        <v>-8.0789382604850815</v>
      </c>
      <c r="K15">
        <v>5.8523499553598146E-2</v>
      </c>
      <c r="L15" t="s">
        <v>31</v>
      </c>
      <c r="M15" t="s">
        <v>31</v>
      </c>
      <c r="N15" t="s">
        <v>31</v>
      </c>
      <c r="Q15" s="80" t="s">
        <v>857</v>
      </c>
      <c r="R15" s="87">
        <v>0.31</v>
      </c>
      <c r="S15">
        <f>R15*0.001</f>
        <v>3.1E-4</v>
      </c>
      <c r="T15" t="s">
        <v>275</v>
      </c>
    </row>
    <row r="16" spans="1:20" ht="15.6">
      <c r="A16" s="67" t="s">
        <v>38</v>
      </c>
      <c r="B16">
        <f t="shared" si="0"/>
        <v>0.05</v>
      </c>
      <c r="D16" t="s">
        <v>39</v>
      </c>
      <c r="E16" s="17" t="s">
        <v>40</v>
      </c>
      <c r="F16" t="s">
        <v>29</v>
      </c>
      <c r="G16" s="68" t="s">
        <v>35</v>
      </c>
      <c r="H16" t="s">
        <v>33</v>
      </c>
      <c r="I16">
        <v>2</v>
      </c>
      <c r="J16">
        <f t="shared" si="1"/>
        <v>-2.9957322735539909</v>
      </c>
      <c r="K16">
        <v>3.7749172176353707E-2</v>
      </c>
      <c r="L16" t="s">
        <v>31</v>
      </c>
      <c r="M16" t="s">
        <v>31</v>
      </c>
      <c r="N16" t="s">
        <v>31</v>
      </c>
      <c r="Q16" s="80" t="s">
        <v>271</v>
      </c>
      <c r="R16" s="87">
        <v>0.05</v>
      </c>
      <c r="S16" s="23">
        <f>R16</f>
        <v>0.05</v>
      </c>
      <c r="T16" t="s">
        <v>271</v>
      </c>
    </row>
    <row r="17" spans="1:20" ht="15.6">
      <c r="A17" s="84" t="s">
        <v>875</v>
      </c>
      <c r="B17">
        <f t="shared" si="0"/>
        <v>6.9999999999999999E-6</v>
      </c>
      <c r="D17" t="s">
        <v>37</v>
      </c>
      <c r="E17" s="17" t="s">
        <v>40</v>
      </c>
      <c r="F17" t="s">
        <v>29</v>
      </c>
      <c r="G17" s="68" t="s">
        <v>59</v>
      </c>
      <c r="H17" t="s">
        <v>33</v>
      </c>
      <c r="I17">
        <v>2</v>
      </c>
      <c r="J17">
        <f t="shared" si="1"/>
        <v>-11.86960040890896</v>
      </c>
      <c r="K17">
        <v>3.7749172176353707E-2</v>
      </c>
      <c r="L17" t="s">
        <v>31</v>
      </c>
      <c r="M17" t="s">
        <v>31</v>
      </c>
      <c r="N17" t="s">
        <v>31</v>
      </c>
      <c r="Q17" s="80" t="s">
        <v>857</v>
      </c>
      <c r="R17" s="86">
        <v>7.0000000000000001E-3</v>
      </c>
      <c r="S17">
        <f>R17*0.001</f>
        <v>6.9999999999999999E-6</v>
      </c>
      <c r="T17" t="s">
        <v>275</v>
      </c>
    </row>
    <row r="18" spans="1:20" ht="15.6">
      <c r="A18" s="84" t="s">
        <v>844</v>
      </c>
      <c r="B18">
        <f t="shared" si="0"/>
        <v>1.26E-4</v>
      </c>
      <c r="D18" t="s">
        <v>37</v>
      </c>
      <c r="E18" s="17" t="s">
        <v>40</v>
      </c>
      <c r="F18" t="s">
        <v>29</v>
      </c>
      <c r="G18" s="68" t="s">
        <v>74</v>
      </c>
      <c r="H18" t="s">
        <v>33</v>
      </c>
      <c r="I18">
        <v>2</v>
      </c>
      <c r="J18">
        <f t="shared" si="1"/>
        <v>-8.9792286510127965</v>
      </c>
      <c r="K18">
        <v>3.7749172176353707E-2</v>
      </c>
      <c r="L18" t="s">
        <v>31</v>
      </c>
      <c r="M18" t="s">
        <v>31</v>
      </c>
      <c r="N18" t="s">
        <v>31</v>
      </c>
      <c r="Q18" s="80" t="s">
        <v>857</v>
      </c>
      <c r="R18" s="86">
        <v>0.126</v>
      </c>
      <c r="S18">
        <f>R18*0.001</f>
        <v>1.26E-4</v>
      </c>
      <c r="T18" t="s">
        <v>275</v>
      </c>
    </row>
    <row r="19" spans="1:20" ht="15.6">
      <c r="A19" s="84" t="s">
        <v>845</v>
      </c>
      <c r="B19">
        <f t="shared" si="0"/>
        <v>1.4999999999999999E-2</v>
      </c>
      <c r="D19" t="s">
        <v>37</v>
      </c>
      <c r="E19" s="17" t="s">
        <v>40</v>
      </c>
      <c r="F19" t="s">
        <v>29</v>
      </c>
      <c r="G19" s="68" t="s">
        <v>35</v>
      </c>
      <c r="H19" t="s">
        <v>33</v>
      </c>
      <c r="I19">
        <v>2</v>
      </c>
      <c r="J19">
        <f t="shared" si="1"/>
        <v>-4.1997050778799272</v>
      </c>
      <c r="K19">
        <v>3.7749172176353707E-2</v>
      </c>
      <c r="L19" t="s">
        <v>31</v>
      </c>
      <c r="M19" t="s">
        <v>31</v>
      </c>
      <c r="N19" t="s">
        <v>31</v>
      </c>
      <c r="Q19" s="80" t="s">
        <v>275</v>
      </c>
      <c r="R19" s="86">
        <v>1.4999999999999999E-2</v>
      </c>
      <c r="S19" s="85">
        <f>R19</f>
        <v>1.4999999999999999E-2</v>
      </c>
      <c r="T19" t="s">
        <v>275</v>
      </c>
    </row>
    <row r="20" spans="1:20" ht="15.6">
      <c r="A20" s="76" t="s">
        <v>5</v>
      </c>
      <c r="B20" s="75" t="s">
        <v>1723</v>
      </c>
      <c r="C20" s="75"/>
      <c r="D20" s="74"/>
      <c r="E20" s="73"/>
      <c r="F20" s="73"/>
      <c r="G20" s="73"/>
      <c r="H20" s="73"/>
      <c r="I20" s="73"/>
      <c r="J20" s="73"/>
      <c r="K20" s="73"/>
      <c r="L20" s="73"/>
      <c r="M20" s="73"/>
      <c r="N20" s="73"/>
    </row>
    <row r="21" spans="1:20">
      <c r="A21" s="70" t="s">
        <v>7</v>
      </c>
      <c r="B21" t="s">
        <v>1709</v>
      </c>
      <c r="D21" s="72"/>
    </row>
    <row r="22" spans="1:20">
      <c r="A22" s="70" t="s">
        <v>9</v>
      </c>
      <c r="B22" s="22" t="s">
        <v>1724</v>
      </c>
      <c r="C22" s="22"/>
      <c r="D22" s="72"/>
      <c r="Q22" t="s">
        <v>1718</v>
      </c>
    </row>
    <row r="23" spans="1:20" ht="14.25" customHeight="1">
      <c r="A23" s="70" t="s">
        <v>11</v>
      </c>
      <c r="B23" s="71" t="s">
        <v>841</v>
      </c>
      <c r="C23" s="71"/>
    </row>
    <row r="24" spans="1:20">
      <c r="A24" s="70" t="s">
        <v>13</v>
      </c>
      <c r="B24" t="s">
        <v>14</v>
      </c>
    </row>
    <row r="25" spans="1:20">
      <c r="A25" s="70" t="s">
        <v>15</v>
      </c>
      <c r="B25">
        <v>7.0000000000000001E-3</v>
      </c>
    </row>
    <row r="26" spans="1:20">
      <c r="A26" s="70" t="s">
        <v>16</v>
      </c>
      <c r="B26" t="s">
        <v>17</v>
      </c>
    </row>
    <row r="27" spans="1:20">
      <c r="A27" s="70" t="s">
        <v>18</v>
      </c>
      <c r="B27" t="s">
        <v>853</v>
      </c>
    </row>
    <row r="28" spans="1:20" ht="15.6">
      <c r="A28" s="69" t="s">
        <v>19</v>
      </c>
    </row>
    <row r="29" spans="1:20" ht="15.6">
      <c r="A29" s="69" t="s">
        <v>20</v>
      </c>
      <c r="B29" s="16" t="s">
        <v>21</v>
      </c>
      <c r="C29" s="83" t="s">
        <v>186</v>
      </c>
      <c r="D29" s="16" t="s">
        <v>18</v>
      </c>
      <c r="E29" s="16" t="s">
        <v>22</v>
      </c>
      <c r="F29" s="16" t="s">
        <v>7</v>
      </c>
      <c r="G29" s="16" t="s">
        <v>13</v>
      </c>
      <c r="H29" s="16" t="s">
        <v>16</v>
      </c>
      <c r="I29" s="16" t="s">
        <v>23</v>
      </c>
      <c r="J29" s="16" t="s">
        <v>24</v>
      </c>
      <c r="K29" s="16" t="s">
        <v>25</v>
      </c>
      <c r="L29" s="16" t="s">
        <v>26</v>
      </c>
      <c r="M29" s="16" t="s">
        <v>27</v>
      </c>
      <c r="N29" s="16" t="s">
        <v>28</v>
      </c>
      <c r="O29" s="16" t="s">
        <v>11</v>
      </c>
    </row>
    <row r="30" spans="1:20" ht="15.6">
      <c r="A30" s="67" t="s">
        <v>1723</v>
      </c>
      <c r="B30">
        <v>7.0000000000000001E-3</v>
      </c>
      <c r="D30" t="s">
        <v>853</v>
      </c>
      <c r="E30" s="17" t="s">
        <v>2</v>
      </c>
      <c r="F30" t="s">
        <v>29</v>
      </c>
      <c r="G30" s="68" t="s">
        <v>14</v>
      </c>
      <c r="H30" t="s">
        <v>30</v>
      </c>
      <c r="I30">
        <v>1</v>
      </c>
      <c r="J30">
        <f>B30</f>
        <v>7.0000000000000001E-3</v>
      </c>
      <c r="K30" t="s">
        <v>31</v>
      </c>
      <c r="L30" t="s">
        <v>31</v>
      </c>
      <c r="M30" t="s">
        <v>31</v>
      </c>
      <c r="N30" t="s">
        <v>31</v>
      </c>
    </row>
    <row r="31" spans="1:20" ht="15.6">
      <c r="A31" s="67" t="s">
        <v>1725</v>
      </c>
      <c r="B31">
        <v>1</v>
      </c>
      <c r="D31" t="s">
        <v>18</v>
      </c>
      <c r="E31" s="17" t="s">
        <v>2</v>
      </c>
      <c r="F31" t="s">
        <v>29</v>
      </c>
      <c r="G31" s="68" t="s">
        <v>14</v>
      </c>
      <c r="H31" t="s">
        <v>33</v>
      </c>
      <c r="I31">
        <v>1</v>
      </c>
      <c r="J31">
        <f>B31</f>
        <v>1</v>
      </c>
      <c r="K31" t="s">
        <v>31</v>
      </c>
      <c r="L31" t="s">
        <v>31</v>
      </c>
      <c r="M31" t="s">
        <v>31</v>
      </c>
      <c r="N31" t="s">
        <v>31</v>
      </c>
    </row>
    <row r="32" spans="1:20" ht="15.6">
      <c r="A32" s="67" t="s">
        <v>38</v>
      </c>
      <c r="B32">
        <v>1.02</v>
      </c>
      <c r="D32" t="s">
        <v>39</v>
      </c>
      <c r="E32" s="17" t="s">
        <v>40</v>
      </c>
      <c r="F32" t="s">
        <v>29</v>
      </c>
      <c r="G32" s="68" t="s">
        <v>14</v>
      </c>
      <c r="H32" t="s">
        <v>33</v>
      </c>
      <c r="I32">
        <v>2</v>
      </c>
      <c r="J32">
        <f t="shared" ref="J32:J45" si="2">LN(B32)</f>
        <v>1.980262729617973E-2</v>
      </c>
      <c r="K32">
        <v>3.7749171999999998E-2</v>
      </c>
      <c r="L32" t="s">
        <v>31</v>
      </c>
      <c r="M32" t="s">
        <v>31</v>
      </c>
      <c r="N32" t="s">
        <v>31</v>
      </c>
    </row>
    <row r="33" spans="1:17" ht="15.6">
      <c r="A33" s="67" t="s">
        <v>843</v>
      </c>
      <c r="B33">
        <f>1.4/1000</f>
        <v>1.4E-3</v>
      </c>
      <c r="D33" t="s">
        <v>37</v>
      </c>
      <c r="E33" s="17" t="s">
        <v>40</v>
      </c>
      <c r="F33" t="s">
        <v>29</v>
      </c>
      <c r="G33" s="68" t="s">
        <v>35</v>
      </c>
      <c r="H33" t="s">
        <v>33</v>
      </c>
      <c r="I33">
        <v>2</v>
      </c>
      <c r="J33">
        <f t="shared" si="2"/>
        <v>-6.5712830423609239</v>
      </c>
      <c r="K33">
        <v>3.7749171999999998E-2</v>
      </c>
      <c r="L33" t="s">
        <v>31</v>
      </c>
      <c r="M33" t="s">
        <v>31</v>
      </c>
      <c r="N33" t="s">
        <v>31</v>
      </c>
    </row>
    <row r="34" spans="1:17" ht="15.6">
      <c r="A34" s="67" t="s">
        <v>489</v>
      </c>
      <c r="B34">
        <f>0.2/1000</f>
        <v>2.0000000000000001E-4</v>
      </c>
      <c r="D34" t="s">
        <v>37</v>
      </c>
      <c r="E34" s="17" t="s">
        <v>40</v>
      </c>
      <c r="F34" t="s">
        <v>29</v>
      </c>
      <c r="G34" s="68" t="s">
        <v>59</v>
      </c>
      <c r="H34" t="s">
        <v>33</v>
      </c>
      <c r="I34">
        <v>2</v>
      </c>
      <c r="J34">
        <f t="shared" si="2"/>
        <v>-8.5171931914162382</v>
      </c>
      <c r="K34">
        <v>3.7749171999999998E-2</v>
      </c>
      <c r="L34" t="s">
        <v>31</v>
      </c>
      <c r="M34" t="s">
        <v>31</v>
      </c>
      <c r="N34" t="s">
        <v>31</v>
      </c>
    </row>
    <row r="35" spans="1:17" ht="15.6">
      <c r="A35" s="67" t="s">
        <v>844</v>
      </c>
      <c r="B35">
        <f>7.1/1000</f>
        <v>7.0999999999999995E-3</v>
      </c>
      <c r="D35" t="s">
        <v>37</v>
      </c>
      <c r="E35" s="17" t="s">
        <v>40</v>
      </c>
      <c r="F35" t="s">
        <v>29</v>
      </c>
      <c r="G35" s="68" t="s">
        <v>74</v>
      </c>
      <c r="H35" t="s">
        <v>33</v>
      </c>
      <c r="I35">
        <v>2</v>
      </c>
      <c r="J35">
        <f t="shared" si="2"/>
        <v>-4.9476604949348673</v>
      </c>
      <c r="K35">
        <v>3.7749171999999998E-2</v>
      </c>
      <c r="L35" t="s">
        <v>31</v>
      </c>
      <c r="M35" t="s">
        <v>31</v>
      </c>
      <c r="N35" t="s">
        <v>31</v>
      </c>
    </row>
    <row r="36" spans="1:17" ht="15.6">
      <c r="A36" s="67" t="s">
        <v>845</v>
      </c>
      <c r="B36">
        <v>1.4</v>
      </c>
      <c r="D36" t="s">
        <v>37</v>
      </c>
      <c r="E36" s="17" t="s">
        <v>40</v>
      </c>
      <c r="F36" t="s">
        <v>29</v>
      </c>
      <c r="G36" s="68" t="s">
        <v>35</v>
      </c>
      <c r="H36" t="s">
        <v>33</v>
      </c>
      <c r="I36">
        <v>2</v>
      </c>
      <c r="J36">
        <f t="shared" si="2"/>
        <v>0.33647223662121289</v>
      </c>
      <c r="K36">
        <v>3.7749171999999998E-2</v>
      </c>
      <c r="L36" t="s">
        <v>31</v>
      </c>
      <c r="M36" t="s">
        <v>31</v>
      </c>
      <c r="N36" t="s">
        <v>31</v>
      </c>
    </row>
    <row r="37" spans="1:17" ht="15.6">
      <c r="A37" s="67" t="s">
        <v>846</v>
      </c>
      <c r="B37">
        <v>2E-3</v>
      </c>
      <c r="D37" t="s">
        <v>37</v>
      </c>
      <c r="E37" s="17" t="s">
        <v>40</v>
      </c>
      <c r="F37" t="s">
        <v>29</v>
      </c>
      <c r="G37" s="68" t="s">
        <v>59</v>
      </c>
      <c r="H37" t="s">
        <v>33</v>
      </c>
      <c r="I37">
        <v>2</v>
      </c>
      <c r="J37">
        <f t="shared" si="2"/>
        <v>-6.2146080984221914</v>
      </c>
      <c r="K37">
        <v>3.7749171999999998E-2</v>
      </c>
      <c r="L37" t="s">
        <v>31</v>
      </c>
      <c r="M37" t="s">
        <v>31</v>
      </c>
      <c r="N37" t="s">
        <v>31</v>
      </c>
    </row>
    <row r="38" spans="1:17" ht="15.6">
      <c r="A38" s="67" t="s">
        <v>847</v>
      </c>
      <c r="B38">
        <v>3.0000000000000001E-3</v>
      </c>
      <c r="D38" t="s">
        <v>37</v>
      </c>
      <c r="E38" s="17" t="s">
        <v>40</v>
      </c>
      <c r="F38" t="s">
        <v>29</v>
      </c>
      <c r="G38" s="68" t="s">
        <v>59</v>
      </c>
      <c r="H38" t="s">
        <v>33</v>
      </c>
      <c r="I38">
        <v>2</v>
      </c>
      <c r="J38">
        <f t="shared" si="2"/>
        <v>-5.8091429903140277</v>
      </c>
      <c r="K38">
        <v>3.7749171999999998E-2</v>
      </c>
      <c r="L38" t="s">
        <v>31</v>
      </c>
      <c r="M38" t="s">
        <v>31</v>
      </c>
      <c r="N38" t="s">
        <v>31</v>
      </c>
    </row>
    <row r="39" spans="1:17" ht="15.6">
      <c r="A39" s="67" t="s">
        <v>848</v>
      </c>
      <c r="B39">
        <v>2.9999999999999997E-4</v>
      </c>
      <c r="D39" t="s">
        <v>37</v>
      </c>
      <c r="E39" s="17" t="s">
        <v>40</v>
      </c>
      <c r="F39" t="s">
        <v>29</v>
      </c>
      <c r="G39" s="68" t="s">
        <v>35</v>
      </c>
      <c r="H39" t="s">
        <v>33</v>
      </c>
      <c r="I39">
        <v>2</v>
      </c>
      <c r="J39">
        <f t="shared" si="2"/>
        <v>-8.1117280833080727</v>
      </c>
      <c r="K39">
        <v>3.7749171999999998E-2</v>
      </c>
      <c r="L39" t="s">
        <v>31</v>
      </c>
      <c r="M39" t="s">
        <v>31</v>
      </c>
      <c r="N39" t="s">
        <v>31</v>
      </c>
    </row>
    <row r="40" spans="1:17" ht="15.6">
      <c r="A40" s="67" t="s">
        <v>849</v>
      </c>
      <c r="B40">
        <v>1.5E-3</v>
      </c>
      <c r="D40" t="s">
        <v>37</v>
      </c>
      <c r="E40" s="17" t="s">
        <v>40</v>
      </c>
      <c r="F40" t="s">
        <v>29</v>
      </c>
      <c r="G40" s="68" t="s">
        <v>59</v>
      </c>
      <c r="H40" t="s">
        <v>33</v>
      </c>
      <c r="I40">
        <v>2</v>
      </c>
      <c r="J40">
        <f t="shared" si="2"/>
        <v>-6.5022901708739722</v>
      </c>
      <c r="K40">
        <v>3.7749171999999998E-2</v>
      </c>
      <c r="L40" t="s">
        <v>31</v>
      </c>
      <c r="M40" t="s">
        <v>31</v>
      </c>
      <c r="N40" t="s">
        <v>31</v>
      </c>
    </row>
    <row r="41" spans="1:17" ht="15.6">
      <c r="A41" s="67" t="s">
        <v>850</v>
      </c>
      <c r="B41">
        <v>5.0000000000000001E-4</v>
      </c>
      <c r="D41" t="s">
        <v>37</v>
      </c>
      <c r="E41" s="17" t="s">
        <v>40</v>
      </c>
      <c r="F41" t="s">
        <v>29</v>
      </c>
      <c r="G41" s="68" t="s">
        <v>35</v>
      </c>
      <c r="H41" t="s">
        <v>33</v>
      </c>
      <c r="I41">
        <v>2</v>
      </c>
      <c r="J41">
        <f t="shared" si="2"/>
        <v>-7.6009024595420822</v>
      </c>
      <c r="K41">
        <v>3.7749171999999998E-2</v>
      </c>
      <c r="L41" t="s">
        <v>31</v>
      </c>
      <c r="M41" t="s">
        <v>31</v>
      </c>
      <c r="N41" t="s">
        <v>31</v>
      </c>
    </row>
    <row r="42" spans="1:17" ht="15.6">
      <c r="A42" s="67" t="s">
        <v>502</v>
      </c>
      <c r="B42">
        <v>8.9999999999999992E-5</v>
      </c>
      <c r="D42" t="s">
        <v>37</v>
      </c>
      <c r="E42" s="17" t="s">
        <v>43</v>
      </c>
      <c r="F42" t="s">
        <v>44</v>
      </c>
      <c r="G42" s="68" t="s">
        <v>29</v>
      </c>
      <c r="H42" t="s">
        <v>45</v>
      </c>
      <c r="I42">
        <v>2</v>
      </c>
      <c r="J42">
        <f t="shared" si="2"/>
        <v>-9.3157008876340086</v>
      </c>
      <c r="K42">
        <v>3.7749171999999998E-2</v>
      </c>
      <c r="L42" t="s">
        <v>31</v>
      </c>
      <c r="M42" t="s">
        <v>31</v>
      </c>
      <c r="N42" t="s">
        <v>31</v>
      </c>
    </row>
    <row r="43" spans="1:17" ht="15.6">
      <c r="A43" s="67" t="s">
        <v>807</v>
      </c>
      <c r="B43">
        <v>3.3999999999999998E-3</v>
      </c>
      <c r="D43" t="s">
        <v>37</v>
      </c>
      <c r="E43" s="17" t="s">
        <v>43</v>
      </c>
      <c r="F43" t="s">
        <v>44</v>
      </c>
      <c r="G43" s="68" t="s">
        <v>29</v>
      </c>
      <c r="H43" t="s">
        <v>45</v>
      </c>
      <c r="I43">
        <v>2</v>
      </c>
      <c r="J43">
        <f t="shared" si="2"/>
        <v>-5.6839798473600212</v>
      </c>
      <c r="K43">
        <v>3.7749171999999998E-2</v>
      </c>
      <c r="L43" t="s">
        <v>31</v>
      </c>
      <c r="M43" t="s">
        <v>31</v>
      </c>
      <c r="N43" t="s">
        <v>31</v>
      </c>
    </row>
    <row r="44" spans="1:17" ht="15.6">
      <c r="A44" s="17" t="s">
        <v>1712</v>
      </c>
      <c r="B44">
        <v>1.4E-3</v>
      </c>
      <c r="D44" t="s">
        <v>37</v>
      </c>
      <c r="E44" s="17" t="s">
        <v>2</v>
      </c>
      <c r="F44" t="s">
        <v>29</v>
      </c>
      <c r="G44" s="68" t="s">
        <v>74</v>
      </c>
      <c r="H44" t="s">
        <v>33</v>
      </c>
      <c r="I44">
        <v>2</v>
      </c>
      <c r="J44">
        <f t="shared" si="2"/>
        <v>-6.5712830423609239</v>
      </c>
      <c r="K44">
        <v>3.7749171999999998E-2</v>
      </c>
      <c r="L44" t="s">
        <v>31</v>
      </c>
      <c r="M44" t="s">
        <v>31</v>
      </c>
      <c r="N44" t="s">
        <v>31</v>
      </c>
    </row>
    <row r="45" spans="1:17" ht="15.6">
      <c r="A45" s="17" t="s">
        <v>1714</v>
      </c>
      <c r="B45">
        <v>6.0000000000000002E-5</v>
      </c>
      <c r="D45" t="s">
        <v>37</v>
      </c>
      <c r="E45" s="17" t="s">
        <v>2</v>
      </c>
      <c r="F45" t="s">
        <v>29</v>
      </c>
      <c r="G45" t="s">
        <v>74</v>
      </c>
      <c r="H45" t="s">
        <v>33</v>
      </c>
      <c r="I45">
        <v>2</v>
      </c>
      <c r="J45">
        <f t="shared" si="2"/>
        <v>-9.7211659957421741</v>
      </c>
      <c r="K45">
        <v>3.7749171999999998E-2</v>
      </c>
      <c r="L45" t="s">
        <v>31</v>
      </c>
      <c r="M45" t="s">
        <v>31</v>
      </c>
      <c r="N45" t="s">
        <v>31</v>
      </c>
    </row>
    <row r="46" spans="1:17" ht="15.6">
      <c r="A46" s="76" t="s">
        <v>5</v>
      </c>
      <c r="B46" s="75" t="s">
        <v>1725</v>
      </c>
      <c r="C46" s="75"/>
      <c r="D46" s="74"/>
      <c r="E46" s="73"/>
      <c r="F46" s="73"/>
      <c r="G46" s="73"/>
      <c r="H46" s="73"/>
      <c r="I46" s="73"/>
      <c r="J46" s="73"/>
      <c r="K46" s="73"/>
      <c r="L46" s="73"/>
      <c r="M46" s="73"/>
      <c r="N46" s="73"/>
    </row>
    <row r="47" spans="1:17">
      <c r="A47" s="70" t="s">
        <v>7</v>
      </c>
      <c r="B47" t="s">
        <v>1709</v>
      </c>
      <c r="D47" s="72"/>
      <c r="Q47" t="s">
        <v>1718</v>
      </c>
    </row>
    <row r="48" spans="1:17">
      <c r="A48" s="70" t="s">
        <v>9</v>
      </c>
      <c r="B48" t="s">
        <v>1726</v>
      </c>
      <c r="D48" s="72"/>
    </row>
    <row r="49" spans="1:20" ht="14.25" customHeight="1">
      <c r="A49" s="70" t="s">
        <v>11</v>
      </c>
      <c r="B49" s="71" t="s">
        <v>841</v>
      </c>
      <c r="C49" s="71"/>
    </row>
    <row r="50" spans="1:20">
      <c r="A50" s="70" t="s">
        <v>13</v>
      </c>
      <c r="B50" t="s">
        <v>14</v>
      </c>
    </row>
    <row r="51" spans="1:20">
      <c r="A51" s="70" t="s">
        <v>15</v>
      </c>
      <c r="B51">
        <v>1</v>
      </c>
    </row>
    <row r="52" spans="1:20">
      <c r="A52" s="70" t="s">
        <v>16</v>
      </c>
      <c r="B52" t="s">
        <v>17</v>
      </c>
    </row>
    <row r="53" spans="1:20">
      <c r="A53" s="70" t="s">
        <v>18</v>
      </c>
      <c r="B53" t="s">
        <v>18</v>
      </c>
    </row>
    <row r="54" spans="1:20" ht="15.6">
      <c r="A54" s="69" t="s">
        <v>19</v>
      </c>
    </row>
    <row r="55" spans="1:20" ht="15.6">
      <c r="A55" s="69" t="s">
        <v>20</v>
      </c>
      <c r="B55" s="16" t="s">
        <v>21</v>
      </c>
      <c r="C55" s="83" t="s">
        <v>186</v>
      </c>
      <c r="D55" s="16" t="s">
        <v>18</v>
      </c>
      <c r="E55" s="16" t="s">
        <v>22</v>
      </c>
      <c r="F55" s="16" t="s">
        <v>7</v>
      </c>
      <c r="G55" s="16" t="s">
        <v>13</v>
      </c>
      <c r="H55" s="16" t="s">
        <v>16</v>
      </c>
      <c r="I55" s="16" t="s">
        <v>23</v>
      </c>
      <c r="J55" s="16" t="s">
        <v>24</v>
      </c>
      <c r="K55" s="16" t="s">
        <v>25</v>
      </c>
      <c r="L55" s="16" t="s">
        <v>26</v>
      </c>
      <c r="M55" s="16" t="s">
        <v>27</v>
      </c>
      <c r="N55" s="16" t="s">
        <v>28</v>
      </c>
      <c r="O55" s="16" t="s">
        <v>11</v>
      </c>
    </row>
    <row r="56" spans="1:20" ht="15.6">
      <c r="A56" s="67" t="s">
        <v>1725</v>
      </c>
      <c r="B56">
        <v>1</v>
      </c>
      <c r="D56" t="s">
        <v>18</v>
      </c>
      <c r="E56" s="17" t="s">
        <v>2</v>
      </c>
      <c r="F56" t="s">
        <v>29</v>
      </c>
      <c r="G56" s="68" t="s">
        <v>14</v>
      </c>
      <c r="H56" t="s">
        <v>30</v>
      </c>
      <c r="I56">
        <v>1</v>
      </c>
      <c r="J56">
        <f>B56</f>
        <v>1</v>
      </c>
      <c r="K56" t="s">
        <v>31</v>
      </c>
      <c r="L56" t="s">
        <v>31</v>
      </c>
      <c r="M56" t="s">
        <v>31</v>
      </c>
      <c r="N56" t="s">
        <v>31</v>
      </c>
    </row>
    <row r="57" spans="1:20" ht="15.6">
      <c r="A57" s="67" t="s">
        <v>852</v>
      </c>
      <c r="B57">
        <f t="shared" ref="B57:B70" si="3">T57</f>
        <v>6.9999999999999993E-3</v>
      </c>
      <c r="D57" t="s">
        <v>853</v>
      </c>
      <c r="E57" s="17" t="s">
        <v>40</v>
      </c>
      <c r="F57" t="s">
        <v>29</v>
      </c>
      <c r="G57" s="68" t="s">
        <v>59</v>
      </c>
      <c r="H57" t="s">
        <v>33</v>
      </c>
      <c r="I57">
        <v>2</v>
      </c>
      <c r="J57">
        <f t="shared" ref="J57:J70" si="4">LN(B57)</f>
        <v>-4.9618451299268242</v>
      </c>
      <c r="K57">
        <v>2.8722813232690055E-2</v>
      </c>
      <c r="L57" t="s">
        <v>31</v>
      </c>
      <c r="M57" t="s">
        <v>31</v>
      </c>
      <c r="N57" t="s">
        <v>31</v>
      </c>
      <c r="Q57" s="80" t="s">
        <v>854</v>
      </c>
      <c r="R57" s="81">
        <v>0.7</v>
      </c>
      <c r="S57" t="s">
        <v>855</v>
      </c>
      <c r="T57">
        <f>R57*0.01</f>
        <v>6.9999999999999993E-3</v>
      </c>
    </row>
    <row r="58" spans="1:20" ht="15.6">
      <c r="A58" s="67" t="s">
        <v>856</v>
      </c>
      <c r="B58">
        <f t="shared" si="3"/>
        <v>3.7000000000000002E-3</v>
      </c>
      <c r="D58" t="s">
        <v>37</v>
      </c>
      <c r="E58" s="17" t="s">
        <v>40</v>
      </c>
      <c r="F58" t="s">
        <v>29</v>
      </c>
      <c r="G58" s="68" t="s">
        <v>59</v>
      </c>
      <c r="H58" t="s">
        <v>33</v>
      </c>
      <c r="I58">
        <v>2</v>
      </c>
      <c r="J58">
        <f t="shared" si="4"/>
        <v>-5.5994224593319579</v>
      </c>
      <c r="K58">
        <v>2.8722813232690055E-2</v>
      </c>
      <c r="L58" t="s">
        <v>31</v>
      </c>
      <c r="M58" t="s">
        <v>31</v>
      </c>
      <c r="N58" t="s">
        <v>31</v>
      </c>
      <c r="Q58" s="78" t="s">
        <v>857</v>
      </c>
      <c r="R58" s="77">
        <v>3.7</v>
      </c>
      <c r="S58" t="s">
        <v>275</v>
      </c>
      <c r="T58">
        <f>R58*0.001</f>
        <v>3.7000000000000002E-3</v>
      </c>
    </row>
    <row r="59" spans="1:20" ht="15.6">
      <c r="A59" s="67" t="s">
        <v>858</v>
      </c>
      <c r="B59">
        <f t="shared" si="3"/>
        <v>1.9E-3</v>
      </c>
      <c r="D59" t="s">
        <v>37</v>
      </c>
      <c r="E59" s="17" t="s">
        <v>40</v>
      </c>
      <c r="F59" t="s">
        <v>29</v>
      </c>
      <c r="G59" s="68" t="s">
        <v>59</v>
      </c>
      <c r="H59" t="s">
        <v>33</v>
      </c>
      <c r="I59">
        <v>2</v>
      </c>
      <c r="J59">
        <f t="shared" si="4"/>
        <v>-6.2659013928097425</v>
      </c>
      <c r="K59">
        <v>2.8722813232690055E-2</v>
      </c>
      <c r="L59" t="s">
        <v>31</v>
      </c>
      <c r="M59" t="s">
        <v>31</v>
      </c>
      <c r="N59" t="s">
        <v>31</v>
      </c>
      <c r="Q59" s="80" t="s">
        <v>857</v>
      </c>
      <c r="R59" s="81">
        <v>1.9</v>
      </c>
      <c r="S59" t="s">
        <v>275</v>
      </c>
      <c r="T59">
        <f>R59*0.001</f>
        <v>1.9E-3</v>
      </c>
    </row>
    <row r="60" spans="1:20" ht="15.6">
      <c r="A60" s="67" t="s">
        <v>860</v>
      </c>
      <c r="B60">
        <f t="shared" si="3"/>
        <v>4.7999999999999996E-3</v>
      </c>
      <c r="D60" t="s">
        <v>37</v>
      </c>
      <c r="E60" s="17" t="s">
        <v>40</v>
      </c>
      <c r="F60" t="s">
        <v>29</v>
      </c>
      <c r="G60" s="68" t="s">
        <v>59</v>
      </c>
      <c r="H60" t="s">
        <v>33</v>
      </c>
      <c r="I60">
        <v>2</v>
      </c>
      <c r="J60">
        <f t="shared" si="4"/>
        <v>-5.339139361068292</v>
      </c>
      <c r="K60">
        <v>2.8722813232690055E-2</v>
      </c>
      <c r="L60" t="s">
        <v>31</v>
      </c>
      <c r="M60" t="s">
        <v>31</v>
      </c>
      <c r="N60" t="s">
        <v>31</v>
      </c>
      <c r="Q60" s="80" t="s">
        <v>857</v>
      </c>
      <c r="R60" s="77">
        <v>4.8</v>
      </c>
      <c r="S60" t="s">
        <v>275</v>
      </c>
      <c r="T60">
        <f>R60*0.001</f>
        <v>4.7999999999999996E-3</v>
      </c>
    </row>
    <row r="61" spans="1:20" ht="15.6">
      <c r="A61" t="s">
        <v>879</v>
      </c>
      <c r="B61">
        <f t="shared" si="3"/>
        <v>2.9999999999999997E-4</v>
      </c>
      <c r="D61" t="s">
        <v>37</v>
      </c>
      <c r="E61" s="17" t="s">
        <v>40</v>
      </c>
      <c r="F61" t="s">
        <v>29</v>
      </c>
      <c r="G61" s="68" t="s">
        <v>59</v>
      </c>
      <c r="H61" t="s">
        <v>33</v>
      </c>
      <c r="I61">
        <v>2</v>
      </c>
      <c r="J61">
        <f t="shared" si="4"/>
        <v>-8.1117280833080727</v>
      </c>
      <c r="K61">
        <v>2.8722813232690055E-2</v>
      </c>
      <c r="L61" t="s">
        <v>31</v>
      </c>
      <c r="M61" t="s">
        <v>31</v>
      </c>
      <c r="N61" t="s">
        <v>31</v>
      </c>
      <c r="Q61" s="78" t="s">
        <v>862</v>
      </c>
      <c r="R61" s="82">
        <v>300</v>
      </c>
      <c r="S61" t="s">
        <v>275</v>
      </c>
      <c r="T61">
        <f>R61*0.000001</f>
        <v>2.9999999999999997E-4</v>
      </c>
    </row>
    <row r="62" spans="1:20" ht="15.6">
      <c r="A62" s="67" t="s">
        <v>861</v>
      </c>
      <c r="B62">
        <f t="shared" si="3"/>
        <v>1.1E-5</v>
      </c>
      <c r="D62" t="s">
        <v>37</v>
      </c>
      <c r="E62" s="17" t="s">
        <v>40</v>
      </c>
      <c r="F62" t="s">
        <v>29</v>
      </c>
      <c r="G62" s="68" t="s">
        <v>59</v>
      </c>
      <c r="H62" t="s">
        <v>33</v>
      </c>
      <c r="I62">
        <v>2</v>
      </c>
      <c r="J62">
        <f t="shared" si="4"/>
        <v>-11.417615285165903</v>
      </c>
      <c r="K62">
        <v>2.8722813232690055E-2</v>
      </c>
      <c r="L62" t="s">
        <v>31</v>
      </c>
      <c r="M62" t="s">
        <v>31</v>
      </c>
      <c r="N62" t="s">
        <v>31</v>
      </c>
      <c r="Q62" s="78" t="s">
        <v>862</v>
      </c>
      <c r="R62" s="82">
        <v>11</v>
      </c>
      <c r="S62" t="s">
        <v>275</v>
      </c>
      <c r="T62">
        <f>R62*0.000001</f>
        <v>1.1E-5</v>
      </c>
    </row>
    <row r="63" spans="1:20" ht="15.6">
      <c r="A63" s="67" t="s">
        <v>863</v>
      </c>
      <c r="B63">
        <f t="shared" si="3"/>
        <v>5.4000000000000001E-4</v>
      </c>
      <c r="D63" t="s">
        <v>37</v>
      </c>
      <c r="E63" s="17" t="s">
        <v>40</v>
      </c>
      <c r="F63" t="s">
        <v>29</v>
      </c>
      <c r="G63" s="68" t="s">
        <v>59</v>
      </c>
      <c r="H63" t="s">
        <v>33</v>
      </c>
      <c r="I63">
        <v>2</v>
      </c>
      <c r="J63">
        <f t="shared" si="4"/>
        <v>-7.5239414184059541</v>
      </c>
      <c r="K63">
        <v>2.8722813232690055E-2</v>
      </c>
      <c r="L63" t="s">
        <v>31</v>
      </c>
      <c r="M63" t="s">
        <v>31</v>
      </c>
      <c r="N63" t="s">
        <v>31</v>
      </c>
      <c r="Q63" s="78" t="s">
        <v>862</v>
      </c>
      <c r="R63" s="82">
        <v>540</v>
      </c>
      <c r="S63" t="s">
        <v>275</v>
      </c>
      <c r="T63">
        <f>R63*0.000001</f>
        <v>5.4000000000000001E-4</v>
      </c>
    </row>
    <row r="64" spans="1:20" ht="15.6">
      <c r="A64" s="67" t="s">
        <v>864</v>
      </c>
      <c r="B64">
        <f t="shared" si="3"/>
        <v>6.5000000000000006E-3</v>
      </c>
      <c r="D64" t="s">
        <v>37</v>
      </c>
      <c r="E64" s="17" t="s">
        <v>40</v>
      </c>
      <c r="F64" t="s">
        <v>29</v>
      </c>
      <c r="G64" s="68" t="s">
        <v>59</v>
      </c>
      <c r="H64" t="s">
        <v>33</v>
      </c>
      <c r="I64">
        <v>2</v>
      </c>
      <c r="J64">
        <f t="shared" si="4"/>
        <v>-5.0359531020805459</v>
      </c>
      <c r="K64">
        <v>2.8722813232690055E-2</v>
      </c>
      <c r="L64" t="s">
        <v>31</v>
      </c>
      <c r="M64" t="s">
        <v>31</v>
      </c>
      <c r="N64" t="s">
        <v>31</v>
      </c>
      <c r="Q64" s="78" t="s">
        <v>857</v>
      </c>
      <c r="R64" s="77">
        <v>6.5</v>
      </c>
      <c r="S64" t="s">
        <v>275</v>
      </c>
      <c r="T64">
        <f>R64*0.001</f>
        <v>6.5000000000000006E-3</v>
      </c>
    </row>
    <row r="65" spans="1:20" ht="15.6">
      <c r="A65" s="84" t="s">
        <v>880</v>
      </c>
      <c r="B65">
        <f t="shared" si="3"/>
        <v>3.6000000000000001E-5</v>
      </c>
      <c r="D65" t="s">
        <v>37</v>
      </c>
      <c r="E65" s="17" t="s">
        <v>40</v>
      </c>
      <c r="F65" t="s">
        <v>29</v>
      </c>
      <c r="G65" s="68" t="s">
        <v>59</v>
      </c>
      <c r="H65" t="s">
        <v>33</v>
      </c>
      <c r="I65">
        <v>2</v>
      </c>
      <c r="J65">
        <f t="shared" si="4"/>
        <v>-10.231991619508165</v>
      </c>
      <c r="K65">
        <v>2.8722813232690055E-2</v>
      </c>
      <c r="L65" t="s">
        <v>31</v>
      </c>
      <c r="M65" t="s">
        <v>31</v>
      </c>
      <c r="N65" t="s">
        <v>31</v>
      </c>
      <c r="Q65" s="80" t="s">
        <v>862</v>
      </c>
      <c r="R65" s="79">
        <v>36</v>
      </c>
      <c r="S65" t="s">
        <v>275</v>
      </c>
      <c r="T65">
        <f>R65*0.000001</f>
        <v>3.6000000000000001E-5</v>
      </c>
    </row>
    <row r="66" spans="1:20" ht="15.6">
      <c r="A66" s="67" t="s">
        <v>865</v>
      </c>
      <c r="B66">
        <f t="shared" si="3"/>
        <v>3.5E-4</v>
      </c>
      <c r="D66" t="s">
        <v>37</v>
      </c>
      <c r="E66" s="17" t="s">
        <v>40</v>
      </c>
      <c r="F66" t="s">
        <v>29</v>
      </c>
      <c r="G66" s="68" t="s">
        <v>59</v>
      </c>
      <c r="H66" t="s">
        <v>33</v>
      </c>
      <c r="I66">
        <v>2</v>
      </c>
      <c r="J66">
        <f t="shared" si="4"/>
        <v>-7.9575774034808147</v>
      </c>
      <c r="K66">
        <v>2.8722813232690055E-2</v>
      </c>
      <c r="L66" t="s">
        <v>31</v>
      </c>
      <c r="M66" t="s">
        <v>31</v>
      </c>
      <c r="N66" t="s">
        <v>31</v>
      </c>
      <c r="Q66" s="78" t="s">
        <v>862</v>
      </c>
      <c r="R66" s="82">
        <v>350</v>
      </c>
      <c r="S66" t="s">
        <v>275</v>
      </c>
      <c r="T66">
        <f>R66*0.000001</f>
        <v>3.5E-4</v>
      </c>
    </row>
    <row r="67" spans="1:20" ht="15.6">
      <c r="A67" s="84" t="s">
        <v>881</v>
      </c>
      <c r="B67">
        <f t="shared" si="3"/>
        <v>1.8E-5</v>
      </c>
      <c r="D67" t="s">
        <v>37</v>
      </c>
      <c r="E67" s="17" t="s">
        <v>40</v>
      </c>
      <c r="F67" t="s">
        <v>29</v>
      </c>
      <c r="G67" s="68" t="s">
        <v>59</v>
      </c>
      <c r="H67" t="s">
        <v>33</v>
      </c>
      <c r="I67">
        <v>2</v>
      </c>
      <c r="J67">
        <f t="shared" si="4"/>
        <v>-10.92513880006811</v>
      </c>
      <c r="K67">
        <v>2.8722813232690055E-2</v>
      </c>
      <c r="L67" t="s">
        <v>31</v>
      </c>
      <c r="M67" t="s">
        <v>31</v>
      </c>
      <c r="N67" t="s">
        <v>31</v>
      </c>
      <c r="Q67" s="80" t="s">
        <v>862</v>
      </c>
      <c r="R67" s="79">
        <v>18</v>
      </c>
      <c r="S67" t="s">
        <v>275</v>
      </c>
      <c r="T67">
        <f>R67*0.000001</f>
        <v>1.8E-5</v>
      </c>
    </row>
    <row r="68" spans="1:20" ht="15.6">
      <c r="A68" s="84" t="s">
        <v>882</v>
      </c>
      <c r="B68">
        <f t="shared" si="3"/>
        <v>5.7000000000000002E-3</v>
      </c>
      <c r="D68" t="s">
        <v>37</v>
      </c>
      <c r="E68" s="17" t="s">
        <v>40</v>
      </c>
      <c r="F68" t="s">
        <v>29</v>
      </c>
      <c r="G68" s="68" t="s">
        <v>59</v>
      </c>
      <c r="H68" t="s">
        <v>33</v>
      </c>
      <c r="I68">
        <v>2</v>
      </c>
      <c r="J68">
        <f t="shared" si="4"/>
        <v>-5.1672891041416324</v>
      </c>
      <c r="K68">
        <v>2.8722813232690055E-2</v>
      </c>
      <c r="L68" t="s">
        <v>31</v>
      </c>
      <c r="M68" t="s">
        <v>31</v>
      </c>
      <c r="N68" t="s">
        <v>31</v>
      </c>
      <c r="Q68" s="78" t="s">
        <v>857</v>
      </c>
      <c r="R68" s="77">
        <v>5.7</v>
      </c>
      <c r="S68" t="s">
        <v>275</v>
      </c>
      <c r="T68">
        <f>R68*0.001</f>
        <v>5.7000000000000002E-3</v>
      </c>
    </row>
    <row r="69" spans="1:20" ht="15.6">
      <c r="A69" s="67" t="s">
        <v>866</v>
      </c>
      <c r="B69">
        <f t="shared" si="3"/>
        <v>2.9999999999999997E-4</v>
      </c>
      <c r="D69" t="s">
        <v>37</v>
      </c>
      <c r="E69" s="17" t="s">
        <v>40</v>
      </c>
      <c r="F69" t="s">
        <v>29</v>
      </c>
      <c r="G69" s="68" t="s">
        <v>59</v>
      </c>
      <c r="H69" t="s">
        <v>33</v>
      </c>
      <c r="I69">
        <v>2</v>
      </c>
      <c r="J69">
        <f t="shared" si="4"/>
        <v>-8.1117280833080727</v>
      </c>
      <c r="K69">
        <v>2.8722813232690055E-2</v>
      </c>
      <c r="L69" t="s">
        <v>31</v>
      </c>
      <c r="M69" t="s">
        <v>31</v>
      </c>
      <c r="N69" t="s">
        <v>31</v>
      </c>
      <c r="Q69" s="80" t="s">
        <v>862</v>
      </c>
      <c r="R69" s="79">
        <v>300</v>
      </c>
      <c r="S69" t="s">
        <v>275</v>
      </c>
      <c r="T69">
        <f>R69*0.000001</f>
        <v>2.9999999999999997E-4</v>
      </c>
    </row>
    <row r="70" spans="1:20" ht="15.6">
      <c r="A70" s="67" t="s">
        <v>868</v>
      </c>
      <c r="B70">
        <f t="shared" si="3"/>
        <v>5.4000000000000001E-4</v>
      </c>
      <c r="D70" t="s">
        <v>37</v>
      </c>
      <c r="E70" s="17" t="s">
        <v>40</v>
      </c>
      <c r="F70" t="s">
        <v>29</v>
      </c>
      <c r="G70" s="68" t="s">
        <v>59</v>
      </c>
      <c r="H70" t="s">
        <v>33</v>
      </c>
      <c r="I70">
        <v>2</v>
      </c>
      <c r="J70">
        <f t="shared" si="4"/>
        <v>-7.5239414184059541</v>
      </c>
      <c r="K70">
        <v>2.8722813232690055E-2</v>
      </c>
      <c r="L70" t="s">
        <v>31</v>
      </c>
      <c r="M70" t="s">
        <v>31</v>
      </c>
      <c r="N70" t="s">
        <v>31</v>
      </c>
      <c r="Q70" s="78" t="s">
        <v>862</v>
      </c>
      <c r="R70" s="82">
        <v>540</v>
      </c>
      <c r="S70" t="s">
        <v>275</v>
      </c>
      <c r="T70">
        <f>R70*0.000001</f>
        <v>5.4000000000000001E-4</v>
      </c>
    </row>
    <row r="75" spans="1:20">
      <c r="B75" s="22"/>
      <c r="C75" s="22"/>
    </row>
  </sheetData>
  <pageMargins left="0.7" right="0.7"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690BF-DDFE-476A-9103-2B3D64564B2A}">
  <sheetPr>
    <tabColor theme="5" tint="0.79998168889431442"/>
  </sheetPr>
  <dimension ref="A1:AC41"/>
  <sheetViews>
    <sheetView zoomScale="70" zoomScaleNormal="70" workbookViewId="0">
      <selection activeCell="I13" sqref="I13:I30"/>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6">
      <c r="A1" t="s">
        <v>0</v>
      </c>
      <c r="B1">
        <v>13</v>
      </c>
      <c r="N1" s="17" t="str">
        <f ca="1">UPPER(CONCATENATE(DEC2HEX(RANDBETWEEN(0,POWER(16,8)),8),DEC2HEX(RANDBETWEEN(0,POWER(16,4)),4),"4",DEC2HEX(RANDBETWEEN(0,POWER(16,3)),3),DEC2HEX(RANDBETWEEN(8,11)),DEC2HEX(RANDBETWEEN(0,POWER(16,3)),3),DEC2HEX(RANDBETWEEN(0,POWER(16,8)),8),DEC2HEX(RANDBETWEEN(0,POWER(16,4)),4)))</f>
        <v>ADD8E373B7FA4E0384B4583217121092</v>
      </c>
    </row>
    <row r="2" spans="1:26" ht="15.6">
      <c r="A2" s="76" t="s">
        <v>5</v>
      </c>
      <c r="B2" s="75" t="s">
        <v>1727</v>
      </c>
      <c r="C2" s="74"/>
      <c r="D2" s="73"/>
      <c r="E2" s="73"/>
      <c r="F2" s="73"/>
      <c r="G2" s="73"/>
      <c r="H2" s="73"/>
      <c r="I2" s="73"/>
      <c r="J2" s="73"/>
      <c r="K2" s="73"/>
      <c r="L2" s="73"/>
      <c r="M2" s="73"/>
    </row>
    <row r="3" spans="1:26">
      <c r="A3" s="70" t="s">
        <v>7</v>
      </c>
      <c r="B3" t="s">
        <v>1709</v>
      </c>
      <c r="C3" s="72"/>
    </row>
    <row r="4" spans="1:26">
      <c r="A4" s="70" t="s">
        <v>9</v>
      </c>
      <c r="B4" t="s">
        <v>1728</v>
      </c>
      <c r="C4" s="72"/>
    </row>
    <row r="5" spans="1:26" ht="29.1">
      <c r="A5" s="70" t="s">
        <v>11</v>
      </c>
      <c r="B5" s="71" t="s">
        <v>1729</v>
      </c>
    </row>
    <row r="6" spans="1:26">
      <c r="A6" s="70" t="s">
        <v>13</v>
      </c>
      <c r="B6" t="s">
        <v>14</v>
      </c>
    </row>
    <row r="7" spans="1:26">
      <c r="A7" s="70" t="s">
        <v>15</v>
      </c>
      <c r="B7">
        <v>1</v>
      </c>
    </row>
    <row r="8" spans="1:26">
      <c r="A8" s="70" t="s">
        <v>16</v>
      </c>
      <c r="B8" t="s">
        <v>17</v>
      </c>
    </row>
    <row r="9" spans="1:26">
      <c r="A9" s="70" t="s">
        <v>18</v>
      </c>
      <c r="B9" t="s">
        <v>18</v>
      </c>
    </row>
    <row r="10" spans="1:26" ht="15.6">
      <c r="A10" s="69" t="s">
        <v>19</v>
      </c>
    </row>
    <row r="11" spans="1:26"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6">
      <c r="A12" s="75" t="s">
        <v>1727</v>
      </c>
      <c r="B12">
        <v>1</v>
      </c>
      <c r="C12" t="s">
        <v>18</v>
      </c>
      <c r="D12" s="17" t="s">
        <v>2</v>
      </c>
      <c r="E12" t="s">
        <v>29</v>
      </c>
      <c r="F12" s="68" t="s">
        <v>14</v>
      </c>
      <c r="G12" t="s">
        <v>30</v>
      </c>
      <c r="H12">
        <v>1</v>
      </c>
      <c r="I12">
        <v>1</v>
      </c>
      <c r="J12" t="s">
        <v>31</v>
      </c>
      <c r="K12" t="s">
        <v>31</v>
      </c>
      <c r="L12" t="s">
        <v>31</v>
      </c>
      <c r="M12" t="s">
        <v>31</v>
      </c>
    </row>
    <row r="13" spans="1:26" ht="15.6">
      <c r="A13" s="99" t="s">
        <v>1716</v>
      </c>
      <c r="B13">
        <f t="shared" ref="B13:B21" si="0">Z13</f>
        <v>7.8E-2</v>
      </c>
      <c r="C13" t="s">
        <v>37</v>
      </c>
      <c r="D13" s="17" t="s">
        <v>2</v>
      </c>
      <c r="E13" t="s">
        <v>29</v>
      </c>
      <c r="F13" s="68" t="s">
        <v>14</v>
      </c>
      <c r="G13" t="s">
        <v>33</v>
      </c>
      <c r="H13">
        <v>1</v>
      </c>
      <c r="I13">
        <f>B13</f>
        <v>7.8E-2</v>
      </c>
      <c r="J13" t="s">
        <v>31</v>
      </c>
      <c r="K13" t="s">
        <v>31</v>
      </c>
      <c r="L13" t="s">
        <v>31</v>
      </c>
      <c r="M13" t="s">
        <v>31</v>
      </c>
      <c r="U13" s="95" t="s">
        <v>1025</v>
      </c>
      <c r="V13" s="95" t="s">
        <v>857</v>
      </c>
      <c r="W13" s="93">
        <v>78</v>
      </c>
      <c r="Y13" t="s">
        <v>275</v>
      </c>
      <c r="Z13">
        <f>0.001*W13</f>
        <v>7.8E-2</v>
      </c>
    </row>
    <row r="14" spans="1:26" ht="15.6">
      <c r="A14" s="99" t="s">
        <v>1721</v>
      </c>
      <c r="B14">
        <f t="shared" si="0"/>
        <v>9.8000000000000004E-2</v>
      </c>
      <c r="C14" t="s">
        <v>37</v>
      </c>
      <c r="D14" s="17" t="s">
        <v>2</v>
      </c>
      <c r="E14" t="s">
        <v>29</v>
      </c>
      <c r="F14" s="68" t="s">
        <v>14</v>
      </c>
      <c r="G14" t="s">
        <v>33</v>
      </c>
      <c r="H14">
        <v>1</v>
      </c>
      <c r="I14">
        <f t="shared" ref="I14:I30" si="1">B14</f>
        <v>9.8000000000000004E-2</v>
      </c>
      <c r="J14" t="s">
        <v>31</v>
      </c>
      <c r="K14" t="s">
        <v>31</v>
      </c>
      <c r="L14" t="s">
        <v>31</v>
      </c>
      <c r="M14" t="s">
        <v>31</v>
      </c>
      <c r="U14" s="95" t="s">
        <v>1026</v>
      </c>
      <c r="V14" s="95" t="s">
        <v>857</v>
      </c>
      <c r="W14" s="93">
        <v>98</v>
      </c>
      <c r="Y14" t="s">
        <v>275</v>
      </c>
      <c r="Z14">
        <f>0.001*W14</f>
        <v>9.8000000000000004E-2</v>
      </c>
    </row>
    <row r="15" spans="1:26" ht="15.6">
      <c r="A15" s="100" t="s">
        <v>885</v>
      </c>
      <c r="B15">
        <f t="shared" si="0"/>
        <v>3.1</v>
      </c>
      <c r="C15" t="s">
        <v>37</v>
      </c>
      <c r="D15" s="17" t="s">
        <v>40</v>
      </c>
      <c r="E15" t="s">
        <v>29</v>
      </c>
      <c r="F15" s="68" t="s">
        <v>59</v>
      </c>
      <c r="G15" t="s">
        <v>33</v>
      </c>
      <c r="H15">
        <v>1</v>
      </c>
      <c r="I15">
        <f t="shared" si="1"/>
        <v>3.1</v>
      </c>
      <c r="J15" t="s">
        <v>31</v>
      </c>
      <c r="K15" t="s">
        <v>31</v>
      </c>
      <c r="L15" t="s">
        <v>31</v>
      </c>
      <c r="M15" t="s">
        <v>31</v>
      </c>
      <c r="U15" s="95" t="s">
        <v>1027</v>
      </c>
      <c r="V15" s="95" t="s">
        <v>275</v>
      </c>
      <c r="W15" s="93">
        <v>3.1</v>
      </c>
      <c r="Y15" t="s">
        <v>275</v>
      </c>
      <c r="Z15">
        <f>W15</f>
        <v>3.1</v>
      </c>
    </row>
    <row r="16" spans="1:26" ht="15.6">
      <c r="A16" s="99" t="s">
        <v>1730</v>
      </c>
      <c r="B16">
        <f t="shared" si="0"/>
        <v>2.7</v>
      </c>
      <c r="C16" t="s">
        <v>37</v>
      </c>
      <c r="D16" s="17" t="s">
        <v>2</v>
      </c>
      <c r="E16" t="s">
        <v>29</v>
      </c>
      <c r="F16" s="68" t="s">
        <v>14</v>
      </c>
      <c r="G16" t="s">
        <v>33</v>
      </c>
      <c r="H16">
        <v>1</v>
      </c>
      <c r="I16">
        <f t="shared" si="1"/>
        <v>2.7</v>
      </c>
      <c r="J16" t="s">
        <v>31</v>
      </c>
      <c r="K16" t="s">
        <v>31</v>
      </c>
      <c r="L16" t="s">
        <v>31</v>
      </c>
      <c r="M16" t="s">
        <v>31</v>
      </c>
      <c r="U16" s="95" t="s">
        <v>1029</v>
      </c>
      <c r="V16" s="95" t="s">
        <v>275</v>
      </c>
      <c r="W16" s="93">
        <v>2.7</v>
      </c>
      <c r="Y16" t="s">
        <v>275</v>
      </c>
      <c r="Z16">
        <f>W16</f>
        <v>2.7</v>
      </c>
    </row>
    <row r="17" spans="1:29" ht="15.6">
      <c r="A17" s="104" t="s">
        <v>1731</v>
      </c>
      <c r="B17">
        <f t="shared" si="0"/>
        <v>4.3749999999999997E-2</v>
      </c>
      <c r="C17" t="s">
        <v>853</v>
      </c>
      <c r="D17" s="17" t="s">
        <v>2</v>
      </c>
      <c r="E17" t="s">
        <v>29</v>
      </c>
      <c r="F17" s="68" t="s">
        <v>14</v>
      </c>
      <c r="G17" t="s">
        <v>33</v>
      </c>
      <c r="H17">
        <v>1</v>
      </c>
      <c r="I17">
        <f t="shared" si="1"/>
        <v>4.3749999999999997E-2</v>
      </c>
      <c r="J17" t="s">
        <v>31</v>
      </c>
      <c r="K17" t="s">
        <v>31</v>
      </c>
      <c r="L17" t="s">
        <v>31</v>
      </c>
      <c r="M17" t="s">
        <v>31</v>
      </c>
      <c r="O17" t="s">
        <v>1031</v>
      </c>
      <c r="U17" s="101" t="s">
        <v>1032</v>
      </c>
      <c r="V17" s="101" t="s">
        <v>857</v>
      </c>
      <c r="W17" s="93">
        <v>245</v>
      </c>
      <c r="Y17" t="s">
        <v>855</v>
      </c>
      <c r="Z17">
        <f>W17*0.001/AB17</f>
        <v>4.3749999999999997E-2</v>
      </c>
      <c r="AB17">
        <f>A.Reused!O36</f>
        <v>5.6000000000000005</v>
      </c>
      <c r="AC17" t="s">
        <v>943</v>
      </c>
    </row>
    <row r="18" spans="1:29" ht="15.6">
      <c r="A18" s="99" t="s">
        <v>1732</v>
      </c>
      <c r="B18">
        <f t="shared" si="0"/>
        <v>1.115</v>
      </c>
      <c r="C18" t="s">
        <v>37</v>
      </c>
      <c r="D18" s="17" t="s">
        <v>2</v>
      </c>
      <c r="E18" t="s">
        <v>29</v>
      </c>
      <c r="F18" s="68" t="s">
        <v>14</v>
      </c>
      <c r="G18" t="s">
        <v>33</v>
      </c>
      <c r="H18">
        <v>1</v>
      </c>
      <c r="I18">
        <f t="shared" si="1"/>
        <v>1.115</v>
      </c>
      <c r="J18" t="s">
        <v>31</v>
      </c>
      <c r="K18" t="s">
        <v>31</v>
      </c>
      <c r="L18" t="s">
        <v>31</v>
      </c>
      <c r="M18" t="s">
        <v>31</v>
      </c>
      <c r="U18" s="101" t="s">
        <v>1034</v>
      </c>
      <c r="V18" s="95" t="s">
        <v>857</v>
      </c>
      <c r="W18" s="93">
        <v>1115</v>
      </c>
      <c r="Y18" t="s">
        <v>275</v>
      </c>
      <c r="Z18">
        <f>0.001*W18</f>
        <v>1.115</v>
      </c>
    </row>
    <row r="19" spans="1:29" ht="15.6">
      <c r="A19" s="103" t="s">
        <v>890</v>
      </c>
      <c r="B19">
        <f t="shared" si="0"/>
        <v>6.0000000000000001E-3</v>
      </c>
      <c r="C19" t="s">
        <v>37</v>
      </c>
      <c r="D19" s="17" t="s">
        <v>40</v>
      </c>
      <c r="E19" t="s">
        <v>29</v>
      </c>
      <c r="F19" s="68" t="s">
        <v>35</v>
      </c>
      <c r="G19" t="s">
        <v>33</v>
      </c>
      <c r="H19">
        <v>1</v>
      </c>
      <c r="I19">
        <f t="shared" si="1"/>
        <v>6.0000000000000001E-3</v>
      </c>
      <c r="J19" t="s">
        <v>31</v>
      </c>
      <c r="K19" t="s">
        <v>31</v>
      </c>
      <c r="L19" t="s">
        <v>31</v>
      </c>
      <c r="M19" t="s">
        <v>31</v>
      </c>
      <c r="N19" s="67" t="s">
        <v>891</v>
      </c>
      <c r="U19" s="95" t="s">
        <v>891</v>
      </c>
      <c r="V19" s="95" t="s">
        <v>857</v>
      </c>
      <c r="W19" s="93">
        <v>6</v>
      </c>
      <c r="Y19" t="s">
        <v>275</v>
      </c>
      <c r="Z19">
        <f>0.001*W19</f>
        <v>6.0000000000000001E-3</v>
      </c>
    </row>
    <row r="20" spans="1:29" ht="15.6">
      <c r="A20" s="102" t="s">
        <v>179</v>
      </c>
      <c r="B20">
        <f t="shared" si="0"/>
        <v>3.5000000000000003E-2</v>
      </c>
      <c r="C20" t="s">
        <v>37</v>
      </c>
      <c r="D20" s="17" t="s">
        <v>40</v>
      </c>
      <c r="E20" t="s">
        <v>29</v>
      </c>
      <c r="F20" s="68" t="s">
        <v>35</v>
      </c>
      <c r="G20" t="s">
        <v>33</v>
      </c>
      <c r="H20">
        <v>1</v>
      </c>
      <c r="I20">
        <f t="shared" si="1"/>
        <v>3.5000000000000003E-2</v>
      </c>
      <c r="J20" t="s">
        <v>31</v>
      </c>
      <c r="K20" t="s">
        <v>31</v>
      </c>
      <c r="L20" t="s">
        <v>31</v>
      </c>
      <c r="M20" t="s">
        <v>31</v>
      </c>
      <c r="N20" s="67" t="s">
        <v>892</v>
      </c>
      <c r="U20" s="101" t="s">
        <v>892</v>
      </c>
      <c r="V20" s="95" t="s">
        <v>857</v>
      </c>
      <c r="W20" s="93">
        <v>35</v>
      </c>
      <c r="Y20" t="s">
        <v>275</v>
      </c>
      <c r="Z20">
        <f>0.001*W20</f>
        <v>3.5000000000000003E-2</v>
      </c>
    </row>
    <row r="21" spans="1:29" ht="15.6">
      <c r="A21" s="103" t="s">
        <v>890</v>
      </c>
      <c r="B21">
        <f t="shared" si="0"/>
        <v>2E-3</v>
      </c>
      <c r="C21" t="s">
        <v>37</v>
      </c>
      <c r="D21" s="17" t="s">
        <v>40</v>
      </c>
      <c r="E21" t="s">
        <v>29</v>
      </c>
      <c r="F21" s="68" t="s">
        <v>35</v>
      </c>
      <c r="G21" t="s">
        <v>33</v>
      </c>
      <c r="H21">
        <v>1</v>
      </c>
      <c r="I21">
        <f t="shared" si="1"/>
        <v>2E-3</v>
      </c>
      <c r="J21" t="s">
        <v>31</v>
      </c>
      <c r="K21" t="s">
        <v>31</v>
      </c>
      <c r="L21" t="s">
        <v>31</v>
      </c>
      <c r="M21" t="s">
        <v>31</v>
      </c>
      <c r="N21" s="67" t="s">
        <v>893</v>
      </c>
      <c r="U21" s="101" t="s">
        <v>893</v>
      </c>
      <c r="V21" s="95" t="s">
        <v>857</v>
      </c>
      <c r="W21" s="93">
        <v>2</v>
      </c>
      <c r="Y21" t="s">
        <v>275</v>
      </c>
      <c r="Z21">
        <f>0.001*W21</f>
        <v>2E-3</v>
      </c>
    </row>
    <row r="22" spans="1:29" ht="15.6">
      <c r="A22" s="102" t="s">
        <v>1035</v>
      </c>
      <c r="B22">
        <f>Z21</f>
        <v>2E-3</v>
      </c>
      <c r="C22" t="s">
        <v>37</v>
      </c>
      <c r="D22" s="17" t="s">
        <v>40</v>
      </c>
      <c r="E22" t="s">
        <v>29</v>
      </c>
      <c r="F22" s="68" t="s">
        <v>35</v>
      </c>
      <c r="G22" t="s">
        <v>33</v>
      </c>
      <c r="H22">
        <v>1</v>
      </c>
      <c r="I22">
        <f t="shared" si="1"/>
        <v>2E-3</v>
      </c>
      <c r="J22" t="s">
        <v>31</v>
      </c>
      <c r="K22" t="s">
        <v>31</v>
      </c>
      <c r="L22" t="s">
        <v>31</v>
      </c>
      <c r="M22" t="s">
        <v>31</v>
      </c>
      <c r="N22" s="67" t="s">
        <v>893</v>
      </c>
      <c r="U22" s="101" t="s">
        <v>893</v>
      </c>
      <c r="V22" s="95" t="s">
        <v>857</v>
      </c>
      <c r="W22" s="93">
        <v>2</v>
      </c>
      <c r="Y22" t="s">
        <v>275</v>
      </c>
      <c r="Z22">
        <f>0.001*W22</f>
        <v>2E-3</v>
      </c>
    </row>
    <row r="23" spans="1:29" ht="15.6">
      <c r="A23" s="100" t="s">
        <v>1733</v>
      </c>
      <c r="B23">
        <f>Z22</f>
        <v>2E-3</v>
      </c>
      <c r="C23" t="s">
        <v>37</v>
      </c>
      <c r="D23" s="17" t="s">
        <v>2</v>
      </c>
      <c r="E23" t="s">
        <v>29</v>
      </c>
      <c r="F23" s="68" t="s">
        <v>14</v>
      </c>
      <c r="G23" t="s">
        <v>33</v>
      </c>
      <c r="H23">
        <v>1</v>
      </c>
      <c r="I23">
        <f t="shared" si="1"/>
        <v>2E-3</v>
      </c>
      <c r="J23" t="s">
        <v>31</v>
      </c>
      <c r="K23" t="s">
        <v>31</v>
      </c>
      <c r="L23" t="s">
        <v>31</v>
      </c>
      <c r="M23" t="s">
        <v>31</v>
      </c>
      <c r="N23" s="67" t="s">
        <v>1733</v>
      </c>
      <c r="U23" s="95" t="s">
        <v>1733</v>
      </c>
      <c r="V23" s="95" t="s">
        <v>275</v>
      </c>
      <c r="W23" s="93">
        <v>2.78</v>
      </c>
      <c r="Y23" t="s">
        <v>275</v>
      </c>
      <c r="Z23">
        <f>W23</f>
        <v>2.78</v>
      </c>
    </row>
    <row r="24" spans="1:29" ht="15.6">
      <c r="A24" s="99" t="s">
        <v>1734</v>
      </c>
      <c r="B24">
        <f>Z23</f>
        <v>2.78</v>
      </c>
      <c r="C24" t="s">
        <v>37</v>
      </c>
      <c r="D24" s="17" t="s">
        <v>2</v>
      </c>
      <c r="E24" t="s">
        <v>29</v>
      </c>
      <c r="F24" s="68" t="s">
        <v>14</v>
      </c>
      <c r="G24" t="s">
        <v>33</v>
      </c>
      <c r="H24">
        <v>1</v>
      </c>
      <c r="I24">
        <f t="shared" si="1"/>
        <v>2.78</v>
      </c>
      <c r="J24" t="s">
        <v>31</v>
      </c>
      <c r="K24" t="s">
        <v>31</v>
      </c>
      <c r="L24" t="s">
        <v>31</v>
      </c>
      <c r="M24" t="s">
        <v>31</v>
      </c>
      <c r="N24" s="67"/>
      <c r="U24" s="95" t="s">
        <v>1039</v>
      </c>
      <c r="V24" s="94" t="s">
        <v>275</v>
      </c>
      <c r="W24" s="93">
        <v>7.42</v>
      </c>
      <c r="Y24" t="s">
        <v>275</v>
      </c>
      <c r="Z24">
        <f>W24</f>
        <v>7.42</v>
      </c>
    </row>
    <row r="25" spans="1:29" ht="15.6">
      <c r="A25" s="98" t="s">
        <v>898</v>
      </c>
      <c r="B25" s="23">
        <f>'A. Machined casing'!B7</f>
        <v>7.35</v>
      </c>
      <c r="C25" t="s">
        <v>37</v>
      </c>
      <c r="D25" s="17" t="s">
        <v>40</v>
      </c>
      <c r="E25" t="s">
        <v>29</v>
      </c>
      <c r="F25" s="68" t="s">
        <v>82</v>
      </c>
      <c r="G25" t="s">
        <v>33</v>
      </c>
      <c r="H25">
        <v>1</v>
      </c>
      <c r="I25">
        <f t="shared" si="1"/>
        <v>7.35</v>
      </c>
      <c r="J25" t="s">
        <v>31</v>
      </c>
      <c r="K25" t="s">
        <v>31</v>
      </c>
      <c r="L25" t="s">
        <v>31</v>
      </c>
      <c r="M25" t="s">
        <v>31</v>
      </c>
      <c r="N25" s="67" t="s">
        <v>899</v>
      </c>
      <c r="U25" s="97" t="s">
        <v>899</v>
      </c>
      <c r="V25" s="97" t="s">
        <v>857</v>
      </c>
      <c r="W25" s="96">
        <v>49</v>
      </c>
      <c r="Y25" t="s">
        <v>275</v>
      </c>
      <c r="Z25">
        <f>0.001*W25</f>
        <v>4.9000000000000002E-2</v>
      </c>
    </row>
    <row r="26" spans="1:29" ht="15.6">
      <c r="A26" s="98" t="s">
        <v>900</v>
      </c>
      <c r="B26">
        <f>Z25</f>
        <v>4.9000000000000002E-2</v>
      </c>
      <c r="C26" t="s">
        <v>37</v>
      </c>
      <c r="D26" s="17" t="s">
        <v>40</v>
      </c>
      <c r="E26" t="s">
        <v>29</v>
      </c>
      <c r="F26" s="68" t="s">
        <v>59</v>
      </c>
      <c r="G26" t="s">
        <v>33</v>
      </c>
      <c r="H26">
        <v>1</v>
      </c>
      <c r="I26">
        <f t="shared" si="1"/>
        <v>4.9000000000000002E-2</v>
      </c>
      <c r="J26" t="s">
        <v>31</v>
      </c>
      <c r="K26" t="s">
        <v>31</v>
      </c>
      <c r="L26" t="s">
        <v>31</v>
      </c>
      <c r="M26" t="s">
        <v>31</v>
      </c>
      <c r="N26" t="s">
        <v>901</v>
      </c>
      <c r="U26" s="97" t="s">
        <v>901</v>
      </c>
      <c r="V26" s="97" t="s">
        <v>857</v>
      </c>
      <c r="W26" s="96">
        <v>11</v>
      </c>
      <c r="Y26" t="s">
        <v>275</v>
      </c>
      <c r="Z26">
        <f>0.001*W26</f>
        <v>1.0999999999999999E-2</v>
      </c>
    </row>
    <row r="27" spans="1:29" ht="15.6">
      <c r="A27" s="98" t="s">
        <v>179</v>
      </c>
      <c r="B27">
        <f>Z26</f>
        <v>1.0999999999999999E-2</v>
      </c>
      <c r="C27" t="s">
        <v>37</v>
      </c>
      <c r="D27" s="17" t="s">
        <v>40</v>
      </c>
      <c r="E27" t="s">
        <v>29</v>
      </c>
      <c r="F27" s="68" t="s">
        <v>35</v>
      </c>
      <c r="G27" t="s">
        <v>33</v>
      </c>
      <c r="H27">
        <v>1</v>
      </c>
      <c r="I27">
        <f t="shared" si="1"/>
        <v>1.0999999999999999E-2</v>
      </c>
      <c r="J27" t="s">
        <v>31</v>
      </c>
      <c r="K27" t="s">
        <v>31</v>
      </c>
      <c r="L27" t="s">
        <v>31</v>
      </c>
      <c r="M27" t="s">
        <v>31</v>
      </c>
      <c r="N27" t="s">
        <v>902</v>
      </c>
      <c r="U27" s="97" t="s">
        <v>902</v>
      </c>
      <c r="V27" s="97" t="s">
        <v>857</v>
      </c>
      <c r="W27" s="96">
        <v>11</v>
      </c>
      <c r="Y27" t="s">
        <v>275</v>
      </c>
      <c r="Z27">
        <f>0.001*W27</f>
        <v>1.0999999999999999E-2</v>
      </c>
    </row>
    <row r="28" spans="1:29" ht="15.6">
      <c r="A28" s="92" t="s">
        <v>38</v>
      </c>
      <c r="B28">
        <f>1.1+0.6</f>
        <v>1.7000000000000002</v>
      </c>
      <c r="C28" t="s">
        <v>39</v>
      </c>
      <c r="D28" s="17" t="s">
        <v>40</v>
      </c>
      <c r="E28" t="s">
        <v>29</v>
      </c>
      <c r="F28" t="s">
        <v>14</v>
      </c>
      <c r="G28" t="s">
        <v>33</v>
      </c>
      <c r="H28">
        <v>1</v>
      </c>
      <c r="I28">
        <f t="shared" si="1"/>
        <v>1.7000000000000002</v>
      </c>
      <c r="J28" t="s">
        <v>31</v>
      </c>
      <c r="K28" t="s">
        <v>31</v>
      </c>
      <c r="L28" t="s">
        <v>31</v>
      </c>
      <c r="M28" t="s">
        <v>31</v>
      </c>
      <c r="N28" t="s">
        <v>1040</v>
      </c>
      <c r="U28" s="95"/>
      <c r="V28" s="94"/>
      <c r="W28" s="93"/>
    </row>
    <row r="29" spans="1:29" ht="15.6">
      <c r="A29" s="92" t="s">
        <v>38</v>
      </c>
      <c r="B29">
        <v>4.2</v>
      </c>
      <c r="C29" t="s">
        <v>39</v>
      </c>
      <c r="D29" s="17" t="s">
        <v>40</v>
      </c>
      <c r="E29" t="s">
        <v>29</v>
      </c>
      <c r="F29" t="s">
        <v>14</v>
      </c>
      <c r="G29" t="s">
        <v>33</v>
      </c>
      <c r="H29">
        <v>1</v>
      </c>
      <c r="I29">
        <f t="shared" si="1"/>
        <v>4.2</v>
      </c>
      <c r="J29" t="s">
        <v>31</v>
      </c>
      <c r="K29" t="s">
        <v>31</v>
      </c>
      <c r="L29" t="s">
        <v>31</v>
      </c>
      <c r="M29" t="s">
        <v>31</v>
      </c>
      <c r="N29" t="s">
        <v>904</v>
      </c>
    </row>
    <row r="30" spans="1:29" ht="15.6">
      <c r="A30" s="92" t="s">
        <v>38</v>
      </c>
      <c r="B30">
        <v>1.5</v>
      </c>
      <c r="C30" t="s">
        <v>39</v>
      </c>
      <c r="D30" s="17" t="s">
        <v>40</v>
      </c>
      <c r="E30" t="s">
        <v>29</v>
      </c>
      <c r="F30" t="s">
        <v>14</v>
      </c>
      <c r="G30" t="s">
        <v>33</v>
      </c>
      <c r="H30">
        <v>1</v>
      </c>
      <c r="I30">
        <f t="shared" si="1"/>
        <v>1.5</v>
      </c>
      <c r="J30" t="s">
        <v>31</v>
      </c>
      <c r="K30" t="s">
        <v>31</v>
      </c>
      <c r="L30" t="s">
        <v>31</v>
      </c>
      <c r="M30" t="s">
        <v>31</v>
      </c>
      <c r="N30" t="s">
        <v>905</v>
      </c>
    </row>
    <row r="31" spans="1:29" ht="15.6">
      <c r="A31" s="76"/>
      <c r="B31" s="75"/>
      <c r="C31" s="74"/>
      <c r="D31" s="73"/>
      <c r="E31" s="73"/>
      <c r="F31" s="73"/>
      <c r="G31" s="73"/>
      <c r="H31" s="73"/>
      <c r="I31" s="73"/>
      <c r="J31" s="73"/>
      <c r="K31" s="73"/>
      <c r="L31" s="73"/>
      <c r="M31" s="73"/>
    </row>
    <row r="32" spans="1:29">
      <c r="A32" s="70"/>
      <c r="C32" s="72"/>
      <c r="N32" s="91" t="s">
        <v>1735</v>
      </c>
    </row>
    <row r="33" spans="1:14">
      <c r="A33" s="70"/>
      <c r="C33" s="72"/>
      <c r="N33" s="91">
        <f>SUM(B13:B27)-B17+0.245</f>
        <v>17.573</v>
      </c>
    </row>
    <row r="34" spans="1:14">
      <c r="A34" s="70"/>
      <c r="B34" s="71"/>
    </row>
    <row r="35" spans="1:14" ht="15.6">
      <c r="A35" s="67"/>
      <c r="D35" s="17"/>
      <c r="F35" s="68"/>
    </row>
    <row r="36" spans="1:14" ht="15.6">
      <c r="D36" s="17"/>
      <c r="F36" s="68"/>
    </row>
    <row r="37" spans="1:14" ht="15.6">
      <c r="A37" s="67"/>
      <c r="D37" s="17"/>
      <c r="F37" s="68"/>
    </row>
    <row r="38" spans="1:14" ht="15.6">
      <c r="A38" s="67"/>
      <c r="D38" s="17"/>
      <c r="F38" s="68"/>
    </row>
    <row r="39" spans="1:14" ht="15.6">
      <c r="A39" s="17"/>
      <c r="D39" s="17"/>
      <c r="F39" s="68"/>
    </row>
    <row r="40" spans="1:14" ht="15.6">
      <c r="A40" s="17"/>
      <c r="D40" s="17"/>
    </row>
    <row r="41" spans="1:14" ht="15.6">
      <c r="A41" s="67"/>
      <c r="D41" s="17"/>
    </row>
  </sheetData>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6320-6F0B-49B0-9858-D63B4BECE529}">
  <sheetPr>
    <tabColor theme="5" tint="0.79998168889431442"/>
  </sheetPr>
  <dimension ref="A1:U104"/>
  <sheetViews>
    <sheetView zoomScale="85" zoomScaleNormal="85" workbookViewId="0">
      <selection activeCell="H12" sqref="H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6">
      <c r="A2" s="119" t="s">
        <v>5</v>
      </c>
      <c r="B2" s="126" t="s">
        <v>1731</v>
      </c>
      <c r="C2" s="74"/>
      <c r="D2" s="73"/>
      <c r="E2" s="73"/>
      <c r="F2" s="73"/>
      <c r="G2" s="73"/>
      <c r="H2" s="73"/>
      <c r="I2" s="73"/>
      <c r="J2" s="73"/>
      <c r="K2" s="73"/>
      <c r="L2" s="73"/>
      <c r="M2" s="73"/>
      <c r="N2" s="73"/>
      <c r="O2" s="73"/>
      <c r="P2" s="73"/>
      <c r="Q2" s="73"/>
      <c r="R2" s="73"/>
    </row>
    <row r="3" spans="1:21">
      <c r="A3" s="118" t="s">
        <v>7</v>
      </c>
      <c r="B3" t="s">
        <v>1709</v>
      </c>
      <c r="C3" s="72"/>
    </row>
    <row r="4" spans="1:21">
      <c r="A4" s="118" t="s">
        <v>9</v>
      </c>
      <c r="B4" t="s">
        <v>1736</v>
      </c>
      <c r="C4" s="72"/>
      <c r="U4" s="90"/>
    </row>
    <row r="5" spans="1:21" ht="12.75" customHeight="1">
      <c r="A5" s="118" t="s">
        <v>11</v>
      </c>
      <c r="B5" s="71" t="s">
        <v>841</v>
      </c>
    </row>
    <row r="6" spans="1:21">
      <c r="A6" s="118" t="s">
        <v>13</v>
      </c>
      <c r="B6" t="s">
        <v>14</v>
      </c>
    </row>
    <row r="7" spans="1:21">
      <c r="A7" s="118" t="s">
        <v>15</v>
      </c>
      <c r="B7">
        <f>B12</f>
        <v>1.2999999999999999E-2</v>
      </c>
    </row>
    <row r="8" spans="1:21">
      <c r="A8" s="118" t="s">
        <v>16</v>
      </c>
      <c r="B8" t="s">
        <v>17</v>
      </c>
    </row>
    <row r="9" spans="1:21">
      <c r="A9" s="118" t="s">
        <v>18</v>
      </c>
      <c r="B9" t="s">
        <v>853</v>
      </c>
    </row>
    <row r="10" spans="1:21" ht="15.6">
      <c r="A10" s="117" t="s">
        <v>19</v>
      </c>
    </row>
    <row r="11" spans="1:21" ht="15.6">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1731</v>
      </c>
      <c r="B12">
        <v>1.2999999999999999E-2</v>
      </c>
      <c r="C12" t="s">
        <v>853</v>
      </c>
      <c r="D12" s="110" t="s">
        <v>2</v>
      </c>
      <c r="E12" t="s">
        <v>29</v>
      </c>
      <c r="F12" s="68" t="s">
        <v>14</v>
      </c>
      <c r="G12" t="s">
        <v>30</v>
      </c>
      <c r="H12">
        <v>1</v>
      </c>
      <c r="I12">
        <f>B12</f>
        <v>1.2999999999999999E-2</v>
      </c>
      <c r="J12" t="s">
        <v>31</v>
      </c>
      <c r="K12" t="s">
        <v>31</v>
      </c>
      <c r="L12" t="s">
        <v>31</v>
      </c>
      <c r="M12" t="s">
        <v>31</v>
      </c>
      <c r="O12" s="130"/>
      <c r="P12" s="129"/>
    </row>
    <row r="13" spans="1:21" ht="15.6">
      <c r="A13" s="22" t="s">
        <v>1737</v>
      </c>
      <c r="B13">
        <f>R13</f>
        <v>7.2800000000000004E-2</v>
      </c>
      <c r="C13" t="s">
        <v>37</v>
      </c>
      <c r="D13" s="110" t="s">
        <v>2</v>
      </c>
      <c r="E13" t="s">
        <v>29</v>
      </c>
      <c r="F13" s="68" t="s">
        <v>14</v>
      </c>
      <c r="G13" t="s">
        <v>33</v>
      </c>
      <c r="H13">
        <v>1</v>
      </c>
      <c r="I13">
        <f>B13</f>
        <v>7.2800000000000004E-2</v>
      </c>
      <c r="J13" t="s">
        <v>31</v>
      </c>
      <c r="K13" t="s">
        <v>31</v>
      </c>
      <c r="L13" t="s">
        <v>31</v>
      </c>
      <c r="M13" t="s">
        <v>31</v>
      </c>
      <c r="O13" s="91" t="s">
        <v>1738</v>
      </c>
      <c r="P13">
        <f>O36</f>
        <v>5.6000000000000005</v>
      </c>
      <c r="Q13" t="s">
        <v>943</v>
      </c>
      <c r="R13">
        <f>P13*B12</f>
        <v>7.2800000000000004E-2</v>
      </c>
    </row>
    <row r="14" spans="1:21" ht="15.6">
      <c r="A14" s="22" t="s">
        <v>1739</v>
      </c>
      <c r="B14">
        <v>1.2999999999999999E-2</v>
      </c>
      <c r="C14" t="s">
        <v>853</v>
      </c>
      <c r="D14" s="110" t="s">
        <v>2</v>
      </c>
      <c r="E14" t="s">
        <v>29</v>
      </c>
      <c r="F14" s="68" t="s">
        <v>14</v>
      </c>
      <c r="G14" t="s">
        <v>33</v>
      </c>
      <c r="H14">
        <v>1</v>
      </c>
      <c r="I14">
        <f>B14</f>
        <v>1.2999999999999999E-2</v>
      </c>
      <c r="J14" t="s">
        <v>31</v>
      </c>
      <c r="K14" t="s">
        <v>31</v>
      </c>
      <c r="L14" t="s">
        <v>31</v>
      </c>
      <c r="M14" t="s">
        <v>31</v>
      </c>
    </row>
    <row r="15" spans="1:21" ht="15.6">
      <c r="A15" s="116" t="s">
        <v>844</v>
      </c>
      <c r="B15">
        <f>P15</f>
        <v>0.1</v>
      </c>
      <c r="C15" t="s">
        <v>37</v>
      </c>
      <c r="D15" s="17" t="s">
        <v>40</v>
      </c>
      <c r="E15" t="s">
        <v>29</v>
      </c>
      <c r="F15" s="68" t="s">
        <v>74</v>
      </c>
      <c r="G15" t="s">
        <v>33</v>
      </c>
      <c r="H15">
        <v>2</v>
      </c>
      <c r="I15">
        <f>LN(B15)</f>
        <v>-2.3025850929940455</v>
      </c>
      <c r="J15" s="125">
        <v>0.11236102527122109</v>
      </c>
      <c r="K15" t="s">
        <v>31</v>
      </c>
      <c r="L15" t="s">
        <v>31</v>
      </c>
      <c r="M15" t="s">
        <v>31</v>
      </c>
      <c r="O15" s="97" t="s">
        <v>275</v>
      </c>
      <c r="P15" s="107">
        <v>0.1</v>
      </c>
    </row>
    <row r="16" spans="1:21" ht="15.6">
      <c r="A16" s="116" t="s">
        <v>912</v>
      </c>
      <c r="B16" s="111">
        <f>Q16</f>
        <v>5.0000000000000001E-9</v>
      </c>
      <c r="C16" t="s">
        <v>37</v>
      </c>
      <c r="D16" s="17" t="s">
        <v>40</v>
      </c>
      <c r="E16" t="s">
        <v>29</v>
      </c>
      <c r="F16" s="68" t="s">
        <v>59</v>
      </c>
      <c r="G16" t="s">
        <v>33</v>
      </c>
      <c r="H16">
        <v>2</v>
      </c>
      <c r="I16">
        <f>LN(B16)</f>
        <v>-19.113827924512311</v>
      </c>
      <c r="J16" s="125">
        <v>0.11236102527122109</v>
      </c>
      <c r="K16" t="s">
        <v>31</v>
      </c>
      <c r="L16" t="s">
        <v>31</v>
      </c>
      <c r="M16" t="s">
        <v>31</v>
      </c>
      <c r="O16" s="128" t="s">
        <v>862</v>
      </c>
      <c r="P16" s="127">
        <v>5.0000000000000001E-3</v>
      </c>
      <c r="Q16" s="111">
        <f>P16*10^(-6)</f>
        <v>5.0000000000000001E-9</v>
      </c>
      <c r="R16" t="s">
        <v>37</v>
      </c>
    </row>
    <row r="17" spans="1:18" ht="15.6">
      <c r="A17" s="116" t="s">
        <v>76</v>
      </c>
      <c r="B17">
        <f>Q17</f>
        <v>1E-4</v>
      </c>
      <c r="C17" t="s">
        <v>42</v>
      </c>
      <c r="D17" s="17" t="s">
        <v>40</v>
      </c>
      <c r="E17" t="s">
        <v>29</v>
      </c>
      <c r="F17" s="68" t="s">
        <v>74</v>
      </c>
      <c r="G17" t="s">
        <v>33</v>
      </c>
      <c r="H17">
        <v>2</v>
      </c>
      <c r="I17">
        <f>LN(B17)</f>
        <v>-9.2103403719761818</v>
      </c>
      <c r="J17" s="125">
        <v>0.11236102527122109</v>
      </c>
      <c r="K17" t="s">
        <v>31</v>
      </c>
      <c r="L17" t="s">
        <v>31</v>
      </c>
      <c r="M17" t="s">
        <v>31</v>
      </c>
      <c r="O17" s="124" t="s">
        <v>913</v>
      </c>
      <c r="P17" s="123">
        <v>0.1</v>
      </c>
      <c r="Q17">
        <f>P17/1000</f>
        <v>1E-4</v>
      </c>
      <c r="R17" t="s">
        <v>914</v>
      </c>
    </row>
    <row r="18" spans="1:18" ht="15.6">
      <c r="A18" s="119" t="s">
        <v>5</v>
      </c>
      <c r="B18" s="126" t="s">
        <v>1737</v>
      </c>
      <c r="C18" s="74"/>
      <c r="D18" s="73"/>
      <c r="E18" s="73"/>
      <c r="F18" s="73"/>
      <c r="G18" s="73"/>
      <c r="H18" s="73"/>
      <c r="I18" s="73"/>
      <c r="J18" s="73"/>
      <c r="K18" s="73"/>
      <c r="L18" s="73"/>
      <c r="M18" s="73"/>
      <c r="N18" s="73"/>
      <c r="O18" s="73"/>
      <c r="P18" s="73"/>
      <c r="Q18" s="73"/>
      <c r="R18" s="73"/>
    </row>
    <row r="19" spans="1:18">
      <c r="A19" s="118" t="s">
        <v>7</v>
      </c>
      <c r="B19" t="s">
        <v>1709</v>
      </c>
      <c r="C19" s="72"/>
    </row>
    <row r="20" spans="1:18">
      <c r="A20" s="118" t="s">
        <v>9</v>
      </c>
      <c r="B20" t="s">
        <v>1740</v>
      </c>
      <c r="C20" s="72"/>
    </row>
    <row r="21" spans="1:18" ht="10.5" customHeight="1">
      <c r="A21" s="118" t="s">
        <v>11</v>
      </c>
      <c r="B21" s="71" t="s">
        <v>841</v>
      </c>
      <c r="P21" s="114"/>
    </row>
    <row r="22" spans="1:18">
      <c r="A22" s="118" t="s">
        <v>13</v>
      </c>
      <c r="B22" t="s">
        <v>14</v>
      </c>
      <c r="P22" s="114"/>
    </row>
    <row r="23" spans="1:18">
      <c r="A23" s="118" t="s">
        <v>15</v>
      </c>
      <c r="B23">
        <f>B28</f>
        <v>6.0000000000000001E-3</v>
      </c>
      <c r="P23" s="114"/>
    </row>
    <row r="24" spans="1:18">
      <c r="A24" s="118" t="s">
        <v>16</v>
      </c>
      <c r="B24" t="s">
        <v>17</v>
      </c>
    </row>
    <row r="25" spans="1:18">
      <c r="A25" s="118" t="s">
        <v>18</v>
      </c>
      <c r="B25" t="s">
        <v>37</v>
      </c>
    </row>
    <row r="26" spans="1:18" ht="15.6">
      <c r="A26" s="117" t="s">
        <v>19</v>
      </c>
    </row>
    <row r="27" spans="1:18" ht="15.6">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1737</v>
      </c>
      <c r="B28">
        <v>6.0000000000000001E-3</v>
      </c>
      <c r="C28" t="s">
        <v>37</v>
      </c>
      <c r="D28" s="110" t="s">
        <v>2</v>
      </c>
      <c r="E28" t="s">
        <v>29</v>
      </c>
      <c r="F28" s="68" t="s">
        <v>14</v>
      </c>
      <c r="G28" t="s">
        <v>30</v>
      </c>
      <c r="H28">
        <v>1</v>
      </c>
      <c r="I28">
        <f>B28</f>
        <v>6.0000000000000001E-3</v>
      </c>
      <c r="J28" t="s">
        <v>31</v>
      </c>
      <c r="K28" t="s">
        <v>31</v>
      </c>
      <c r="L28" t="s">
        <v>31</v>
      </c>
      <c r="M28" t="s">
        <v>31</v>
      </c>
    </row>
    <row r="29" spans="1:18" ht="15.6">
      <c r="A29" s="116" t="s">
        <v>912</v>
      </c>
      <c r="B29" s="111">
        <f>R29</f>
        <v>6.7000000000000002E-3</v>
      </c>
      <c r="C29" t="s">
        <v>37</v>
      </c>
      <c r="D29" s="17" t="s">
        <v>40</v>
      </c>
      <c r="E29" t="s">
        <v>29</v>
      </c>
      <c r="F29" s="68" t="s">
        <v>59</v>
      </c>
      <c r="G29" t="s">
        <v>33</v>
      </c>
      <c r="H29">
        <v>2</v>
      </c>
      <c r="I29">
        <f>LN(B29)</f>
        <v>-5.005647752585217</v>
      </c>
      <c r="J29" s="125">
        <v>0.11236102527122109</v>
      </c>
      <c r="K29" t="s">
        <v>31</v>
      </c>
      <c r="L29" t="s">
        <v>31</v>
      </c>
      <c r="M29" t="s">
        <v>31</v>
      </c>
      <c r="O29" s="97" t="s">
        <v>857</v>
      </c>
      <c r="P29" s="107">
        <v>6.7</v>
      </c>
      <c r="Q29" t="s">
        <v>275</v>
      </c>
      <c r="R29">
        <f>P29*0.001</f>
        <v>6.7000000000000002E-3</v>
      </c>
    </row>
    <row r="30" spans="1:18" ht="15.6">
      <c r="A30" s="121" t="s">
        <v>38</v>
      </c>
      <c r="B30" s="115">
        <f>P30</f>
        <v>0.03</v>
      </c>
      <c r="C30" t="s">
        <v>39</v>
      </c>
      <c r="D30" s="17" t="s">
        <v>40</v>
      </c>
      <c r="E30" t="s">
        <v>29</v>
      </c>
      <c r="F30" s="68" t="s">
        <v>35</v>
      </c>
      <c r="G30" t="s">
        <v>33</v>
      </c>
      <c r="H30">
        <v>2</v>
      </c>
      <c r="I30">
        <f>LN(B30)</f>
        <v>-3.5065578973199818</v>
      </c>
      <c r="J30" s="125">
        <v>0.11236102527122109</v>
      </c>
      <c r="K30" t="s">
        <v>31</v>
      </c>
      <c r="L30" t="s">
        <v>31</v>
      </c>
      <c r="M30" t="s">
        <v>31</v>
      </c>
      <c r="O30" s="97" t="s">
        <v>271</v>
      </c>
      <c r="P30" s="107">
        <v>0.03</v>
      </c>
    </row>
    <row r="31" spans="1:18" ht="15.6">
      <c r="A31" s="116" t="s">
        <v>916</v>
      </c>
      <c r="B31">
        <f>R31</f>
        <v>2.9999999999999997E-4</v>
      </c>
      <c r="C31" t="s">
        <v>37</v>
      </c>
      <c r="D31" s="17" t="s">
        <v>43</v>
      </c>
      <c r="E31" t="s">
        <v>917</v>
      </c>
      <c r="F31" s="68" t="s">
        <v>29</v>
      </c>
      <c r="G31" t="s">
        <v>45</v>
      </c>
      <c r="H31">
        <v>2</v>
      </c>
      <c r="I31">
        <f>LN(B31)</f>
        <v>-8.1117280833080727</v>
      </c>
      <c r="J31" s="125">
        <v>0.11236102527122109</v>
      </c>
      <c r="K31" t="s">
        <v>31</v>
      </c>
      <c r="L31" t="s">
        <v>31</v>
      </c>
      <c r="M31" t="s">
        <v>31</v>
      </c>
      <c r="O31" s="124" t="s">
        <v>857</v>
      </c>
      <c r="P31" s="123">
        <v>0.3</v>
      </c>
      <c r="Q31" t="s">
        <v>275</v>
      </c>
      <c r="R31">
        <f>P31*0.001</f>
        <v>2.9999999999999997E-4</v>
      </c>
    </row>
    <row r="32" spans="1:18" ht="15.6">
      <c r="A32" s="119" t="s">
        <v>5</v>
      </c>
      <c r="B32" s="106" t="s">
        <v>1739</v>
      </c>
      <c r="C32" s="74"/>
      <c r="D32" s="73"/>
      <c r="E32" s="73"/>
      <c r="F32" s="73"/>
      <c r="G32" s="73"/>
      <c r="H32" s="73"/>
      <c r="I32" s="73"/>
      <c r="J32" s="73"/>
      <c r="K32" s="73"/>
      <c r="L32" s="73"/>
      <c r="M32" s="73"/>
      <c r="N32" s="73"/>
      <c r="O32" s="73"/>
      <c r="P32" s="73"/>
      <c r="Q32" s="73"/>
      <c r="R32" s="73"/>
    </row>
    <row r="33" spans="1:21">
      <c r="A33" s="118" t="s">
        <v>7</v>
      </c>
      <c r="B33" t="s">
        <v>1709</v>
      </c>
      <c r="C33" s="72"/>
    </row>
    <row r="34" spans="1:21">
      <c r="A34" s="118" t="s">
        <v>9</v>
      </c>
      <c r="B34" t="s">
        <v>1741</v>
      </c>
      <c r="C34" s="72"/>
    </row>
    <row r="35" spans="1:21" ht="15.75" customHeight="1">
      <c r="A35" s="118" t="s">
        <v>11</v>
      </c>
      <c r="B35" s="71" t="s">
        <v>841</v>
      </c>
      <c r="O35" t="s">
        <v>1742</v>
      </c>
      <c r="T35" s="90" t="s">
        <v>1286</v>
      </c>
    </row>
    <row r="36" spans="1:21">
      <c r="A36" s="118" t="s">
        <v>13</v>
      </c>
      <c r="B36" t="s">
        <v>14</v>
      </c>
      <c r="O36">
        <f>0.28/0.05</f>
        <v>5.6000000000000005</v>
      </c>
      <c r="P36" t="s">
        <v>943</v>
      </c>
      <c r="T36">
        <f>0.16/0.25</f>
        <v>0.64</v>
      </c>
      <c r="U36" t="s">
        <v>943</v>
      </c>
    </row>
    <row r="37" spans="1:21">
      <c r="A37" s="118" t="s">
        <v>15</v>
      </c>
      <c r="B37">
        <f>B42</f>
        <v>0.05</v>
      </c>
    </row>
    <row r="38" spans="1:21">
      <c r="A38" s="118" t="s">
        <v>16</v>
      </c>
      <c r="B38" t="s">
        <v>17</v>
      </c>
    </row>
    <row r="39" spans="1:21">
      <c r="A39" s="118" t="s">
        <v>18</v>
      </c>
      <c r="B39" t="s">
        <v>853</v>
      </c>
    </row>
    <row r="40" spans="1:21" ht="15.6">
      <c r="A40" s="117" t="s">
        <v>19</v>
      </c>
    </row>
    <row r="41" spans="1:21" ht="15.6">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1" ht="15.6">
      <c r="A42" s="22" t="s">
        <v>1739</v>
      </c>
      <c r="B42">
        <v>0.05</v>
      </c>
      <c r="C42" t="s">
        <v>853</v>
      </c>
      <c r="D42" s="110" t="s">
        <v>2</v>
      </c>
      <c r="E42" t="s">
        <v>29</v>
      </c>
      <c r="F42" s="68" t="s">
        <v>14</v>
      </c>
      <c r="G42" t="s">
        <v>30</v>
      </c>
      <c r="H42">
        <v>1</v>
      </c>
      <c r="I42">
        <f>B42</f>
        <v>0.05</v>
      </c>
      <c r="J42" t="s">
        <v>31</v>
      </c>
      <c r="K42" t="s">
        <v>31</v>
      </c>
      <c r="L42" t="s">
        <v>31</v>
      </c>
      <c r="M42" t="s">
        <v>31</v>
      </c>
    </row>
    <row r="43" spans="1:21" ht="15.6">
      <c r="A43" s="22" t="s">
        <v>1743</v>
      </c>
      <c r="B43" s="111">
        <f>B68</f>
        <v>0.28000000000000003</v>
      </c>
      <c r="C43" t="s">
        <v>37</v>
      </c>
      <c r="D43" s="110" t="s">
        <v>2</v>
      </c>
      <c r="E43" t="s">
        <v>29</v>
      </c>
      <c r="F43" s="68" t="s">
        <v>14</v>
      </c>
      <c r="G43" t="s">
        <v>33</v>
      </c>
      <c r="H43">
        <v>1</v>
      </c>
      <c r="I43">
        <f>B43</f>
        <v>0.28000000000000003</v>
      </c>
      <c r="J43" t="s">
        <v>31</v>
      </c>
      <c r="K43" t="s">
        <v>31</v>
      </c>
      <c r="L43" t="s">
        <v>31</v>
      </c>
      <c r="M43" t="s">
        <v>31</v>
      </c>
      <c r="O43" s="97"/>
      <c r="P43" s="107"/>
    </row>
    <row r="44" spans="1:21" ht="15.6">
      <c r="A44" s="121" t="s">
        <v>38</v>
      </c>
      <c r="B44" s="115">
        <f>P44</f>
        <v>0.36</v>
      </c>
      <c r="C44" t="s">
        <v>39</v>
      </c>
      <c r="D44" s="17" t="s">
        <v>40</v>
      </c>
      <c r="E44" t="s">
        <v>29</v>
      </c>
      <c r="F44" s="68" t="s">
        <v>35</v>
      </c>
      <c r="G44" t="s">
        <v>33</v>
      </c>
      <c r="H44">
        <v>2</v>
      </c>
      <c r="I44">
        <f>LN(B44)</f>
        <v>-1.0216512475319814</v>
      </c>
      <c r="J44" s="125">
        <v>7.2284161474004766E-2</v>
      </c>
      <c r="K44" t="s">
        <v>31</v>
      </c>
      <c r="L44" t="s">
        <v>31</v>
      </c>
      <c r="M44" t="s">
        <v>31</v>
      </c>
      <c r="O44" s="97" t="s">
        <v>271</v>
      </c>
      <c r="P44" s="107">
        <v>0.36</v>
      </c>
    </row>
    <row r="45" spans="1:21" ht="15.6">
      <c r="A45" s="116" t="s">
        <v>491</v>
      </c>
      <c r="B45">
        <f>R45</f>
        <v>9.0000000000000011E-3</v>
      </c>
      <c r="C45" t="s">
        <v>37</v>
      </c>
      <c r="D45" s="17" t="s">
        <v>40</v>
      </c>
      <c r="E45" t="s">
        <v>29</v>
      </c>
      <c r="F45" s="68" t="s">
        <v>59</v>
      </c>
      <c r="G45" t="s">
        <v>33</v>
      </c>
      <c r="H45">
        <v>2</v>
      </c>
      <c r="I45">
        <f>LN(B45)</f>
        <v>-4.7105307016459177</v>
      </c>
      <c r="J45" s="125">
        <v>7.2284161474004766E-2</v>
      </c>
      <c r="K45" t="s">
        <v>31</v>
      </c>
      <c r="L45" t="s">
        <v>31</v>
      </c>
      <c r="M45" t="s">
        <v>31</v>
      </c>
      <c r="O45" s="97" t="s">
        <v>857</v>
      </c>
      <c r="P45" s="107">
        <v>9</v>
      </c>
      <c r="Q45" t="s">
        <v>275</v>
      </c>
      <c r="R45">
        <f>P45*0.001</f>
        <v>9.0000000000000011E-3</v>
      </c>
    </row>
    <row r="46" spans="1:21" ht="15.6">
      <c r="A46" s="116" t="s">
        <v>921</v>
      </c>
      <c r="B46">
        <f>R46</f>
        <v>1.6E-2</v>
      </c>
      <c r="C46" t="s">
        <v>37</v>
      </c>
      <c r="D46" s="17" t="s">
        <v>40</v>
      </c>
      <c r="E46" t="s">
        <v>29</v>
      </c>
      <c r="F46" s="68" t="s">
        <v>35</v>
      </c>
      <c r="G46" t="s">
        <v>33</v>
      </c>
      <c r="H46">
        <v>2</v>
      </c>
      <c r="I46">
        <f>LN(B46)</f>
        <v>-4.1351665567423561</v>
      </c>
      <c r="J46" s="125">
        <v>7.2284161474004766E-2</v>
      </c>
      <c r="K46" t="s">
        <v>31</v>
      </c>
      <c r="L46" t="s">
        <v>31</v>
      </c>
      <c r="M46" t="s">
        <v>31</v>
      </c>
      <c r="O46" s="97" t="s">
        <v>857</v>
      </c>
      <c r="P46" s="107">
        <v>16</v>
      </c>
      <c r="Q46" t="s">
        <v>275</v>
      </c>
      <c r="R46">
        <f>P46*0.001</f>
        <v>1.6E-2</v>
      </c>
    </row>
    <row r="47" spans="1:21" ht="15.6">
      <c r="A47" s="116" t="s">
        <v>844</v>
      </c>
      <c r="B47">
        <f>P47</f>
        <v>13.9</v>
      </c>
      <c r="C47" t="s">
        <v>37</v>
      </c>
      <c r="D47" s="17" t="s">
        <v>40</v>
      </c>
      <c r="E47" t="s">
        <v>29</v>
      </c>
      <c r="F47" s="68" t="s">
        <v>74</v>
      </c>
      <c r="G47" t="s">
        <v>33</v>
      </c>
      <c r="H47">
        <v>2</v>
      </c>
      <c r="I47">
        <f>LN(B47)</f>
        <v>2.631888840136646</v>
      </c>
      <c r="J47" s="125">
        <v>7.2284161474004766E-2</v>
      </c>
      <c r="K47" t="s">
        <v>31</v>
      </c>
      <c r="L47" t="s">
        <v>31</v>
      </c>
      <c r="M47" t="s">
        <v>31</v>
      </c>
      <c r="O47" s="97" t="s">
        <v>275</v>
      </c>
      <c r="P47" s="107">
        <v>13.9</v>
      </c>
    </row>
    <row r="48" spans="1:21" ht="15.6">
      <c r="A48" s="116" t="s">
        <v>76</v>
      </c>
      <c r="B48">
        <f>R48</f>
        <v>1.3900000000000001E-2</v>
      </c>
      <c r="C48" t="s">
        <v>42</v>
      </c>
      <c r="D48" s="17" t="s">
        <v>40</v>
      </c>
      <c r="E48" t="s">
        <v>29</v>
      </c>
      <c r="F48" s="68" t="s">
        <v>74</v>
      </c>
      <c r="G48" t="s">
        <v>33</v>
      </c>
      <c r="H48">
        <v>2</v>
      </c>
      <c r="I48">
        <f>LN(B48)</f>
        <v>-4.2758664388454912</v>
      </c>
      <c r="J48" s="125">
        <v>7.2284161474004766E-2</v>
      </c>
      <c r="K48" t="s">
        <v>31</v>
      </c>
      <c r="L48" t="s">
        <v>31</v>
      </c>
      <c r="M48" t="s">
        <v>31</v>
      </c>
      <c r="O48" s="124" t="s">
        <v>913</v>
      </c>
      <c r="P48" s="123">
        <v>13.9</v>
      </c>
      <c r="Q48" t="s">
        <v>274</v>
      </c>
      <c r="R48">
        <f>P48/1000</f>
        <v>1.3900000000000001E-2</v>
      </c>
    </row>
    <row r="49" spans="1:18" ht="15.6">
      <c r="A49" s="119" t="s">
        <v>5</v>
      </c>
      <c r="B49" s="106" t="s">
        <v>1744</v>
      </c>
      <c r="C49" s="74"/>
      <c r="D49" s="73"/>
      <c r="E49" s="73"/>
      <c r="F49" s="73"/>
      <c r="G49" s="73"/>
      <c r="H49" s="73"/>
      <c r="I49" s="73"/>
      <c r="J49" s="73"/>
      <c r="K49" s="73"/>
      <c r="L49" s="73"/>
      <c r="M49" s="73"/>
      <c r="N49" s="73"/>
      <c r="O49" s="73"/>
      <c r="P49" s="73"/>
      <c r="Q49" s="73"/>
      <c r="R49" s="73"/>
    </row>
    <row r="50" spans="1:18">
      <c r="A50" s="118" t="s">
        <v>7</v>
      </c>
      <c r="B50" t="s">
        <v>1709</v>
      </c>
      <c r="C50" s="72"/>
    </row>
    <row r="51" spans="1:18">
      <c r="A51" s="118" t="s">
        <v>9</v>
      </c>
      <c r="B51" t="s">
        <v>1745</v>
      </c>
      <c r="C51" s="72"/>
    </row>
    <row r="52" spans="1:18" ht="10.5" customHeight="1">
      <c r="A52" s="118" t="s">
        <v>11</v>
      </c>
      <c r="B52" s="71" t="s">
        <v>841</v>
      </c>
    </row>
    <row r="53" spans="1:18">
      <c r="A53" s="118" t="s">
        <v>13</v>
      </c>
      <c r="B53" t="s">
        <v>14</v>
      </c>
    </row>
    <row r="54" spans="1:18">
      <c r="A54" s="118" t="s">
        <v>15</v>
      </c>
      <c r="B54" s="122">
        <f>B59</f>
        <v>2.4E-2</v>
      </c>
    </row>
    <row r="55" spans="1:18">
      <c r="A55" s="118" t="s">
        <v>16</v>
      </c>
      <c r="B55" t="s">
        <v>17</v>
      </c>
    </row>
    <row r="56" spans="1:18">
      <c r="A56" s="118" t="s">
        <v>18</v>
      </c>
      <c r="B56" t="s">
        <v>37</v>
      </c>
    </row>
    <row r="57" spans="1:18" ht="15.6">
      <c r="A57" s="117" t="s">
        <v>19</v>
      </c>
    </row>
    <row r="58" spans="1:18" ht="15.6">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1744</v>
      </c>
      <c r="B59" s="122">
        <v>2.4E-2</v>
      </c>
      <c r="C59" t="s">
        <v>37</v>
      </c>
      <c r="D59" s="110" t="s">
        <v>2</v>
      </c>
      <c r="E59" t="s">
        <v>29</v>
      </c>
      <c r="F59" s="68" t="s">
        <v>14</v>
      </c>
      <c r="G59" t="s">
        <v>30</v>
      </c>
      <c r="H59">
        <v>1</v>
      </c>
      <c r="I59" s="122">
        <f>B59</f>
        <v>2.4E-2</v>
      </c>
      <c r="J59" t="s">
        <v>31</v>
      </c>
      <c r="K59" t="s">
        <v>31</v>
      </c>
      <c r="L59" t="s">
        <v>31</v>
      </c>
      <c r="M59" t="s">
        <v>31</v>
      </c>
      <c r="O59" s="58"/>
      <c r="P59" s="114"/>
    </row>
    <row r="60" spans="1:18" ht="15.6">
      <c r="A60" s="116" t="s">
        <v>924</v>
      </c>
      <c r="B60" s="115">
        <f>R60</f>
        <v>2.1000000000000001E-2</v>
      </c>
      <c r="C60" t="s">
        <v>37</v>
      </c>
      <c r="D60" s="17" t="s">
        <v>40</v>
      </c>
      <c r="E60" t="s">
        <v>29</v>
      </c>
      <c r="F60" s="68" t="s">
        <v>59</v>
      </c>
      <c r="G60" t="s">
        <v>33</v>
      </c>
      <c r="H60">
        <v>2</v>
      </c>
      <c r="I60">
        <f>LN(B60)</f>
        <v>-3.8632328412587138</v>
      </c>
      <c r="J60">
        <v>7.2284161474004766E-2</v>
      </c>
      <c r="K60" t="s">
        <v>31</v>
      </c>
      <c r="L60" t="s">
        <v>31</v>
      </c>
      <c r="M60" t="s">
        <v>31</v>
      </c>
      <c r="O60" s="97" t="s">
        <v>857</v>
      </c>
      <c r="P60" s="107">
        <v>21</v>
      </c>
      <c r="Q60" t="s">
        <v>275</v>
      </c>
      <c r="R60">
        <f>P60*0.001</f>
        <v>2.1000000000000001E-2</v>
      </c>
    </row>
    <row r="61" spans="1:18" ht="15.6">
      <c r="A61" s="121" t="s">
        <v>38</v>
      </c>
      <c r="B61" s="115">
        <f>P61</f>
        <v>0.1</v>
      </c>
      <c r="C61" t="s">
        <v>39</v>
      </c>
      <c r="D61" s="17" t="s">
        <v>40</v>
      </c>
      <c r="E61" t="s">
        <v>29</v>
      </c>
      <c r="F61" s="68" t="s">
        <v>35</v>
      </c>
      <c r="G61" t="s">
        <v>33</v>
      </c>
      <c r="H61">
        <v>2</v>
      </c>
      <c r="I61">
        <f>LN(B61)</f>
        <v>-2.3025850929940455</v>
      </c>
      <c r="J61">
        <v>7.2284161474004766E-2</v>
      </c>
      <c r="K61" t="s">
        <v>31</v>
      </c>
      <c r="L61" t="s">
        <v>31</v>
      </c>
      <c r="M61" t="s">
        <v>31</v>
      </c>
      <c r="O61" s="97" t="s">
        <v>271</v>
      </c>
      <c r="P61" s="107">
        <v>0.1</v>
      </c>
    </row>
    <row r="62" spans="1:18" ht="15.6">
      <c r="A62" s="120" t="s">
        <v>1714</v>
      </c>
      <c r="B62">
        <v>1E-3</v>
      </c>
      <c r="C62" t="s">
        <v>37</v>
      </c>
      <c r="D62" s="110" t="s">
        <v>2</v>
      </c>
      <c r="E62" t="s">
        <v>29</v>
      </c>
      <c r="F62" s="68" t="s">
        <v>74</v>
      </c>
      <c r="G62" t="s">
        <v>33</v>
      </c>
      <c r="H62">
        <v>2</v>
      </c>
      <c r="I62">
        <f>LN(B62)</f>
        <v>-6.9077552789821368</v>
      </c>
      <c r="J62">
        <v>7.2284161474004766E-2</v>
      </c>
      <c r="K62" t="s">
        <v>31</v>
      </c>
      <c r="L62" t="s">
        <v>31</v>
      </c>
      <c r="M62" t="s">
        <v>31</v>
      </c>
    </row>
    <row r="63" spans="1:18" ht="15.6">
      <c r="A63" s="119" t="s">
        <v>5</v>
      </c>
      <c r="B63" s="106" t="s">
        <v>1743</v>
      </c>
      <c r="C63" s="74"/>
      <c r="D63" s="73"/>
      <c r="E63" s="73"/>
      <c r="F63" s="73"/>
      <c r="G63" s="73"/>
      <c r="H63" s="73"/>
      <c r="I63" s="73"/>
      <c r="J63" s="73"/>
      <c r="K63" s="73"/>
      <c r="L63" s="73"/>
      <c r="M63" s="73"/>
      <c r="N63" s="73"/>
      <c r="O63" s="73"/>
      <c r="P63" s="73"/>
      <c r="Q63" s="73"/>
      <c r="R63" s="73"/>
    </row>
    <row r="64" spans="1:18">
      <c r="A64" s="118" t="s">
        <v>7</v>
      </c>
      <c r="B64" t="s">
        <v>1709</v>
      </c>
      <c r="C64" s="72"/>
    </row>
    <row r="65" spans="1:16">
      <c r="A65" s="118" t="s">
        <v>9</v>
      </c>
      <c r="B65" t="s">
        <v>1746</v>
      </c>
      <c r="C65" s="72"/>
    </row>
    <row r="66" spans="1:16" ht="10.5" customHeight="1">
      <c r="A66" s="118" t="s">
        <v>11</v>
      </c>
      <c r="B66" s="71" t="s">
        <v>841</v>
      </c>
    </row>
    <row r="67" spans="1:16">
      <c r="A67" s="118" t="s">
        <v>13</v>
      </c>
      <c r="B67" t="s">
        <v>14</v>
      </c>
    </row>
    <row r="68" spans="1:16">
      <c r="A68" s="118" t="s">
        <v>15</v>
      </c>
      <c r="B68" s="23">
        <f>B73</f>
        <v>0.28000000000000003</v>
      </c>
    </row>
    <row r="69" spans="1:16">
      <c r="A69" s="118" t="s">
        <v>16</v>
      </c>
      <c r="B69" t="s">
        <v>17</v>
      </c>
    </row>
    <row r="70" spans="1:16">
      <c r="A70" s="118" t="s">
        <v>18</v>
      </c>
      <c r="B70" t="s">
        <v>37</v>
      </c>
    </row>
    <row r="71" spans="1:16" ht="15.6">
      <c r="A71" s="117" t="s">
        <v>19</v>
      </c>
    </row>
    <row r="72" spans="1:16" ht="15.6">
      <c r="A72" s="117"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6">
      <c r="A73" s="22" t="s">
        <v>1743</v>
      </c>
      <c r="B73" s="23">
        <v>0.28000000000000003</v>
      </c>
      <c r="C73" t="s">
        <v>37</v>
      </c>
      <c r="D73" s="110" t="s">
        <v>2</v>
      </c>
      <c r="E73" t="s">
        <v>29</v>
      </c>
      <c r="F73" s="68" t="s">
        <v>14</v>
      </c>
      <c r="G73" t="s">
        <v>30</v>
      </c>
      <c r="H73">
        <v>1</v>
      </c>
      <c r="I73" s="23">
        <f>B73</f>
        <v>0.28000000000000003</v>
      </c>
      <c r="J73" t="s">
        <v>31</v>
      </c>
      <c r="K73" t="s">
        <v>31</v>
      </c>
      <c r="L73" t="s">
        <v>31</v>
      </c>
      <c r="M73" t="s">
        <v>31</v>
      </c>
      <c r="O73" s="58"/>
      <c r="P73" s="114"/>
    </row>
    <row r="74" spans="1:16" ht="15.6">
      <c r="A74" s="116" t="s">
        <v>237</v>
      </c>
      <c r="B74" s="115">
        <v>0.28000000000000003</v>
      </c>
      <c r="C74" t="s">
        <v>37</v>
      </c>
      <c r="D74" s="17" t="s">
        <v>40</v>
      </c>
      <c r="E74" t="s">
        <v>29</v>
      </c>
      <c r="F74" s="68" t="s">
        <v>59</v>
      </c>
      <c r="G74" t="s">
        <v>33</v>
      </c>
      <c r="H74">
        <v>1</v>
      </c>
      <c r="I74" s="23">
        <f>B74</f>
        <v>0.28000000000000003</v>
      </c>
      <c r="J74" t="s">
        <v>31</v>
      </c>
      <c r="K74" t="s">
        <v>31</v>
      </c>
      <c r="L74" t="s">
        <v>31</v>
      </c>
      <c r="M74" t="s">
        <v>31</v>
      </c>
      <c r="O74" s="58"/>
      <c r="P74" s="114"/>
    </row>
    <row r="75" spans="1:16" ht="15.6">
      <c r="A75" s="116" t="s">
        <v>926</v>
      </c>
      <c r="B75" s="115">
        <v>0.28000000000000003</v>
      </c>
      <c r="C75" t="s">
        <v>37</v>
      </c>
      <c r="D75" s="17" t="s">
        <v>40</v>
      </c>
      <c r="E75" t="s">
        <v>29</v>
      </c>
      <c r="F75" s="68" t="s">
        <v>59</v>
      </c>
      <c r="G75" t="s">
        <v>33</v>
      </c>
      <c r="H75">
        <v>1</v>
      </c>
      <c r="I75" s="23">
        <f>B75</f>
        <v>0.28000000000000003</v>
      </c>
      <c r="J75" t="s">
        <v>31</v>
      </c>
      <c r="K75" t="s">
        <v>31</v>
      </c>
      <c r="L75" t="s">
        <v>31</v>
      </c>
      <c r="M75" t="s">
        <v>31</v>
      </c>
      <c r="O75" s="58"/>
      <c r="P75" s="114"/>
    </row>
    <row r="76" spans="1:16" s="73" customFormat="1" ht="15.6">
      <c r="A76" s="76" t="s">
        <v>5</v>
      </c>
      <c r="B76" s="106" t="s">
        <v>1747</v>
      </c>
      <c r="C76" s="74"/>
    </row>
    <row r="77" spans="1:16">
      <c r="A77" s="70" t="s">
        <v>7</v>
      </c>
      <c r="B77" t="s">
        <v>1709</v>
      </c>
      <c r="C77" s="72"/>
    </row>
    <row r="78" spans="1:16">
      <c r="A78" s="113" t="s">
        <v>9</v>
      </c>
      <c r="B78" t="s">
        <v>1748</v>
      </c>
      <c r="C78" s="72"/>
    </row>
    <row r="79" spans="1:16" ht="15.75" customHeight="1">
      <c r="A79" s="70" t="s">
        <v>11</v>
      </c>
      <c r="B79" s="71" t="s">
        <v>841</v>
      </c>
    </row>
    <row r="80" spans="1:16">
      <c r="A80" s="70" t="s">
        <v>13</v>
      </c>
      <c r="B80" t="s">
        <v>14</v>
      </c>
    </row>
    <row r="81" spans="1:19">
      <c r="A81" s="70" t="s">
        <v>15</v>
      </c>
      <c r="B81" s="112">
        <f>B86</f>
        <v>4.53</v>
      </c>
    </row>
    <row r="82" spans="1:19">
      <c r="A82" s="70" t="s">
        <v>16</v>
      </c>
      <c r="B82" t="s">
        <v>17</v>
      </c>
    </row>
    <row r="83" spans="1:19">
      <c r="A83" s="70" t="s">
        <v>18</v>
      </c>
      <c r="B83" t="s">
        <v>37</v>
      </c>
      <c r="S83" s="111"/>
    </row>
    <row r="84" spans="1:19" ht="15.6">
      <c r="A84" s="69" t="s">
        <v>19</v>
      </c>
    </row>
    <row r="85" spans="1:19" ht="15.6">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6">
      <c r="A86" t="s">
        <v>1747</v>
      </c>
      <c r="B86" s="23">
        <v>4.53</v>
      </c>
      <c r="C86" t="s">
        <v>37</v>
      </c>
      <c r="D86" s="110" t="s">
        <v>2</v>
      </c>
      <c r="E86" t="s">
        <v>29</v>
      </c>
      <c r="F86" t="s">
        <v>14</v>
      </c>
      <c r="G86" t="s">
        <v>929</v>
      </c>
      <c r="H86">
        <v>1</v>
      </c>
      <c r="I86" s="23">
        <f>B86</f>
        <v>4.53</v>
      </c>
      <c r="J86" t="s">
        <v>31</v>
      </c>
      <c r="K86" t="s">
        <v>31</v>
      </c>
      <c r="L86" t="s">
        <v>31</v>
      </c>
      <c r="M86" t="s">
        <v>31</v>
      </c>
      <c r="O86" s="109"/>
      <c r="P86" s="108"/>
    </row>
    <row r="87" spans="1:19" ht="15.6">
      <c r="A87" s="84" t="s">
        <v>755</v>
      </c>
      <c r="B87" s="23">
        <v>4.53</v>
      </c>
      <c r="C87" t="s">
        <v>37</v>
      </c>
      <c r="D87" s="17" t="s">
        <v>40</v>
      </c>
      <c r="E87" t="s">
        <v>29</v>
      </c>
      <c r="F87" s="68" t="s">
        <v>59</v>
      </c>
      <c r="G87" t="s">
        <v>33</v>
      </c>
      <c r="H87">
        <v>1</v>
      </c>
      <c r="I87" s="23">
        <f>B87</f>
        <v>4.53</v>
      </c>
      <c r="J87" t="s">
        <v>31</v>
      </c>
      <c r="K87" t="s">
        <v>31</v>
      </c>
      <c r="L87" t="s">
        <v>31</v>
      </c>
      <c r="M87" t="s">
        <v>31</v>
      </c>
      <c r="O87" s="97"/>
      <c r="P87" s="107"/>
    </row>
    <row r="88" spans="1:19" ht="15.6">
      <c r="A88" s="84" t="s">
        <v>930</v>
      </c>
      <c r="B88" s="23">
        <v>4.53</v>
      </c>
      <c r="C88" t="s">
        <v>37</v>
      </c>
      <c r="D88" s="17" t="s">
        <v>40</v>
      </c>
      <c r="E88" t="s">
        <v>29</v>
      </c>
      <c r="F88" s="68" t="s">
        <v>59</v>
      </c>
      <c r="G88" t="s">
        <v>33</v>
      </c>
      <c r="H88">
        <v>1</v>
      </c>
      <c r="I88" s="23">
        <f>B88</f>
        <v>4.53</v>
      </c>
      <c r="J88" t="s">
        <v>31</v>
      </c>
      <c r="K88" t="s">
        <v>31</v>
      </c>
      <c r="L88" t="s">
        <v>31</v>
      </c>
      <c r="M88" t="s">
        <v>31</v>
      </c>
      <c r="O88" s="97"/>
      <c r="P88" s="107"/>
    </row>
    <row r="89" spans="1:19" ht="15.6">
      <c r="A89" s="84" t="s">
        <v>931</v>
      </c>
      <c r="B89" s="23">
        <v>4.53</v>
      </c>
      <c r="C89" t="s">
        <v>37</v>
      </c>
      <c r="D89" s="17" t="s">
        <v>40</v>
      </c>
      <c r="E89" t="s">
        <v>29</v>
      </c>
      <c r="F89" s="68" t="s">
        <v>35</v>
      </c>
      <c r="G89" t="s">
        <v>33</v>
      </c>
      <c r="H89">
        <v>1</v>
      </c>
      <c r="I89" s="23">
        <f>B89</f>
        <v>4.53</v>
      </c>
      <c r="J89" t="s">
        <v>31</v>
      </c>
      <c r="K89" t="s">
        <v>31</v>
      </c>
      <c r="L89" t="s">
        <v>31</v>
      </c>
      <c r="M89" t="s">
        <v>31</v>
      </c>
      <c r="O89" s="97"/>
      <c r="P89" s="107"/>
    </row>
    <row r="90" spans="1:19" ht="15.6">
      <c r="A90" s="76" t="s">
        <v>5</v>
      </c>
      <c r="B90" s="106" t="s">
        <v>1733</v>
      </c>
      <c r="C90" s="74"/>
      <c r="D90" s="73"/>
      <c r="E90" s="73"/>
      <c r="F90" s="73"/>
      <c r="G90" s="73"/>
      <c r="H90" s="73"/>
      <c r="I90" s="73"/>
      <c r="J90" s="73"/>
      <c r="K90" s="73"/>
      <c r="L90" s="73"/>
      <c r="M90" s="73"/>
    </row>
    <row r="91" spans="1:19">
      <c r="A91" s="70" t="s">
        <v>7</v>
      </c>
      <c r="B91" t="s">
        <v>1709</v>
      </c>
      <c r="C91" s="72"/>
    </row>
    <row r="92" spans="1:19">
      <c r="A92" s="70" t="s">
        <v>9</v>
      </c>
      <c r="B92" s="22" t="s">
        <v>1749</v>
      </c>
      <c r="C92" s="72"/>
    </row>
    <row r="93" spans="1:19">
      <c r="A93" s="70" t="s">
        <v>11</v>
      </c>
      <c r="B93" s="71" t="s">
        <v>833</v>
      </c>
    </row>
    <row r="94" spans="1:19">
      <c r="A94" s="70" t="s">
        <v>13</v>
      </c>
      <c r="B94" s="68" t="s">
        <v>14</v>
      </c>
    </row>
    <row r="95" spans="1:19">
      <c r="A95" s="70" t="s">
        <v>15</v>
      </c>
      <c r="B95">
        <v>0.25</v>
      </c>
    </row>
    <row r="96" spans="1:19">
      <c r="A96" s="70" t="s">
        <v>16</v>
      </c>
      <c r="B96" t="s">
        <v>17</v>
      </c>
    </row>
    <row r="97" spans="1:15">
      <c r="A97" s="70" t="s">
        <v>18</v>
      </c>
      <c r="B97" t="s">
        <v>37</v>
      </c>
    </row>
    <row r="98" spans="1:15" ht="15.6">
      <c r="A98" s="69" t="s">
        <v>19</v>
      </c>
    </row>
    <row r="99" spans="1:15" ht="15.6">
      <c r="A99" s="69"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5" ht="15.6">
      <c r="A100" s="58" t="s">
        <v>1733</v>
      </c>
      <c r="B100" s="58">
        <v>0.25</v>
      </c>
      <c r="C100" t="s">
        <v>37</v>
      </c>
      <c r="D100" s="17" t="s">
        <v>2</v>
      </c>
      <c r="E100" t="s">
        <v>29</v>
      </c>
      <c r="F100" s="68" t="s">
        <v>14</v>
      </c>
      <c r="G100" t="s">
        <v>30</v>
      </c>
      <c r="H100">
        <v>1</v>
      </c>
      <c r="I100">
        <f>B100</f>
        <v>0.25</v>
      </c>
      <c r="J100" t="s">
        <v>31</v>
      </c>
      <c r="K100" t="s">
        <v>31</v>
      </c>
      <c r="L100" t="s">
        <v>31</v>
      </c>
      <c r="M100" t="s">
        <v>31</v>
      </c>
    </row>
    <row r="101" spans="1:15" ht="15.6">
      <c r="A101" s="58" t="s">
        <v>1747</v>
      </c>
      <c r="B101" s="58">
        <v>0.25</v>
      </c>
      <c r="C101" t="s">
        <v>37</v>
      </c>
      <c r="D101" s="17" t="s">
        <v>2</v>
      </c>
      <c r="E101" t="s">
        <v>29</v>
      </c>
      <c r="F101" s="68" t="s">
        <v>14</v>
      </c>
      <c r="G101" t="s">
        <v>33</v>
      </c>
      <c r="H101">
        <v>1</v>
      </c>
      <c r="I101">
        <f>B101</f>
        <v>0.25</v>
      </c>
      <c r="J101" t="s">
        <v>31</v>
      </c>
      <c r="K101" t="s">
        <v>31</v>
      </c>
      <c r="L101" t="s">
        <v>31</v>
      </c>
      <c r="M101" t="s">
        <v>31</v>
      </c>
    </row>
    <row r="102" spans="1:15" ht="15.6">
      <c r="A102" s="105" t="s">
        <v>933</v>
      </c>
      <c r="B102">
        <v>2.1999999999999999E-2</v>
      </c>
      <c r="C102" t="s">
        <v>37</v>
      </c>
      <c r="D102" s="17" t="s">
        <v>40</v>
      </c>
      <c r="E102" t="s">
        <v>29</v>
      </c>
      <c r="F102" s="68" t="s">
        <v>82</v>
      </c>
      <c r="G102" t="s">
        <v>33</v>
      </c>
      <c r="H102">
        <v>1</v>
      </c>
      <c r="I102">
        <f>B102</f>
        <v>2.1999999999999999E-2</v>
      </c>
      <c r="J102" t="s">
        <v>31</v>
      </c>
      <c r="K102" t="s">
        <v>31</v>
      </c>
      <c r="L102" t="s">
        <v>31</v>
      </c>
      <c r="M102" t="s">
        <v>31</v>
      </c>
      <c r="O102">
        <v>2.1999999999999999E-2</v>
      </c>
    </row>
    <row r="103" spans="1:15" ht="15.6">
      <c r="A103" s="105" t="s">
        <v>934</v>
      </c>
      <c r="B103">
        <v>0.51</v>
      </c>
      <c r="C103" t="s">
        <v>853</v>
      </c>
      <c r="D103" s="17" t="s">
        <v>40</v>
      </c>
      <c r="E103" t="s">
        <v>29</v>
      </c>
      <c r="F103" s="68" t="s">
        <v>59</v>
      </c>
      <c r="G103" t="s">
        <v>33</v>
      </c>
      <c r="H103">
        <v>1</v>
      </c>
      <c r="I103">
        <f>B103</f>
        <v>0.51</v>
      </c>
      <c r="J103" t="s">
        <v>31</v>
      </c>
      <c r="K103" t="s">
        <v>31</v>
      </c>
      <c r="L103" t="s">
        <v>31</v>
      </c>
      <c r="M103" t="s">
        <v>31</v>
      </c>
      <c r="O103">
        <v>0.51</v>
      </c>
    </row>
    <row r="104" spans="1:15" ht="15.6">
      <c r="A104" s="105" t="s">
        <v>935</v>
      </c>
      <c r="B104">
        <v>2.1999999999999999E-2</v>
      </c>
      <c r="C104" t="s">
        <v>37</v>
      </c>
      <c r="D104" s="17" t="s">
        <v>40</v>
      </c>
      <c r="E104" t="s">
        <v>29</v>
      </c>
      <c r="F104" s="68" t="s">
        <v>59</v>
      </c>
      <c r="G104" t="s">
        <v>33</v>
      </c>
      <c r="H104">
        <v>1</v>
      </c>
      <c r="I104">
        <f>B104</f>
        <v>2.1999999999999999E-2</v>
      </c>
      <c r="J104" t="s">
        <v>31</v>
      </c>
      <c r="K104" t="s">
        <v>31</v>
      </c>
      <c r="L104" t="s">
        <v>31</v>
      </c>
      <c r="M104" t="s">
        <v>31</v>
      </c>
      <c r="O104">
        <v>2.1999999999999999E-2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CEEA9-1C92-47FC-83FA-E2E2BF0680C7}">
  <sheetPr>
    <tabColor theme="9"/>
  </sheetPr>
  <dimension ref="A1:P18"/>
  <sheetViews>
    <sheetView zoomScale="85" zoomScaleNormal="85" workbookViewId="0">
      <selection activeCell="B2" sqref="B2"/>
    </sheetView>
  </sheetViews>
  <sheetFormatPr defaultRowHeight="14.45"/>
  <cols>
    <col min="1" max="1" width="57.28515625" bestFit="1" customWidth="1"/>
    <col min="5" max="5" width="23.140625" bestFit="1" customWidth="1"/>
    <col min="6" max="6" width="39.140625" bestFit="1" customWidth="1"/>
  </cols>
  <sheetData>
    <row r="1" spans="1:16" s="22" customFormat="1">
      <c r="A1" s="22" t="s">
        <v>0</v>
      </c>
      <c r="B1" s="22">
        <v>14</v>
      </c>
    </row>
    <row r="2" spans="1:16" s="73" customFormat="1" ht="15.6">
      <c r="A2" s="178" t="s">
        <v>5</v>
      </c>
      <c r="B2" s="178" t="s">
        <v>57</v>
      </c>
      <c r="C2" s="178"/>
      <c r="D2" s="74"/>
      <c r="E2" s="150"/>
      <c r="F2" s="150"/>
      <c r="G2" s="150"/>
      <c r="H2" s="150"/>
      <c r="I2" s="150"/>
      <c r="J2" s="150"/>
      <c r="K2" s="150"/>
      <c r="L2" s="150"/>
      <c r="M2" s="150"/>
      <c r="N2" s="150"/>
      <c r="O2" s="150"/>
      <c r="P2" s="150"/>
    </row>
    <row r="3" spans="1:16">
      <c r="A3" s="58" t="s">
        <v>7</v>
      </c>
      <c r="B3" s="58" t="s">
        <v>58</v>
      </c>
      <c r="C3" s="58"/>
      <c r="D3" s="58"/>
      <c r="E3" s="58"/>
      <c r="F3" s="58"/>
      <c r="G3" s="58"/>
      <c r="H3" s="58"/>
      <c r="I3" s="58"/>
      <c r="J3" s="58"/>
      <c r="K3" s="58"/>
      <c r="L3" s="58"/>
      <c r="M3" s="58"/>
      <c r="N3" s="58"/>
      <c r="O3" s="58"/>
      <c r="P3" s="58"/>
    </row>
    <row r="4" spans="1:16">
      <c r="A4" s="58" t="s">
        <v>9</v>
      </c>
      <c r="B4" s="186" t="s">
        <v>183</v>
      </c>
      <c r="C4" s="58"/>
      <c r="D4" s="58"/>
      <c r="E4" s="58"/>
      <c r="F4" s="58"/>
      <c r="G4" s="58"/>
      <c r="H4" s="58"/>
      <c r="I4" s="58"/>
      <c r="J4" s="58"/>
      <c r="K4" s="58"/>
      <c r="L4" s="58"/>
      <c r="M4" s="58"/>
      <c r="N4" s="58"/>
      <c r="O4" s="58"/>
      <c r="P4" s="58"/>
    </row>
    <row r="5" spans="1:16">
      <c r="A5" s="58" t="s">
        <v>11</v>
      </c>
      <c r="B5" s="58" t="s">
        <v>184</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18</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Decommissioning of aircraft, SOFC-bat, Long-Term</v>
      </c>
      <c r="B12" s="180">
        <v>1</v>
      </c>
      <c r="C12" s="180"/>
      <c r="D12" s="180" t="s">
        <v>18</v>
      </c>
      <c r="E12" s="58" t="s">
        <v>2</v>
      </c>
      <c r="F12" s="58" t="s">
        <v>58</v>
      </c>
      <c r="G12" s="180" t="s">
        <v>59</v>
      </c>
      <c r="H12" s="58" t="s">
        <v>30</v>
      </c>
      <c r="I12" s="58">
        <v>0</v>
      </c>
      <c r="J12" s="180" t="s">
        <v>31</v>
      </c>
      <c r="K12" s="180" t="s">
        <v>31</v>
      </c>
      <c r="L12" s="180" t="s">
        <v>31</v>
      </c>
      <c r="M12" s="180" t="s">
        <v>31</v>
      </c>
      <c r="N12" s="180" t="s">
        <v>31</v>
      </c>
      <c r="O12" s="180"/>
      <c r="P12" s="58"/>
    </row>
    <row r="13" spans="1:16">
      <c r="A13" t="str">
        <f>'Power elec EoL LCI'!A67</f>
        <v>treatment of power electronics, EoL power electronics, SOFC-bat, Long-Term</v>
      </c>
      <c r="B13">
        <f>'Power elec EoL LCI'!B67</f>
        <v>1</v>
      </c>
      <c r="D13" t="str">
        <f>'Power elec EoL LCI'!D67</f>
        <v>unit</v>
      </c>
      <c r="E13" t="str">
        <f>'Power elec EoL LCI'!E67</f>
        <v>GENESIS_2050_SOFC-bat_Base</v>
      </c>
      <c r="F13" t="str">
        <f>'Power elec EoL LCI'!F67</f>
        <v>EoL power electronics, SOFC-bat, Long-Term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LCI'!A69</f>
        <v>treatment of motor, motors and drives, SOFC-bat, Long-Term</v>
      </c>
      <c r="B14">
        <v>1</v>
      </c>
      <c r="D14" t="str">
        <f>'Power elec EoL LCI'!D68</f>
        <v>unit</v>
      </c>
      <c r="E14" t="str">
        <f>'Power elec EoL LCI'!E68</f>
        <v>GENESIS_2050_SOFC-bat_Base</v>
      </c>
      <c r="F14" t="str">
        <f>'Power elec EoL LCI'!F68</f>
        <v>EoL power electronics, SOFC-bat, Long-Term</v>
      </c>
      <c r="G14" t="str">
        <f>'Power elec EoL LCI'!G68</f>
        <v>GLO</v>
      </c>
      <c r="H14" t="s">
        <v>33</v>
      </c>
      <c r="I14">
        <f>'Power elec EoL LCI'!I68</f>
        <v>0</v>
      </c>
      <c r="J14" t="str">
        <f>'Power elec EoL LCI'!J68</f>
        <v>(Unknown)</v>
      </c>
      <c r="K14" t="str">
        <f>'Power elec EoL LCI'!K68</f>
        <v>(Unknown)</v>
      </c>
      <c r="L14" t="str">
        <f>'Power elec EoL LCI'!L68</f>
        <v>(Unknown)</v>
      </c>
      <c r="M14" t="str">
        <f>'Power elec EoL LCI'!M68</f>
        <v>(Unknown)</v>
      </c>
      <c r="N14" t="str">
        <f>'Power elec EoL LCI'!N68</f>
        <v>(Unknown)</v>
      </c>
    </row>
    <row r="15" spans="1:16">
      <c r="A15" t="str">
        <f>'powerplant EoL LCI'!A125</f>
        <v>treatment of powerplant, SOFC-bat, Long-Term</v>
      </c>
      <c r="B15">
        <f>'powerplant EoL LCI'!B125</f>
        <v>1</v>
      </c>
      <c r="D15" t="str">
        <f>'powerplant EoL LCI'!D125</f>
        <v>unit</v>
      </c>
      <c r="E15" t="str">
        <f>'powerplant EoL LCI'!E125</f>
        <v>GENESIS_2050_SOFC-bat_Base</v>
      </c>
      <c r="F15" t="str">
        <f>'powerplant EoL LCI'!F125</f>
        <v>powerplant EoL, SOFC-bat, Long-Term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SOFC-bat, Long-Term</v>
      </c>
      <c r="B16">
        <f>'airframe EoL LCI'!B242</f>
        <v>1</v>
      </c>
      <c r="D16" t="str">
        <f>'airframe EoL LCI'!D242</f>
        <v>unit</v>
      </c>
      <c r="E16" t="str">
        <f>'airframe EoL LCI'!E242</f>
        <v>GENESIS_2050_SOFC-bat_Base</v>
      </c>
      <c r="F16" t="str">
        <f>'airframe EoL LCI'!F242</f>
        <v>airframe EoL, SOFC-bat, Long-Term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row r="17" spans="1:14">
      <c r="A17" t="str">
        <f>'H2 storage EoL '!A54</f>
        <v>treatment of H2 storage on-board</v>
      </c>
      <c r="B17">
        <v>1</v>
      </c>
      <c r="D17" t="s">
        <v>18</v>
      </c>
      <c r="E17" t="s">
        <v>2</v>
      </c>
      <c r="F17" s="58" t="s">
        <v>188</v>
      </c>
      <c r="G17" t="s">
        <v>59</v>
      </c>
      <c r="H17" t="s">
        <v>33</v>
      </c>
      <c r="I17">
        <f>'airframe EoL LCI'!I243</f>
        <v>0</v>
      </c>
      <c r="J17" t="str">
        <f>'airframe EoL LCI'!J243</f>
        <v>(Unknown)</v>
      </c>
      <c r="K17" t="str">
        <f>'airframe EoL LCI'!K243</f>
        <v>(Unknown)</v>
      </c>
      <c r="L17" t="str">
        <f>'airframe EoL LCI'!L243</f>
        <v>(Unknown)</v>
      </c>
      <c r="M17" t="str">
        <f>'airframe EoL LCI'!M243</f>
        <v>(Unknown)</v>
      </c>
      <c r="N17" t="str">
        <f>'airframe EoL LCI'!N243</f>
        <v>(Unknown)</v>
      </c>
    </row>
    <row r="18" spans="1:14" ht="15.6">
      <c r="A18" s="180" t="str">
        <f>'SOFC EoL'!A93</f>
        <v>treatment of SOFC cell ,SOFC EoL, SOFC-bat, Long-Term</v>
      </c>
      <c r="B18" s="180">
        <v>2</v>
      </c>
      <c r="C18" s="180"/>
      <c r="D18" s="180" t="str">
        <f>'SOFC EoL'!D93</f>
        <v>unit</v>
      </c>
      <c r="E18" s="180" t="str">
        <f>'SOFC EoL'!E93</f>
        <v>GENESIS_2050_SOFC-bat_Base</v>
      </c>
      <c r="F18" s="180" t="str">
        <f>'SOFC EoL'!F93</f>
        <v>SOFC EoL, SOFC-bat, Long-Term</v>
      </c>
      <c r="G18" s="180" t="str">
        <f>'SOFC EoL'!G93</f>
        <v>GLO</v>
      </c>
      <c r="H18" t="s">
        <v>33</v>
      </c>
      <c r="I18" s="180">
        <f>'SOFC EoL'!I93</f>
        <v>0</v>
      </c>
      <c r="J18" s="180" t="str">
        <f>'SOFC EoL'!J93</f>
        <v>(Unknown)</v>
      </c>
      <c r="K18" s="180" t="str">
        <f>'SOFC EoL'!K93</f>
        <v>(Unknown)</v>
      </c>
      <c r="L18" s="180" t="str">
        <f>'SOFC EoL'!L93</f>
        <v>(Unknown)</v>
      </c>
      <c r="M18" s="180" t="str">
        <f>'SOFC EoL'!M93</f>
        <v>(Unknown)</v>
      </c>
      <c r="N18" s="180" t="str">
        <f>'SOFC EoL'!N93</f>
        <v>(Unknown)</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0583-1D74-48AC-A790-752C52FAA7E4}">
  <sheetPr>
    <tabColor theme="5" tint="0.79998168889431442"/>
  </sheetPr>
  <dimension ref="A1:V47"/>
  <sheetViews>
    <sheetView topLeftCell="A99" zoomScale="70" zoomScaleNormal="70" workbookViewId="0">
      <selection activeCell="A118" sqref="A118:L128"/>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73" customFormat="1" ht="15.6">
      <c r="A2" s="76" t="s">
        <v>5</v>
      </c>
      <c r="B2" s="106" t="s">
        <v>1732</v>
      </c>
    </row>
    <row r="3" spans="1:22">
      <c r="A3" s="70" t="s">
        <v>7</v>
      </c>
      <c r="B3" t="s">
        <v>1709</v>
      </c>
      <c r="C3" s="72"/>
    </row>
    <row r="4" spans="1:22">
      <c r="A4" s="113" t="s">
        <v>9</v>
      </c>
      <c r="B4" t="s">
        <v>1750</v>
      </c>
      <c r="C4" s="72"/>
    </row>
    <row r="5" spans="1:22" ht="15.75" customHeight="1">
      <c r="A5" s="70" t="s">
        <v>11</v>
      </c>
      <c r="B5" s="71" t="s">
        <v>841</v>
      </c>
    </row>
    <row r="6" spans="1:22">
      <c r="A6" s="70" t="s">
        <v>13</v>
      </c>
      <c r="B6" t="s">
        <v>14</v>
      </c>
    </row>
    <row r="7" spans="1:22">
      <c r="A7" s="70" t="s">
        <v>15</v>
      </c>
      <c r="B7" s="111">
        <f>B12</f>
        <v>1.115</v>
      </c>
    </row>
    <row r="8" spans="1:22">
      <c r="A8" s="70" t="s">
        <v>16</v>
      </c>
      <c r="B8" t="s">
        <v>17</v>
      </c>
    </row>
    <row r="9" spans="1:22">
      <c r="A9" s="70" t="s">
        <v>18</v>
      </c>
      <c r="B9" t="s">
        <v>37</v>
      </c>
      <c r="S9" s="143" t="s">
        <v>937</v>
      </c>
    </row>
    <row r="10" spans="1:22" ht="15.6">
      <c r="A10" s="69" t="s">
        <v>19</v>
      </c>
      <c r="S10" t="s">
        <v>938</v>
      </c>
      <c r="T10">
        <v>8900</v>
      </c>
      <c r="U10" t="s">
        <v>939</v>
      </c>
    </row>
    <row r="11" spans="1:22" ht="15.6">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940</v>
      </c>
      <c r="T11">
        <f>5*10^-6</f>
        <v>4.9999999999999996E-6</v>
      </c>
      <c r="U11" t="s">
        <v>941</v>
      </c>
    </row>
    <row r="12" spans="1:22" ht="15.6">
      <c r="A12" t="s">
        <v>1732</v>
      </c>
      <c r="B12" s="138">
        <f>'A. ACDC POWER MODULE '!B18</f>
        <v>1.115</v>
      </c>
      <c r="C12" t="s">
        <v>37</v>
      </c>
      <c r="D12" s="110" t="s">
        <v>2</v>
      </c>
      <c r="E12" t="s">
        <v>29</v>
      </c>
      <c r="F12" t="s">
        <v>14</v>
      </c>
      <c r="G12" t="s">
        <v>30</v>
      </c>
      <c r="H12">
        <v>1</v>
      </c>
      <c r="I12">
        <v>1</v>
      </c>
      <c r="J12" t="s">
        <v>31</v>
      </c>
      <c r="K12" t="s">
        <v>31</v>
      </c>
      <c r="L12" t="s">
        <v>31</v>
      </c>
      <c r="M12" t="s">
        <v>31</v>
      </c>
      <c r="O12" s="90" t="s">
        <v>1295</v>
      </c>
      <c r="P12" s="142"/>
      <c r="Q12" t="s">
        <v>268</v>
      </c>
      <c r="S12" s="141" t="s">
        <v>942</v>
      </c>
      <c r="T12" s="140">
        <f>T11*T10</f>
        <v>4.4499999999999998E-2</v>
      </c>
      <c r="U12" s="139" t="s">
        <v>943</v>
      </c>
    </row>
    <row r="13" spans="1:22" ht="15.6">
      <c r="A13" t="s">
        <v>1751</v>
      </c>
      <c r="B13" s="138">
        <f>B28</f>
        <v>0.09</v>
      </c>
      <c r="C13" t="s">
        <v>853</v>
      </c>
      <c r="D13" s="110" t="s">
        <v>2</v>
      </c>
      <c r="E13" t="s">
        <v>29</v>
      </c>
      <c r="F13" t="s">
        <v>14</v>
      </c>
      <c r="G13" t="s">
        <v>33</v>
      </c>
      <c r="H13">
        <v>1</v>
      </c>
      <c r="I13" s="111">
        <f>B13</f>
        <v>0.09</v>
      </c>
      <c r="J13">
        <v>7.2284161474004766E-2</v>
      </c>
      <c r="K13" t="s">
        <v>31</v>
      </c>
      <c r="L13" t="s">
        <v>31</v>
      </c>
      <c r="M13" t="s">
        <v>31</v>
      </c>
      <c r="O13" s="97" t="s">
        <v>944</v>
      </c>
      <c r="P13" s="131">
        <f>B13*100</f>
        <v>9</v>
      </c>
    </row>
    <row r="14" spans="1:22" ht="15.6">
      <c r="A14" s="58" t="s">
        <v>1744</v>
      </c>
      <c r="B14" s="122">
        <f>U15</f>
        <v>3.6489999999999995E-2</v>
      </c>
      <c r="C14" t="s">
        <v>37</v>
      </c>
      <c r="D14" s="110" t="s">
        <v>2</v>
      </c>
      <c r="E14" t="s">
        <v>29</v>
      </c>
      <c r="F14" s="68" t="s">
        <v>14</v>
      </c>
      <c r="G14" t="s">
        <v>33</v>
      </c>
      <c r="H14">
        <v>1</v>
      </c>
      <c r="I14" s="111">
        <f>B14</f>
        <v>3.6489999999999995E-2</v>
      </c>
      <c r="J14">
        <v>7.2284161474004766E-2</v>
      </c>
      <c r="K14" t="s">
        <v>31</v>
      </c>
      <c r="L14" t="s">
        <v>31</v>
      </c>
      <c r="M14" t="s">
        <v>31</v>
      </c>
      <c r="O14" s="109"/>
      <c r="P14" s="108"/>
      <c r="S14" t="s">
        <v>945</v>
      </c>
      <c r="V14" s="129"/>
    </row>
    <row r="15" spans="1:22" ht="15.6">
      <c r="A15" s="67" t="s">
        <v>844</v>
      </c>
      <c r="B15">
        <f>Q15</f>
        <v>6.6</v>
      </c>
      <c r="C15" t="s">
        <v>37</v>
      </c>
      <c r="D15" s="17" t="s">
        <v>40</v>
      </c>
      <c r="E15" t="s">
        <v>29</v>
      </c>
      <c r="F15" s="68" t="s">
        <v>74</v>
      </c>
      <c r="G15" t="s">
        <v>33</v>
      </c>
      <c r="H15">
        <v>2</v>
      </c>
      <c r="I15">
        <f>LN(B15)</f>
        <v>1.8870696490323797</v>
      </c>
      <c r="J15">
        <v>7.2284161474004766E-2</v>
      </c>
      <c r="K15" t="s">
        <v>31</v>
      </c>
      <c r="L15" t="s">
        <v>31</v>
      </c>
      <c r="M15" t="s">
        <v>31</v>
      </c>
      <c r="O15" s="97" t="s">
        <v>275</v>
      </c>
      <c r="P15" s="134">
        <v>6.6</v>
      </c>
      <c r="Q15">
        <f>P15</f>
        <v>6.6</v>
      </c>
      <c r="S15" s="137">
        <v>0.82</v>
      </c>
      <c r="T15" s="136" t="s">
        <v>855</v>
      </c>
      <c r="U15" s="137">
        <f>S15*T12</f>
        <v>3.6489999999999995E-2</v>
      </c>
      <c r="V15" s="136" t="s">
        <v>275</v>
      </c>
    </row>
    <row r="16" spans="1:22" ht="15.6">
      <c r="A16" s="84" t="s">
        <v>924</v>
      </c>
      <c r="B16">
        <f>Q16</f>
        <v>2.9999999999999999E-7</v>
      </c>
      <c r="C16" t="s">
        <v>37</v>
      </c>
      <c r="D16" s="17" t="s">
        <v>40</v>
      </c>
      <c r="E16" t="s">
        <v>29</v>
      </c>
      <c r="F16" s="68" t="s">
        <v>59</v>
      </c>
      <c r="G16" t="s">
        <v>33</v>
      </c>
      <c r="H16">
        <v>2</v>
      </c>
      <c r="I16">
        <f>LN(B16)</f>
        <v>-15.01948336229021</v>
      </c>
      <c r="J16">
        <v>7.2284161474004766E-2</v>
      </c>
      <c r="K16" t="s">
        <v>31</v>
      </c>
      <c r="L16" t="s">
        <v>31</v>
      </c>
      <c r="M16" t="s">
        <v>31</v>
      </c>
      <c r="O16" s="128" t="s">
        <v>862</v>
      </c>
      <c r="P16" s="135">
        <v>0.3</v>
      </c>
      <c r="Q16">
        <f>0.000001*P16</f>
        <v>2.9999999999999999E-7</v>
      </c>
    </row>
    <row r="17" spans="1:20" ht="15.6">
      <c r="A17" s="84" t="s">
        <v>76</v>
      </c>
      <c r="B17">
        <f>Q17</f>
        <v>6.6E-3</v>
      </c>
      <c r="C17" t="s">
        <v>42</v>
      </c>
      <c r="D17" s="17" t="s">
        <v>40</v>
      </c>
      <c r="E17" t="s">
        <v>29</v>
      </c>
      <c r="F17" s="68" t="s">
        <v>74</v>
      </c>
      <c r="G17" t="s">
        <v>33</v>
      </c>
      <c r="H17">
        <v>2</v>
      </c>
      <c r="I17">
        <f>LN(B17)</f>
        <v>-5.0206856299497575</v>
      </c>
      <c r="J17">
        <v>7.2284161474004766E-2</v>
      </c>
      <c r="K17" t="s">
        <v>31</v>
      </c>
      <c r="L17" t="s">
        <v>31</v>
      </c>
      <c r="M17" t="s">
        <v>31</v>
      </c>
      <c r="O17" s="124" t="s">
        <v>913</v>
      </c>
      <c r="P17" s="133">
        <v>6.6</v>
      </c>
      <c r="Q17">
        <f>0.001*P17</f>
        <v>6.6E-3</v>
      </c>
    </row>
    <row r="18" spans="1:20" s="73" customFormat="1" ht="15.6">
      <c r="A18" s="76" t="s">
        <v>5</v>
      </c>
      <c r="B18" s="106" t="s">
        <v>1751</v>
      </c>
    </row>
    <row r="19" spans="1:20">
      <c r="A19" s="70" t="s">
        <v>7</v>
      </c>
      <c r="B19" t="s">
        <v>1709</v>
      </c>
      <c r="C19" s="72"/>
    </row>
    <row r="20" spans="1:20">
      <c r="A20" s="113" t="s">
        <v>9</v>
      </c>
      <c r="B20" s="22" t="s">
        <v>1752</v>
      </c>
      <c r="C20" s="72"/>
    </row>
    <row r="21" spans="1:20" ht="15.75" customHeight="1">
      <c r="A21" s="70" t="s">
        <v>11</v>
      </c>
      <c r="B21" s="71" t="s">
        <v>841</v>
      </c>
    </row>
    <row r="22" spans="1:20">
      <c r="A22" s="70" t="s">
        <v>13</v>
      </c>
      <c r="B22" t="s">
        <v>14</v>
      </c>
    </row>
    <row r="23" spans="1:20">
      <c r="A23" s="70" t="s">
        <v>15</v>
      </c>
      <c r="B23" s="111">
        <f>B28</f>
        <v>0.09</v>
      </c>
    </row>
    <row r="24" spans="1:20">
      <c r="A24" s="70" t="s">
        <v>16</v>
      </c>
      <c r="B24" t="s">
        <v>17</v>
      </c>
    </row>
    <row r="25" spans="1:20">
      <c r="A25" s="70" t="s">
        <v>18</v>
      </c>
      <c r="B25" t="s">
        <v>853</v>
      </c>
    </row>
    <row r="26" spans="1:20" ht="15.6">
      <c r="A26" s="69" t="s">
        <v>19</v>
      </c>
    </row>
    <row r="27" spans="1:20" ht="15.6">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1"/>
    </row>
    <row r="28" spans="1:20" ht="15.6">
      <c r="A28" t="s">
        <v>1751</v>
      </c>
      <c r="B28" s="111">
        <v>0.09</v>
      </c>
      <c r="C28" t="s">
        <v>853</v>
      </c>
      <c r="D28" s="110" t="s">
        <v>2</v>
      </c>
      <c r="E28" t="s">
        <v>29</v>
      </c>
      <c r="F28" t="s">
        <v>14</v>
      </c>
      <c r="G28" t="s">
        <v>30</v>
      </c>
      <c r="H28">
        <v>1</v>
      </c>
      <c r="I28" s="111">
        <f>B28</f>
        <v>0.09</v>
      </c>
      <c r="J28">
        <v>7.2284161474004766E-2</v>
      </c>
      <c r="K28" t="s">
        <v>31</v>
      </c>
      <c r="L28" t="s">
        <v>31</v>
      </c>
      <c r="M28" t="s">
        <v>31</v>
      </c>
      <c r="O28" s="97" t="s">
        <v>944</v>
      </c>
      <c r="P28" s="107">
        <f>B28*100</f>
        <v>9</v>
      </c>
    </row>
    <row r="29" spans="1:20">
      <c r="A29" t="s">
        <v>1753</v>
      </c>
      <c r="B29" s="111">
        <v>0.09</v>
      </c>
      <c r="C29" t="s">
        <v>853</v>
      </c>
      <c r="D29" s="132" t="s">
        <v>2</v>
      </c>
      <c r="E29" t="s">
        <v>29</v>
      </c>
      <c r="F29" t="s">
        <v>14</v>
      </c>
      <c r="G29" t="s">
        <v>33</v>
      </c>
      <c r="H29">
        <v>1</v>
      </c>
      <c r="I29" s="111">
        <f>B29</f>
        <v>0.09</v>
      </c>
      <c r="J29">
        <v>7.2284161474004766E-2</v>
      </c>
      <c r="K29" t="s">
        <v>31</v>
      </c>
      <c r="L29" t="s">
        <v>31</v>
      </c>
      <c r="M29" t="s">
        <v>31</v>
      </c>
    </row>
    <row r="30" spans="1:20" ht="15.6">
      <c r="A30" s="67" t="s">
        <v>38</v>
      </c>
      <c r="B30" s="115">
        <f>P30</f>
        <v>0.36</v>
      </c>
      <c r="C30" t="s">
        <v>39</v>
      </c>
      <c r="D30" s="17" t="s">
        <v>40</v>
      </c>
      <c r="E30" t="s">
        <v>29</v>
      </c>
      <c r="F30" s="68" t="s">
        <v>35</v>
      </c>
      <c r="G30" t="s">
        <v>33</v>
      </c>
      <c r="H30">
        <v>2</v>
      </c>
      <c r="I30">
        <f>LN(B30)</f>
        <v>-1.0216512475319814</v>
      </c>
      <c r="J30">
        <v>7.2284161474004766E-2</v>
      </c>
      <c r="K30" t="s">
        <v>31</v>
      </c>
      <c r="L30" t="s">
        <v>31</v>
      </c>
      <c r="M30" t="s">
        <v>31</v>
      </c>
      <c r="O30" s="97" t="s">
        <v>271</v>
      </c>
      <c r="P30" s="134">
        <v>0.36</v>
      </c>
    </row>
    <row r="31" spans="1:20" ht="15.6">
      <c r="A31" s="84" t="s">
        <v>491</v>
      </c>
      <c r="B31">
        <f>R31</f>
        <v>9.0000000000000011E-3</v>
      </c>
      <c r="C31" s="111" t="s">
        <v>37</v>
      </c>
      <c r="D31" s="17" t="s">
        <v>40</v>
      </c>
      <c r="E31" t="s">
        <v>29</v>
      </c>
      <c r="F31" t="s">
        <v>59</v>
      </c>
      <c r="G31" t="s">
        <v>33</v>
      </c>
      <c r="H31">
        <v>2</v>
      </c>
      <c r="I31">
        <f>LN(B31)</f>
        <v>-4.7105307016459177</v>
      </c>
      <c r="J31">
        <v>7.2284161474004766E-2</v>
      </c>
      <c r="K31" t="s">
        <v>31</v>
      </c>
      <c r="L31" t="s">
        <v>31</v>
      </c>
      <c r="M31" t="s">
        <v>31</v>
      </c>
      <c r="O31" s="97" t="s">
        <v>857</v>
      </c>
      <c r="P31" s="134">
        <v>9</v>
      </c>
      <c r="Q31" t="s">
        <v>275</v>
      </c>
      <c r="R31">
        <f>P31*0.001</f>
        <v>9.0000000000000011E-3</v>
      </c>
    </row>
    <row r="32" spans="1:20" ht="15.6">
      <c r="A32" s="116" t="s">
        <v>921</v>
      </c>
      <c r="B32">
        <f>R32</f>
        <v>1.6E-2</v>
      </c>
      <c r="C32" t="s">
        <v>37</v>
      </c>
      <c r="D32" s="17" t="s">
        <v>40</v>
      </c>
      <c r="E32" t="s">
        <v>29</v>
      </c>
      <c r="F32" s="68" t="s">
        <v>35</v>
      </c>
      <c r="G32" t="s">
        <v>33</v>
      </c>
      <c r="H32">
        <v>2</v>
      </c>
      <c r="I32">
        <f>LN(B32)</f>
        <v>-4.1351665567423561</v>
      </c>
      <c r="J32">
        <v>7.2284161474004766E-2</v>
      </c>
      <c r="K32" t="s">
        <v>31</v>
      </c>
      <c r="L32" t="s">
        <v>31</v>
      </c>
      <c r="M32" t="s">
        <v>31</v>
      </c>
      <c r="O32" s="97" t="s">
        <v>857</v>
      </c>
      <c r="P32" s="134">
        <v>16</v>
      </c>
      <c r="Q32" t="s">
        <v>275</v>
      </c>
      <c r="R32">
        <f>P32*0.001</f>
        <v>1.6E-2</v>
      </c>
    </row>
    <row r="33" spans="1:20" ht="15.6">
      <c r="A33" s="67" t="s">
        <v>844</v>
      </c>
      <c r="B33">
        <f>R33</f>
        <v>13.9</v>
      </c>
      <c r="C33" t="s">
        <v>37</v>
      </c>
      <c r="D33" s="17" t="s">
        <v>40</v>
      </c>
      <c r="E33" t="s">
        <v>29</v>
      </c>
      <c r="F33" s="68" t="s">
        <v>74</v>
      </c>
      <c r="G33" t="s">
        <v>33</v>
      </c>
      <c r="H33">
        <v>2</v>
      </c>
      <c r="I33">
        <f>LN(B33)</f>
        <v>2.631888840136646</v>
      </c>
      <c r="J33">
        <v>7.2284161474004766E-2</v>
      </c>
      <c r="K33" t="s">
        <v>31</v>
      </c>
      <c r="L33" t="s">
        <v>31</v>
      </c>
      <c r="M33" t="s">
        <v>31</v>
      </c>
      <c r="O33" s="97" t="s">
        <v>275</v>
      </c>
      <c r="P33" s="134">
        <v>13.9</v>
      </c>
      <c r="Q33" t="s">
        <v>275</v>
      </c>
      <c r="R33">
        <f>P33</f>
        <v>13.9</v>
      </c>
    </row>
    <row r="34" spans="1:20" ht="15.6">
      <c r="A34" s="84" t="s">
        <v>76</v>
      </c>
      <c r="B34">
        <f>R34</f>
        <v>1.3900000000000001E-2</v>
      </c>
      <c r="C34" t="s">
        <v>42</v>
      </c>
      <c r="D34" s="17" t="s">
        <v>40</v>
      </c>
      <c r="E34" t="s">
        <v>29</v>
      </c>
      <c r="F34" s="68" t="s">
        <v>74</v>
      </c>
      <c r="G34" t="s">
        <v>33</v>
      </c>
      <c r="H34">
        <v>2</v>
      </c>
      <c r="I34">
        <f>LN(B34)</f>
        <v>-4.2758664388454912</v>
      </c>
      <c r="J34">
        <v>7.2284161474004766E-2</v>
      </c>
      <c r="K34" t="s">
        <v>31</v>
      </c>
      <c r="L34" t="s">
        <v>31</v>
      </c>
      <c r="M34" t="s">
        <v>31</v>
      </c>
      <c r="O34" s="124" t="s">
        <v>913</v>
      </c>
      <c r="P34" s="133">
        <v>13.9</v>
      </c>
      <c r="Q34" t="s">
        <v>274</v>
      </c>
      <c r="R34">
        <f>0.001*P34</f>
        <v>1.3900000000000001E-2</v>
      </c>
    </row>
    <row r="35" spans="1:20" s="73" customFormat="1" ht="15.6">
      <c r="A35" s="76" t="s">
        <v>5</v>
      </c>
      <c r="B35" s="106" t="s">
        <v>1753</v>
      </c>
    </row>
    <row r="36" spans="1:20">
      <c r="A36" s="70" t="s">
        <v>7</v>
      </c>
      <c r="B36" t="s">
        <v>1709</v>
      </c>
      <c r="C36" s="72"/>
    </row>
    <row r="37" spans="1:20">
      <c r="A37" s="113" t="s">
        <v>9</v>
      </c>
      <c r="B37" s="22" t="s">
        <v>1754</v>
      </c>
      <c r="C37" s="72"/>
    </row>
    <row r="38" spans="1:20" ht="15.75" customHeight="1">
      <c r="A38" s="70" t="s">
        <v>11</v>
      </c>
      <c r="B38" s="71" t="s">
        <v>841</v>
      </c>
    </row>
    <row r="39" spans="1:20">
      <c r="A39" s="70" t="s">
        <v>13</v>
      </c>
      <c r="B39" t="s">
        <v>14</v>
      </c>
    </row>
    <row r="40" spans="1:20">
      <c r="A40" s="70" t="s">
        <v>15</v>
      </c>
      <c r="B40" s="111">
        <f>B45</f>
        <v>0.09</v>
      </c>
    </row>
    <row r="41" spans="1:20">
      <c r="A41" s="70" t="s">
        <v>16</v>
      </c>
      <c r="B41" t="s">
        <v>17</v>
      </c>
    </row>
    <row r="42" spans="1:20">
      <c r="A42" s="70" t="s">
        <v>18</v>
      </c>
      <c r="B42" t="s">
        <v>853</v>
      </c>
    </row>
    <row r="43" spans="1:20" ht="15.6">
      <c r="A43" s="69" t="s">
        <v>19</v>
      </c>
    </row>
    <row r="44" spans="1:20" ht="15.6">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1"/>
    </row>
    <row r="45" spans="1:20">
      <c r="A45" t="s">
        <v>1753</v>
      </c>
      <c r="B45" s="111">
        <f>B29</f>
        <v>0.09</v>
      </c>
      <c r="C45" t="s">
        <v>853</v>
      </c>
      <c r="D45" s="132" t="s">
        <v>2</v>
      </c>
      <c r="E45" t="s">
        <v>29</v>
      </c>
      <c r="F45" t="s">
        <v>14</v>
      </c>
      <c r="G45" t="s">
        <v>30</v>
      </c>
      <c r="H45">
        <v>1</v>
      </c>
      <c r="I45" s="111">
        <f>B45</f>
        <v>0.09</v>
      </c>
      <c r="J45" t="s">
        <v>31</v>
      </c>
      <c r="K45" t="s">
        <v>31</v>
      </c>
      <c r="L45" t="s">
        <v>31</v>
      </c>
      <c r="M45" t="s">
        <v>31</v>
      </c>
    </row>
    <row r="46" spans="1:20">
      <c r="A46" s="84" t="s">
        <v>950</v>
      </c>
      <c r="B46" s="131">
        <v>1.1100000000000001</v>
      </c>
      <c r="C46" t="s">
        <v>37</v>
      </c>
      <c r="D46" t="s">
        <v>40</v>
      </c>
      <c r="E46" t="s">
        <v>29</v>
      </c>
      <c r="F46" t="s">
        <v>82</v>
      </c>
      <c r="G46" t="s">
        <v>33</v>
      </c>
      <c r="H46">
        <v>1</v>
      </c>
      <c r="I46" s="111">
        <f>B46</f>
        <v>1.1100000000000001</v>
      </c>
      <c r="J46" t="s">
        <v>31</v>
      </c>
      <c r="K46" t="s">
        <v>31</v>
      </c>
      <c r="L46" t="s">
        <v>31</v>
      </c>
      <c r="M46" t="s">
        <v>31</v>
      </c>
    </row>
    <row r="47" spans="1:20">
      <c r="A47" s="84" t="s">
        <v>951</v>
      </c>
      <c r="B47" s="131">
        <v>1.1100000000000001</v>
      </c>
      <c r="C47" t="s">
        <v>37</v>
      </c>
      <c r="D47" t="s">
        <v>40</v>
      </c>
      <c r="E47" t="s">
        <v>29</v>
      </c>
      <c r="F47" t="s">
        <v>59</v>
      </c>
      <c r="G47" t="s">
        <v>33</v>
      </c>
      <c r="H47">
        <v>1</v>
      </c>
      <c r="I47" s="111">
        <f>B47</f>
        <v>1.1100000000000001</v>
      </c>
      <c r="J47" t="s">
        <v>31</v>
      </c>
      <c r="K47" t="s">
        <v>31</v>
      </c>
      <c r="L47" t="s">
        <v>31</v>
      </c>
      <c r="M47" t="s">
        <v>31</v>
      </c>
    </row>
  </sheetData>
  <pageMargins left="0.7" right="0.7" top="0.75" bottom="0.75" header="0.3" footer="0.3"/>
  <pageSetup paperSize="9"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F22A2-44FB-45CE-B466-BCF6A8E9A2F9}">
  <sheetPr>
    <tabColor theme="5" tint="0.79998168889431442"/>
  </sheetPr>
  <dimension ref="A1:Y57"/>
  <sheetViews>
    <sheetView topLeftCell="A99" zoomScale="70" zoomScaleNormal="70" workbookViewId="0">
      <selection activeCell="A117" sqref="A117:J130"/>
    </sheetView>
  </sheetViews>
  <sheetFormatPr defaultRowHeight="14.45"/>
  <cols>
    <col min="1" max="1" width="74" customWidth="1"/>
    <col min="5" max="5" width="34.28515625" customWidth="1"/>
    <col min="6" max="6" width="16.7109375" customWidth="1"/>
    <col min="8" max="8" width="14.28515625" customWidth="1"/>
  </cols>
  <sheetData>
    <row r="1" spans="1:21">
      <c r="A1" t="s">
        <v>0</v>
      </c>
      <c r="B1">
        <v>14</v>
      </c>
      <c r="R1" s="58"/>
      <c r="S1" s="114"/>
    </row>
    <row r="2" spans="1:21" s="73" customFormat="1" ht="15.6">
      <c r="A2" s="76" t="s">
        <v>5</v>
      </c>
      <c r="B2" s="106" t="s">
        <v>1755</v>
      </c>
      <c r="C2" s="106"/>
      <c r="R2" s="150"/>
      <c r="S2" s="149"/>
    </row>
    <row r="3" spans="1:21">
      <c r="A3" s="70" t="s">
        <v>7</v>
      </c>
      <c r="B3" t="s">
        <v>1709</v>
      </c>
      <c r="D3" s="72"/>
      <c r="R3" s="58"/>
      <c r="S3" s="114"/>
    </row>
    <row r="4" spans="1:21">
      <c r="A4" s="113" t="s">
        <v>9</v>
      </c>
      <c r="B4" t="s">
        <v>1756</v>
      </c>
      <c r="D4" s="72"/>
    </row>
    <row r="5" spans="1:21" ht="15.75" customHeight="1">
      <c r="A5" s="70" t="s">
        <v>11</v>
      </c>
      <c r="B5" s="71" t="s">
        <v>841</v>
      </c>
      <c r="C5" s="71"/>
    </row>
    <row r="6" spans="1:21">
      <c r="A6" s="70" t="s">
        <v>13</v>
      </c>
      <c r="B6" t="s">
        <v>14</v>
      </c>
    </row>
    <row r="7" spans="1:21">
      <c r="A7" s="70" t="s">
        <v>15</v>
      </c>
      <c r="B7" s="23">
        <f>B12</f>
        <v>7.35</v>
      </c>
      <c r="C7" s="23"/>
    </row>
    <row r="8" spans="1:21">
      <c r="A8" s="70" t="s">
        <v>16</v>
      </c>
      <c r="B8" t="s">
        <v>17</v>
      </c>
    </row>
    <row r="9" spans="1:21">
      <c r="A9" s="70" t="s">
        <v>18</v>
      </c>
      <c r="B9" t="s">
        <v>37</v>
      </c>
    </row>
    <row r="10" spans="1:21" ht="15.6">
      <c r="A10" s="69" t="s">
        <v>19</v>
      </c>
    </row>
    <row r="11" spans="1:21" ht="15.6">
      <c r="A11" s="16"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c r="U11" s="111"/>
    </row>
    <row r="12" spans="1:21" ht="15.6">
      <c r="A12" t="s">
        <v>1755</v>
      </c>
      <c r="B12" s="23">
        <f>B43</f>
        <v>7.35</v>
      </c>
      <c r="D12" t="s">
        <v>37</v>
      </c>
      <c r="E12" s="110" t="s">
        <v>2</v>
      </c>
      <c r="F12" t="s">
        <v>29</v>
      </c>
      <c r="G12" t="s">
        <v>14</v>
      </c>
      <c r="H12" t="s">
        <v>30</v>
      </c>
      <c r="I12">
        <v>1</v>
      </c>
      <c r="J12">
        <f>B12</f>
        <v>7.35</v>
      </c>
      <c r="K12" t="s">
        <v>31</v>
      </c>
      <c r="L12" t="s">
        <v>31</v>
      </c>
      <c r="M12" t="s">
        <v>31</v>
      </c>
      <c r="N12" t="s">
        <v>31</v>
      </c>
      <c r="P12" s="58"/>
      <c r="Q12" s="114"/>
    </row>
    <row r="13" spans="1:21" ht="15.6">
      <c r="A13" t="s">
        <v>1757</v>
      </c>
      <c r="B13">
        <v>1</v>
      </c>
      <c r="D13" t="s">
        <v>18</v>
      </c>
      <c r="E13" s="110" t="s">
        <v>2</v>
      </c>
      <c r="F13" t="s">
        <v>29</v>
      </c>
      <c r="G13" t="s">
        <v>14</v>
      </c>
      <c r="H13" t="s">
        <v>33</v>
      </c>
      <c r="I13">
        <v>1</v>
      </c>
      <c r="J13">
        <v>1</v>
      </c>
      <c r="K13" t="s">
        <v>31</v>
      </c>
      <c r="L13" t="s">
        <v>31</v>
      </c>
      <c r="M13" t="s">
        <v>31</v>
      </c>
      <c r="N13" t="s">
        <v>31</v>
      </c>
    </row>
    <row r="14" spans="1:21" ht="15.6">
      <c r="A14" s="67" t="s">
        <v>38</v>
      </c>
      <c r="B14" s="115">
        <f>Q14</f>
        <v>0.25</v>
      </c>
      <c r="C14" s="115"/>
      <c r="D14" t="s">
        <v>39</v>
      </c>
      <c r="E14" s="17" t="s">
        <v>40</v>
      </c>
      <c r="F14" t="s">
        <v>29</v>
      </c>
      <c r="G14" s="68" t="s">
        <v>35</v>
      </c>
      <c r="H14" t="s">
        <v>33</v>
      </c>
      <c r="I14">
        <v>2</v>
      </c>
      <c r="J14">
        <f>LN(B14)</f>
        <v>-1.3862943611198906</v>
      </c>
      <c r="K14" s="125">
        <v>9.6046863561492793E-2</v>
      </c>
      <c r="L14" t="s">
        <v>31</v>
      </c>
      <c r="M14" t="s">
        <v>31</v>
      </c>
      <c r="N14" t="s">
        <v>31</v>
      </c>
      <c r="P14" s="97" t="s">
        <v>271</v>
      </c>
      <c r="Q14" s="107">
        <v>0.25</v>
      </c>
    </row>
    <row r="15" spans="1:21" ht="15.6">
      <c r="A15" s="67" t="s">
        <v>38</v>
      </c>
      <c r="B15" s="115">
        <f>Q15</f>
        <v>0.5</v>
      </c>
      <c r="C15" s="115"/>
      <c r="D15" t="s">
        <v>39</v>
      </c>
      <c r="E15" s="17" t="s">
        <v>40</v>
      </c>
      <c r="F15" t="s">
        <v>29</v>
      </c>
      <c r="G15" s="68" t="s">
        <v>59</v>
      </c>
      <c r="H15" t="s">
        <v>33</v>
      </c>
      <c r="I15">
        <v>2</v>
      </c>
      <c r="J15">
        <f>LN(B15)</f>
        <v>-0.69314718055994529</v>
      </c>
      <c r="K15" s="125">
        <v>9.6046863561492793E-2</v>
      </c>
      <c r="L15" t="s">
        <v>31</v>
      </c>
      <c r="M15" t="s">
        <v>31</v>
      </c>
      <c r="N15" t="s">
        <v>31</v>
      </c>
      <c r="P15" s="97" t="s">
        <v>271</v>
      </c>
      <c r="Q15" s="107">
        <v>0.5</v>
      </c>
    </row>
    <row r="16" spans="1:21" ht="15.6">
      <c r="A16" s="84" t="s">
        <v>954</v>
      </c>
      <c r="B16">
        <f>S16</f>
        <v>6.5000000000000002E-2</v>
      </c>
      <c r="D16" t="s">
        <v>37</v>
      </c>
      <c r="E16" s="17" t="s">
        <v>40</v>
      </c>
      <c r="F16" t="s">
        <v>29</v>
      </c>
      <c r="G16" t="s">
        <v>35</v>
      </c>
      <c r="H16" t="s">
        <v>33</v>
      </c>
      <c r="I16">
        <v>2</v>
      </c>
      <c r="J16">
        <f>LN(B16)</f>
        <v>-2.7333680090865</v>
      </c>
      <c r="K16" s="125">
        <v>9.6046863561492793E-2</v>
      </c>
      <c r="L16" t="s">
        <v>31</v>
      </c>
      <c r="M16" t="s">
        <v>31</v>
      </c>
      <c r="N16" t="s">
        <v>31</v>
      </c>
      <c r="P16" s="97" t="s">
        <v>857</v>
      </c>
      <c r="Q16" s="107">
        <v>65</v>
      </c>
      <c r="R16" s="97" t="s">
        <v>275</v>
      </c>
      <c r="S16" s="107">
        <f>0.001*Q16</f>
        <v>6.5000000000000002E-2</v>
      </c>
    </row>
    <row r="17" spans="1:21" ht="15.6">
      <c r="A17" s="84" t="s">
        <v>955</v>
      </c>
      <c r="B17">
        <f>Q17</f>
        <v>1.2</v>
      </c>
      <c r="D17" t="s">
        <v>37</v>
      </c>
      <c r="E17" s="17" t="s">
        <v>40</v>
      </c>
      <c r="F17" t="s">
        <v>29</v>
      </c>
      <c r="G17" s="68" t="s">
        <v>74</v>
      </c>
      <c r="H17" t="s">
        <v>33</v>
      </c>
      <c r="I17">
        <v>2</v>
      </c>
      <c r="J17">
        <f>LN(B17)</f>
        <v>0.18232155679395459</v>
      </c>
      <c r="K17" s="125">
        <v>9.6046863561492793E-2</v>
      </c>
      <c r="L17" t="s">
        <v>31</v>
      </c>
      <c r="M17" t="s">
        <v>31</v>
      </c>
      <c r="N17" t="s">
        <v>31</v>
      </c>
      <c r="P17" s="97" t="s">
        <v>275</v>
      </c>
      <c r="Q17" s="107">
        <v>1.2</v>
      </c>
    </row>
    <row r="18" spans="1:21" ht="15.6">
      <c r="A18" s="84" t="s">
        <v>838</v>
      </c>
      <c r="B18">
        <f>S18</f>
        <v>6.5000000000000002E-2</v>
      </c>
      <c r="D18" t="s">
        <v>37</v>
      </c>
      <c r="E18" s="17" t="s">
        <v>40</v>
      </c>
      <c r="F18" t="s">
        <v>29</v>
      </c>
      <c r="G18" s="68" t="s">
        <v>74</v>
      </c>
      <c r="H18" t="s">
        <v>33</v>
      </c>
      <c r="I18">
        <v>2</v>
      </c>
      <c r="J18">
        <f>LN(B18)</f>
        <v>-2.7333680090865</v>
      </c>
      <c r="K18" s="125">
        <v>9.6046863561492793E-2</v>
      </c>
      <c r="L18" t="s">
        <v>31</v>
      </c>
      <c r="M18" t="s">
        <v>31</v>
      </c>
      <c r="N18" t="s">
        <v>31</v>
      </c>
      <c r="P18" s="97" t="s">
        <v>857</v>
      </c>
      <c r="Q18" s="123">
        <v>65</v>
      </c>
      <c r="R18" s="97" t="s">
        <v>275</v>
      </c>
      <c r="S18" s="107">
        <f>0.001*Q18</f>
        <v>6.5000000000000002E-2</v>
      </c>
    </row>
    <row r="19" spans="1:21" s="73" customFormat="1" ht="15.6">
      <c r="A19" s="76" t="s">
        <v>5</v>
      </c>
      <c r="B19" s="106" t="str">
        <f>A29</f>
        <v>production of machined casing, mass scaled activities, ACDC power module, battery charging, long-term</v>
      </c>
      <c r="C19" s="106"/>
    </row>
    <row r="20" spans="1:21">
      <c r="A20" s="70" t="s">
        <v>7</v>
      </c>
      <c r="B20" t="s">
        <v>1709</v>
      </c>
      <c r="D20" s="72"/>
    </row>
    <row r="21" spans="1:21">
      <c r="A21" s="113" t="s">
        <v>9</v>
      </c>
      <c r="B21" t="s">
        <v>1758</v>
      </c>
      <c r="D21" s="72"/>
    </row>
    <row r="22" spans="1:21" ht="15.75" customHeight="1">
      <c r="A22" s="70" t="s">
        <v>11</v>
      </c>
      <c r="B22" s="71" t="s">
        <v>841</v>
      </c>
      <c r="C22" s="71"/>
    </row>
    <row r="23" spans="1:21">
      <c r="A23" s="70" t="s">
        <v>13</v>
      </c>
      <c r="B23" t="s">
        <v>14</v>
      </c>
    </row>
    <row r="24" spans="1:21">
      <c r="A24" s="70" t="s">
        <v>15</v>
      </c>
      <c r="B24" s="23">
        <v>1</v>
      </c>
      <c r="C24" s="23"/>
    </row>
    <row r="25" spans="1:21">
      <c r="A25" s="70" t="s">
        <v>16</v>
      </c>
      <c r="B25" t="s">
        <v>17</v>
      </c>
    </row>
    <row r="26" spans="1:21">
      <c r="A26" s="70" t="s">
        <v>18</v>
      </c>
      <c r="B26" t="s">
        <v>18</v>
      </c>
    </row>
    <row r="27" spans="1:21" ht="15.6">
      <c r="A27" s="69" t="s">
        <v>19</v>
      </c>
    </row>
    <row r="28" spans="1:21" ht="15.6">
      <c r="A28" s="16" t="s">
        <v>20</v>
      </c>
      <c r="B28" s="16" t="s">
        <v>21</v>
      </c>
      <c r="C28" s="83" t="s">
        <v>186</v>
      </c>
      <c r="D28" s="16" t="s">
        <v>18</v>
      </c>
      <c r="E28" s="16" t="s">
        <v>22</v>
      </c>
      <c r="F28" s="16" t="s">
        <v>7</v>
      </c>
      <c r="G28" s="16" t="s">
        <v>13</v>
      </c>
      <c r="H28" s="16" t="s">
        <v>16</v>
      </c>
      <c r="I28" s="16" t="s">
        <v>23</v>
      </c>
      <c r="J28" s="16" t="s">
        <v>24</v>
      </c>
      <c r="K28" s="16" t="s">
        <v>25</v>
      </c>
      <c r="L28" s="16" t="s">
        <v>26</v>
      </c>
      <c r="M28" s="16" t="s">
        <v>27</v>
      </c>
      <c r="N28" s="16" t="s">
        <v>28</v>
      </c>
      <c r="O28" s="16" t="s">
        <v>11</v>
      </c>
      <c r="U28" s="111"/>
    </row>
    <row r="29" spans="1:21" ht="15.6">
      <c r="A29" t="s">
        <v>1757</v>
      </c>
      <c r="B29">
        <v>1</v>
      </c>
      <c r="D29" t="s">
        <v>18</v>
      </c>
      <c r="E29" s="110" t="s">
        <v>2</v>
      </c>
      <c r="F29" t="s">
        <v>29</v>
      </c>
      <c r="G29" t="s">
        <v>14</v>
      </c>
      <c r="H29" t="s">
        <v>30</v>
      </c>
      <c r="I29">
        <v>1</v>
      </c>
      <c r="J29">
        <v>1</v>
      </c>
      <c r="K29" t="s">
        <v>31</v>
      </c>
      <c r="L29" t="s">
        <v>31</v>
      </c>
      <c r="M29" t="s">
        <v>31</v>
      </c>
      <c r="N29" t="s">
        <v>31</v>
      </c>
    </row>
    <row r="30" spans="1:21">
      <c r="A30" t="s">
        <v>1759</v>
      </c>
      <c r="B30" s="23">
        <f>Q30</f>
        <v>7</v>
      </c>
      <c r="D30" t="s">
        <v>37</v>
      </c>
      <c r="E30" s="132" t="s">
        <v>2</v>
      </c>
      <c r="F30" t="s">
        <v>29</v>
      </c>
      <c r="G30" t="s">
        <v>14</v>
      </c>
      <c r="H30" t="s">
        <v>33</v>
      </c>
      <c r="I30">
        <v>2</v>
      </c>
      <c r="J30">
        <f t="shared" ref="J30:J37" si="0">LN(B30)</f>
        <v>1.9459101490553132</v>
      </c>
      <c r="K30">
        <v>0.10307764064044142</v>
      </c>
      <c r="L30" t="s">
        <v>31</v>
      </c>
      <c r="M30" t="s">
        <v>31</v>
      </c>
      <c r="N30" t="s">
        <v>31</v>
      </c>
      <c r="Q30" s="131">
        <v>7</v>
      </c>
    </row>
    <row r="31" spans="1:21" ht="15.6">
      <c r="A31" s="67" t="s">
        <v>38</v>
      </c>
      <c r="B31" s="115">
        <f>Q31</f>
        <v>0.42</v>
      </c>
      <c r="C31" s="115"/>
      <c r="D31" t="s">
        <v>39</v>
      </c>
      <c r="E31" s="17" t="s">
        <v>40</v>
      </c>
      <c r="F31" t="s">
        <v>29</v>
      </c>
      <c r="G31" s="68" t="s">
        <v>59</v>
      </c>
      <c r="H31" t="s">
        <v>33</v>
      </c>
      <c r="I31">
        <v>2</v>
      </c>
      <c r="J31">
        <f t="shared" si="0"/>
        <v>-0.86750056770472306</v>
      </c>
      <c r="K31">
        <v>9.6046863561492793E-2</v>
      </c>
      <c r="L31" t="s">
        <v>31</v>
      </c>
      <c r="M31" t="s">
        <v>31</v>
      </c>
      <c r="N31" t="s">
        <v>31</v>
      </c>
      <c r="P31" s="97" t="s">
        <v>271</v>
      </c>
      <c r="Q31" s="107">
        <v>0.42</v>
      </c>
    </row>
    <row r="32" spans="1:21" ht="15.6">
      <c r="A32" s="84" t="s">
        <v>954</v>
      </c>
      <c r="B32">
        <f>S32</f>
        <v>9.8000000000000004E-2</v>
      </c>
      <c r="D32" t="s">
        <v>37</v>
      </c>
      <c r="E32" s="17" t="s">
        <v>40</v>
      </c>
      <c r="F32" t="s">
        <v>29</v>
      </c>
      <c r="G32" t="s">
        <v>35</v>
      </c>
      <c r="H32" t="s">
        <v>33</v>
      </c>
      <c r="I32">
        <v>2</v>
      </c>
      <c r="J32">
        <f t="shared" si="0"/>
        <v>-2.322787800311565</v>
      </c>
      <c r="K32">
        <v>9.6046863561492793E-2</v>
      </c>
      <c r="L32" t="s">
        <v>31</v>
      </c>
      <c r="M32" t="s">
        <v>31</v>
      </c>
      <c r="N32" t="s">
        <v>31</v>
      </c>
      <c r="P32" s="97" t="s">
        <v>857</v>
      </c>
      <c r="Q32" s="107">
        <v>98</v>
      </c>
      <c r="R32" s="97" t="s">
        <v>275</v>
      </c>
      <c r="S32" s="107">
        <f>0.001*Q32</f>
        <v>9.8000000000000004E-2</v>
      </c>
    </row>
    <row r="33" spans="1:21" ht="15.6">
      <c r="A33" s="84" t="s">
        <v>955</v>
      </c>
      <c r="B33">
        <f>Q33</f>
        <v>1.8</v>
      </c>
      <c r="D33" t="s">
        <v>37</v>
      </c>
      <c r="E33" s="17" t="s">
        <v>40</v>
      </c>
      <c r="F33" t="s">
        <v>29</v>
      </c>
      <c r="G33" s="68" t="s">
        <v>74</v>
      </c>
      <c r="H33" t="s">
        <v>33</v>
      </c>
      <c r="I33">
        <v>2</v>
      </c>
      <c r="J33">
        <f t="shared" si="0"/>
        <v>0.58778666490211906</v>
      </c>
      <c r="K33">
        <v>9.6046863561492793E-2</v>
      </c>
      <c r="L33" t="s">
        <v>31</v>
      </c>
      <c r="M33" t="s">
        <v>31</v>
      </c>
      <c r="N33" t="s">
        <v>31</v>
      </c>
      <c r="P33" s="97" t="s">
        <v>275</v>
      </c>
      <c r="Q33" s="107">
        <v>1.8</v>
      </c>
    </row>
    <row r="34" spans="1:21" ht="15.6">
      <c r="A34" s="144" t="s">
        <v>202</v>
      </c>
      <c r="B34">
        <f>S35</f>
        <v>0.371</v>
      </c>
      <c r="C34" s="58" t="s">
        <v>203</v>
      </c>
      <c r="D34" t="s">
        <v>37</v>
      </c>
      <c r="E34" s="17" t="s">
        <v>40</v>
      </c>
      <c r="F34" t="s">
        <v>29</v>
      </c>
      <c r="G34" s="68" t="s">
        <v>35</v>
      </c>
      <c r="H34" t="s">
        <v>33</v>
      </c>
      <c r="I34">
        <v>2</v>
      </c>
      <c r="J34">
        <f t="shared" si="0"/>
        <v>-0.99155321637470195</v>
      </c>
      <c r="K34">
        <v>9.6046863561492793E-2</v>
      </c>
      <c r="L34" t="s">
        <v>31</v>
      </c>
      <c r="M34" t="s">
        <v>31</v>
      </c>
      <c r="N34" t="s">
        <v>31</v>
      </c>
      <c r="P34" s="97"/>
      <c r="Q34" s="123">
        <v>371</v>
      </c>
    </row>
    <row r="35" spans="1:21" ht="15.6">
      <c r="A35" s="58" t="s">
        <v>201</v>
      </c>
      <c r="B35">
        <f>S35</f>
        <v>0.371</v>
      </c>
      <c r="D35" t="s">
        <v>37</v>
      </c>
      <c r="E35" s="17" t="s">
        <v>40</v>
      </c>
      <c r="F35" t="s">
        <v>29</v>
      </c>
      <c r="G35" t="s">
        <v>35</v>
      </c>
      <c r="H35" t="s">
        <v>33</v>
      </c>
      <c r="I35">
        <v>2</v>
      </c>
      <c r="J35">
        <f t="shared" si="0"/>
        <v>-0.99155321637470195</v>
      </c>
      <c r="K35">
        <v>9.6046863561492793E-2</v>
      </c>
      <c r="L35" t="s">
        <v>31</v>
      </c>
      <c r="M35" t="s">
        <v>31</v>
      </c>
      <c r="N35" t="s">
        <v>31</v>
      </c>
      <c r="P35" s="124" t="s">
        <v>857</v>
      </c>
      <c r="Q35" s="123">
        <v>371</v>
      </c>
      <c r="R35" s="97" t="s">
        <v>275</v>
      </c>
      <c r="S35" s="107">
        <f>0.001*Q35</f>
        <v>0.371</v>
      </c>
    </row>
    <row r="36" spans="1:21" ht="15.6">
      <c r="A36" s="84" t="s">
        <v>958</v>
      </c>
      <c r="B36">
        <f>S35</f>
        <v>0.371</v>
      </c>
      <c r="D36" t="s">
        <v>37</v>
      </c>
      <c r="E36" s="17" t="s">
        <v>40</v>
      </c>
      <c r="F36" t="s">
        <v>29</v>
      </c>
      <c r="G36" t="s">
        <v>59</v>
      </c>
      <c r="H36" t="s">
        <v>136</v>
      </c>
      <c r="I36">
        <v>2</v>
      </c>
      <c r="J36">
        <f t="shared" si="0"/>
        <v>-0.99155321637470195</v>
      </c>
      <c r="K36">
        <v>9.6046863561492793E-2</v>
      </c>
      <c r="L36" t="s">
        <v>31</v>
      </c>
      <c r="M36" t="s">
        <v>31</v>
      </c>
      <c r="N36" t="s">
        <v>31</v>
      </c>
      <c r="P36" s="124" t="s">
        <v>857</v>
      </c>
      <c r="Q36" s="123">
        <v>371</v>
      </c>
      <c r="R36" s="97" t="s">
        <v>275</v>
      </c>
      <c r="S36" s="107">
        <f>0.001*Q37</f>
        <v>9.8000000000000004E-2</v>
      </c>
    </row>
    <row r="37" spans="1:21" ht="15.6">
      <c r="A37" s="84" t="s">
        <v>838</v>
      </c>
      <c r="B37">
        <f>S37</f>
        <v>9.8000000000000004E-2</v>
      </c>
      <c r="D37" t="s">
        <v>37</v>
      </c>
      <c r="E37" s="17" t="s">
        <v>40</v>
      </c>
      <c r="F37" t="s">
        <v>29</v>
      </c>
      <c r="G37" s="68" t="s">
        <v>74</v>
      </c>
      <c r="H37" t="s">
        <v>33</v>
      </c>
      <c r="I37">
        <v>2</v>
      </c>
      <c r="J37">
        <f t="shared" si="0"/>
        <v>-2.322787800311565</v>
      </c>
      <c r="K37">
        <v>9.6046863561492793E-2</v>
      </c>
      <c r="L37" t="s">
        <v>31</v>
      </c>
      <c r="M37" t="s">
        <v>31</v>
      </c>
      <c r="N37" t="s">
        <v>31</v>
      </c>
      <c r="P37" s="124" t="s">
        <v>857</v>
      </c>
      <c r="Q37" s="123">
        <v>98</v>
      </c>
      <c r="R37" s="97" t="s">
        <v>275</v>
      </c>
      <c r="S37" s="107">
        <f>Q37*0.001</f>
        <v>9.8000000000000004E-2</v>
      </c>
    </row>
    <row r="38" spans="1:21" s="73" customFormat="1" ht="15.6">
      <c r="A38" s="76" t="s">
        <v>5</v>
      </c>
      <c r="B38" s="106" t="s">
        <v>1759</v>
      </c>
      <c r="C38" s="106"/>
    </row>
    <row r="39" spans="1:21">
      <c r="A39" s="70" t="s">
        <v>7</v>
      </c>
      <c r="B39" t="s">
        <v>1709</v>
      </c>
      <c r="D39" s="72"/>
    </row>
    <row r="40" spans="1:21">
      <c r="A40" s="113" t="s">
        <v>9</v>
      </c>
      <c r="B40" t="s">
        <v>1760</v>
      </c>
      <c r="D40" s="72"/>
    </row>
    <row r="41" spans="1:21" ht="15.75" customHeight="1">
      <c r="A41" s="70" t="s">
        <v>11</v>
      </c>
      <c r="B41" s="71" t="s">
        <v>841</v>
      </c>
      <c r="C41" s="71"/>
    </row>
    <row r="42" spans="1:21">
      <c r="A42" s="70" t="s">
        <v>13</v>
      </c>
      <c r="B42" t="s">
        <v>14</v>
      </c>
    </row>
    <row r="43" spans="1:21">
      <c r="A43" s="70" t="s">
        <v>15</v>
      </c>
      <c r="B43" s="23">
        <f>B48</f>
        <v>7.35</v>
      </c>
      <c r="C43" s="23"/>
    </row>
    <row r="44" spans="1:21">
      <c r="A44" s="70" t="s">
        <v>16</v>
      </c>
      <c r="B44" t="s">
        <v>17</v>
      </c>
    </row>
    <row r="45" spans="1:21">
      <c r="A45" s="70" t="s">
        <v>18</v>
      </c>
      <c r="B45" t="s">
        <v>37</v>
      </c>
    </row>
    <row r="46" spans="1:21" ht="15.6">
      <c r="A46" s="69" t="s">
        <v>19</v>
      </c>
    </row>
    <row r="47" spans="1:21" ht="15.6">
      <c r="A47" s="16" t="s">
        <v>20</v>
      </c>
      <c r="B47" s="16" t="s">
        <v>21</v>
      </c>
      <c r="C47" s="83" t="s">
        <v>186</v>
      </c>
      <c r="D47" s="16" t="s">
        <v>18</v>
      </c>
      <c r="E47" s="16" t="s">
        <v>22</v>
      </c>
      <c r="F47" s="16" t="s">
        <v>7</v>
      </c>
      <c r="G47" s="16" t="s">
        <v>13</v>
      </c>
      <c r="H47" s="16" t="s">
        <v>16</v>
      </c>
      <c r="I47" s="16" t="s">
        <v>23</v>
      </c>
      <c r="J47" s="16" t="s">
        <v>24</v>
      </c>
      <c r="K47" s="16" t="s">
        <v>25</v>
      </c>
      <c r="L47" s="16" t="s">
        <v>26</v>
      </c>
      <c r="M47" s="16" t="s">
        <v>27</v>
      </c>
      <c r="N47" s="16" t="s">
        <v>28</v>
      </c>
      <c r="O47" s="16" t="s">
        <v>11</v>
      </c>
      <c r="U47" s="111"/>
    </row>
    <row r="48" spans="1:21">
      <c r="A48" t="s">
        <v>1759</v>
      </c>
      <c r="B48">
        <f>Q48</f>
        <v>7.35</v>
      </c>
      <c r="D48" t="s">
        <v>37</v>
      </c>
      <c r="E48" s="132" t="s">
        <v>2</v>
      </c>
      <c r="F48" t="s">
        <v>29</v>
      </c>
      <c r="G48" t="s">
        <v>14</v>
      </c>
      <c r="H48" t="s">
        <v>30</v>
      </c>
      <c r="I48">
        <v>2</v>
      </c>
      <c r="J48">
        <f t="shared" ref="J48:J57" si="1">LN(B48)</f>
        <v>1.9947003132247452</v>
      </c>
      <c r="K48">
        <v>0.10307764064044142</v>
      </c>
      <c r="L48" t="s">
        <v>31</v>
      </c>
      <c r="M48" t="s">
        <v>31</v>
      </c>
      <c r="N48" t="s">
        <v>31</v>
      </c>
      <c r="Q48" s="148">
        <v>7.35</v>
      </c>
    </row>
    <row r="49" spans="1:25" ht="15.6">
      <c r="A49" s="84" t="s">
        <v>958</v>
      </c>
      <c r="B49">
        <f>Q49</f>
        <v>7.79</v>
      </c>
      <c r="D49" t="s">
        <v>37</v>
      </c>
      <c r="E49" s="17" t="s">
        <v>40</v>
      </c>
      <c r="F49" t="s">
        <v>29</v>
      </c>
      <c r="G49" t="s">
        <v>59</v>
      </c>
      <c r="H49" t="s">
        <v>33</v>
      </c>
      <c r="I49">
        <v>2</v>
      </c>
      <c r="J49">
        <f t="shared" si="1"/>
        <v>2.0528408598826569</v>
      </c>
      <c r="K49">
        <v>4.9999999999998969E-3</v>
      </c>
      <c r="L49" t="s">
        <v>31</v>
      </c>
      <c r="M49" t="s">
        <v>31</v>
      </c>
      <c r="N49" t="s">
        <v>31</v>
      </c>
      <c r="P49" s="97" t="s">
        <v>275</v>
      </c>
      <c r="Q49" s="107">
        <v>7.79</v>
      </c>
    </row>
    <row r="50" spans="1:25" ht="15.6">
      <c r="A50" s="24" t="s">
        <v>69</v>
      </c>
      <c r="B50">
        <f>S50</f>
        <v>2.0731070496083555</v>
      </c>
      <c r="D50" t="s">
        <v>42</v>
      </c>
      <c r="E50" s="17" t="s">
        <v>40</v>
      </c>
      <c r="F50" t="s">
        <v>29</v>
      </c>
      <c r="G50" t="s">
        <v>272</v>
      </c>
      <c r="H50" t="s">
        <v>33</v>
      </c>
      <c r="I50">
        <v>2</v>
      </c>
      <c r="J50">
        <f t="shared" si="1"/>
        <v>0.72904847206648993</v>
      </c>
      <c r="K50">
        <v>4.9999999999998969E-3</v>
      </c>
      <c r="L50" t="s">
        <v>31</v>
      </c>
      <c r="M50" t="s">
        <v>31</v>
      </c>
      <c r="N50" t="s">
        <v>31</v>
      </c>
      <c r="P50" s="97" t="s">
        <v>270</v>
      </c>
      <c r="Q50" s="107">
        <v>79.400000000000006</v>
      </c>
      <c r="R50" t="s">
        <v>274</v>
      </c>
      <c r="S50">
        <f>Q50/38.3</f>
        <v>2.0731070496083555</v>
      </c>
      <c r="T50" s="147"/>
      <c r="U50" s="146"/>
      <c r="V50" s="146"/>
      <c r="W50" s="146"/>
      <c r="X50" s="146"/>
      <c r="Y50" s="146"/>
    </row>
    <row r="51" spans="1:25" ht="15.6">
      <c r="A51" s="67" t="s">
        <v>38</v>
      </c>
      <c r="B51" s="115">
        <f>Q51</f>
        <v>19.100000000000001</v>
      </c>
      <c r="C51" s="115"/>
      <c r="D51" t="s">
        <v>39</v>
      </c>
      <c r="E51" s="17" t="s">
        <v>40</v>
      </c>
      <c r="F51" t="s">
        <v>29</v>
      </c>
      <c r="G51" s="68" t="s">
        <v>59</v>
      </c>
      <c r="H51" t="s">
        <v>33</v>
      </c>
      <c r="I51">
        <v>2</v>
      </c>
      <c r="J51">
        <f t="shared" si="1"/>
        <v>2.9496883350525844</v>
      </c>
      <c r="K51">
        <v>4.9999999999998969E-3</v>
      </c>
      <c r="L51" t="s">
        <v>31</v>
      </c>
      <c r="M51" t="s">
        <v>31</v>
      </c>
      <c r="N51" t="s">
        <v>31</v>
      </c>
      <c r="P51" s="97" t="s">
        <v>271</v>
      </c>
      <c r="Q51" s="107">
        <v>19.100000000000001</v>
      </c>
    </row>
    <row r="52" spans="1:25" ht="15.6">
      <c r="A52" s="84" t="s">
        <v>960</v>
      </c>
      <c r="B52">
        <f>S52</f>
        <v>0.15</v>
      </c>
      <c r="D52" t="s">
        <v>37</v>
      </c>
      <c r="E52" s="17" t="s">
        <v>40</v>
      </c>
      <c r="F52" t="s">
        <v>29</v>
      </c>
      <c r="G52" t="s">
        <v>35</v>
      </c>
      <c r="H52" t="s">
        <v>33</v>
      </c>
      <c r="I52">
        <v>2</v>
      </c>
      <c r="J52">
        <f t="shared" si="1"/>
        <v>-1.8971199848858813</v>
      </c>
      <c r="K52">
        <v>0.10049875621120885</v>
      </c>
      <c r="L52" t="s">
        <v>31</v>
      </c>
      <c r="M52" t="s">
        <v>31</v>
      </c>
      <c r="N52" t="s">
        <v>31</v>
      </c>
      <c r="P52" s="97" t="s">
        <v>857</v>
      </c>
      <c r="Q52" s="107">
        <v>150</v>
      </c>
      <c r="R52" s="97" t="s">
        <v>275</v>
      </c>
      <c r="S52" s="107">
        <f>0.001*Q52</f>
        <v>0.15</v>
      </c>
    </row>
    <row r="53" spans="1:25">
      <c r="A53" s="84" t="s">
        <v>961</v>
      </c>
      <c r="B53">
        <f>S53</f>
        <v>2.8999999999999998E-3</v>
      </c>
      <c r="D53" t="s">
        <v>37</v>
      </c>
      <c r="E53" t="s">
        <v>43</v>
      </c>
      <c r="F53" t="s">
        <v>44</v>
      </c>
      <c r="G53" t="s">
        <v>29</v>
      </c>
      <c r="H53" t="s">
        <v>45</v>
      </c>
      <c r="I53">
        <v>2</v>
      </c>
      <c r="J53">
        <f t="shared" si="1"/>
        <v>-5.843044541989709</v>
      </c>
      <c r="K53">
        <v>4.9999999999998969E-3</v>
      </c>
      <c r="L53" t="s">
        <v>31</v>
      </c>
      <c r="M53" t="s">
        <v>31</v>
      </c>
      <c r="N53" t="s">
        <v>31</v>
      </c>
      <c r="P53" s="128" t="s">
        <v>857</v>
      </c>
      <c r="Q53" s="145">
        <v>2.9</v>
      </c>
      <c r="R53" s="97" t="s">
        <v>275</v>
      </c>
      <c r="S53" s="107">
        <f>0.001*Q53</f>
        <v>2.8999999999999998E-3</v>
      </c>
    </row>
    <row r="54" spans="1:25" ht="15.6">
      <c r="A54" s="67" t="s">
        <v>807</v>
      </c>
      <c r="B54">
        <f>S54</f>
        <v>7.4000000000000003E-3</v>
      </c>
      <c r="D54" t="s">
        <v>37</v>
      </c>
      <c r="E54" s="17" t="s">
        <v>43</v>
      </c>
      <c r="F54" t="s">
        <v>44</v>
      </c>
      <c r="G54" s="68" t="s">
        <v>29</v>
      </c>
      <c r="H54" t="s">
        <v>45</v>
      </c>
      <c r="I54">
        <v>2</v>
      </c>
      <c r="J54">
        <f t="shared" si="1"/>
        <v>-4.9062752787720125</v>
      </c>
      <c r="K54">
        <v>8.9582364335844641E-2</v>
      </c>
      <c r="L54" t="s">
        <v>31</v>
      </c>
      <c r="M54" t="s">
        <v>31</v>
      </c>
      <c r="N54" t="s">
        <v>31</v>
      </c>
      <c r="P54" s="128" t="s">
        <v>857</v>
      </c>
      <c r="Q54" s="145">
        <v>7.4</v>
      </c>
      <c r="R54" s="97" t="s">
        <v>275</v>
      </c>
      <c r="S54" s="107">
        <f>0.001*Q54</f>
        <v>7.4000000000000003E-3</v>
      </c>
    </row>
    <row r="55" spans="1:25" ht="15.6">
      <c r="A55" s="144" t="s">
        <v>202</v>
      </c>
      <c r="B55">
        <f>Q56</f>
        <v>0.44</v>
      </c>
      <c r="C55" s="58" t="s">
        <v>203</v>
      </c>
      <c r="D55" t="s">
        <v>37</v>
      </c>
      <c r="E55" s="17" t="s">
        <v>40</v>
      </c>
      <c r="F55" t="s">
        <v>29</v>
      </c>
      <c r="G55" s="68" t="s">
        <v>35</v>
      </c>
      <c r="H55" t="s">
        <v>33</v>
      </c>
      <c r="I55">
        <v>2</v>
      </c>
      <c r="J55">
        <f t="shared" si="1"/>
        <v>-0.82098055206983023</v>
      </c>
      <c r="K55">
        <v>9.6046863561492793E-2</v>
      </c>
      <c r="L55" t="s">
        <v>31</v>
      </c>
      <c r="M55" t="s">
        <v>31</v>
      </c>
      <c r="N55" t="s">
        <v>31</v>
      </c>
      <c r="P55" s="128"/>
      <c r="Q55" s="123">
        <v>0.44</v>
      </c>
      <c r="R55" s="109"/>
      <c r="S55" s="108"/>
    </row>
    <row r="56" spans="1:25" ht="15.6">
      <c r="A56" s="58" t="s">
        <v>201</v>
      </c>
      <c r="B56">
        <f>Q56</f>
        <v>0.44</v>
      </c>
      <c r="D56" t="s">
        <v>37</v>
      </c>
      <c r="E56" s="17" t="s">
        <v>40</v>
      </c>
      <c r="F56" t="s">
        <v>29</v>
      </c>
      <c r="G56" t="s">
        <v>35</v>
      </c>
      <c r="H56" t="s">
        <v>33</v>
      </c>
      <c r="I56">
        <v>2</v>
      </c>
      <c r="J56">
        <f t="shared" si="1"/>
        <v>-0.82098055206983023</v>
      </c>
      <c r="K56">
        <v>4.9999999999998969E-3</v>
      </c>
      <c r="L56" t="s">
        <v>31</v>
      </c>
      <c r="M56" t="s">
        <v>31</v>
      </c>
      <c r="N56" t="s">
        <v>31</v>
      </c>
      <c r="P56" s="124" t="s">
        <v>275</v>
      </c>
      <c r="Q56" s="123">
        <v>0.44</v>
      </c>
    </row>
    <row r="57" spans="1:25" ht="15.6">
      <c r="A57" s="84" t="s">
        <v>958</v>
      </c>
      <c r="B57">
        <f>Q56</f>
        <v>0.44</v>
      </c>
      <c r="D57" t="s">
        <v>37</v>
      </c>
      <c r="E57" s="17" t="s">
        <v>40</v>
      </c>
      <c r="F57" t="s">
        <v>29</v>
      </c>
      <c r="G57" t="s">
        <v>59</v>
      </c>
      <c r="H57" t="s">
        <v>136</v>
      </c>
      <c r="I57">
        <v>2</v>
      </c>
      <c r="J57">
        <f t="shared" si="1"/>
        <v>-0.82098055206983023</v>
      </c>
      <c r="K57">
        <v>4.9999999999998969E-3</v>
      </c>
      <c r="L57" t="s">
        <v>31</v>
      </c>
      <c r="M57" t="s">
        <v>31</v>
      </c>
      <c r="N57" t="s">
        <v>31</v>
      </c>
      <c r="Q57" s="123">
        <v>0.44</v>
      </c>
    </row>
  </sheetData>
  <pageMargins left="0.7" right="0.7" top="0.75" bottom="0.75" header="0.3" footer="0.3"/>
  <pageSetup paperSize="9" orientation="portrai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587-2EAD-43E0-B917-0B9EEE1F4066}">
  <sheetPr>
    <tabColor theme="5" tint="0.79998168889431442"/>
  </sheetPr>
  <dimension ref="A1:U363"/>
  <sheetViews>
    <sheetView zoomScale="70" zoomScaleNormal="70" workbookViewId="0">
      <selection activeCell="G30" sqref="G30"/>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6">
      <c r="A2" s="76" t="s">
        <v>5</v>
      </c>
      <c r="B2" s="75" t="s">
        <v>1730</v>
      </c>
      <c r="C2" s="74"/>
      <c r="D2" s="73"/>
      <c r="E2" s="73"/>
      <c r="F2" s="73"/>
      <c r="G2" s="73"/>
      <c r="H2" s="73"/>
      <c r="I2" s="73"/>
      <c r="J2" s="73"/>
      <c r="K2" s="73"/>
      <c r="L2" s="73"/>
      <c r="M2" s="73"/>
    </row>
    <row r="3" spans="1:18">
      <c r="A3" s="70" t="s">
        <v>7</v>
      </c>
      <c r="B3" t="s">
        <v>1709</v>
      </c>
      <c r="C3" s="72"/>
    </row>
    <row r="4" spans="1:18">
      <c r="A4" s="70" t="s">
        <v>9</v>
      </c>
      <c r="B4" t="s">
        <v>1761</v>
      </c>
      <c r="C4" s="72"/>
    </row>
    <row r="5" spans="1:18" ht="16.5" customHeight="1">
      <c r="A5" s="70" t="s">
        <v>11</v>
      </c>
      <c r="B5" s="71" t="s">
        <v>841</v>
      </c>
    </row>
    <row r="6" spans="1:18">
      <c r="A6" s="70" t="s">
        <v>13</v>
      </c>
      <c r="B6" t="s">
        <v>14</v>
      </c>
    </row>
    <row r="7" spans="1:18">
      <c r="A7" s="70" t="s">
        <v>15</v>
      </c>
      <c r="B7">
        <f>B12</f>
        <v>1</v>
      </c>
      <c r="O7" t="s">
        <v>1307</v>
      </c>
    </row>
    <row r="8" spans="1:18">
      <c r="A8" s="70" t="s">
        <v>16</v>
      </c>
      <c r="B8" t="s">
        <v>17</v>
      </c>
    </row>
    <row r="9" spans="1:18">
      <c r="A9" s="70" t="s">
        <v>18</v>
      </c>
      <c r="B9" t="s">
        <v>37</v>
      </c>
    </row>
    <row r="10" spans="1:18" ht="15.6">
      <c r="A10" s="69" t="s">
        <v>19</v>
      </c>
    </row>
    <row r="11" spans="1:18"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6">
      <c r="A12" s="67" t="s">
        <v>1730</v>
      </c>
      <c r="B12">
        <v>1</v>
      </c>
      <c r="C12" t="s">
        <v>37</v>
      </c>
      <c r="D12" s="110" t="s">
        <v>2</v>
      </c>
      <c r="E12" t="s">
        <v>29</v>
      </c>
      <c r="F12" s="68" t="s">
        <v>14</v>
      </c>
      <c r="G12" t="s">
        <v>30</v>
      </c>
      <c r="H12">
        <v>1</v>
      </c>
      <c r="I12">
        <v>2.8722813232690055E-2</v>
      </c>
      <c r="J12" t="s">
        <v>31</v>
      </c>
      <c r="K12" t="s">
        <v>31</v>
      </c>
      <c r="L12" t="s">
        <v>31</v>
      </c>
      <c r="M12" t="s">
        <v>31</v>
      </c>
    </row>
    <row r="13" spans="1:18" ht="15.6">
      <c r="A13" t="s">
        <v>1762</v>
      </c>
      <c r="B13">
        <v>1</v>
      </c>
      <c r="C13" t="s">
        <v>18</v>
      </c>
      <c r="D13" s="110" t="s">
        <v>2</v>
      </c>
      <c r="E13" t="s">
        <v>29</v>
      </c>
      <c r="F13" s="68" t="s">
        <v>14</v>
      </c>
      <c r="G13" t="s">
        <v>33</v>
      </c>
      <c r="H13">
        <v>1</v>
      </c>
      <c r="I13">
        <v>1</v>
      </c>
      <c r="J13" t="s">
        <v>31</v>
      </c>
      <c r="K13" t="s">
        <v>31</v>
      </c>
      <c r="L13" t="s">
        <v>31</v>
      </c>
      <c r="M13" t="s">
        <v>31</v>
      </c>
    </row>
    <row r="14" spans="1:18" ht="15.6">
      <c r="A14" t="s">
        <v>1763</v>
      </c>
      <c r="B14">
        <v>1</v>
      </c>
      <c r="C14" t="s">
        <v>18</v>
      </c>
      <c r="D14" s="110" t="s">
        <v>2</v>
      </c>
      <c r="E14" t="s">
        <v>29</v>
      </c>
      <c r="F14" s="68" t="s">
        <v>14</v>
      </c>
      <c r="G14" t="s">
        <v>33</v>
      </c>
      <c r="H14">
        <v>1</v>
      </c>
      <c r="I14">
        <v>1</v>
      </c>
      <c r="J14" t="s">
        <v>31</v>
      </c>
      <c r="K14" t="s">
        <v>31</v>
      </c>
      <c r="L14" t="s">
        <v>31</v>
      </c>
      <c r="M14" t="s">
        <v>31</v>
      </c>
    </row>
    <row r="15" spans="1:18" ht="15.6">
      <c r="A15" s="84" t="s">
        <v>179</v>
      </c>
      <c r="B15" s="85">
        <f>R15</f>
        <v>2.6000000000000003E-4</v>
      </c>
      <c r="C15" t="s">
        <v>37</v>
      </c>
      <c r="D15" s="17" t="s">
        <v>40</v>
      </c>
      <c r="E15" t="s">
        <v>29</v>
      </c>
      <c r="F15" s="68" t="s">
        <v>35</v>
      </c>
      <c r="G15" t="s">
        <v>33</v>
      </c>
      <c r="H15">
        <v>2</v>
      </c>
      <c r="I15">
        <f>LN(B15)</f>
        <v>-8.2548289269487469</v>
      </c>
      <c r="J15">
        <v>2.8722813232690055E-2</v>
      </c>
      <c r="K15" t="s">
        <v>31</v>
      </c>
      <c r="L15" t="s">
        <v>31</v>
      </c>
      <c r="M15" t="s">
        <v>31</v>
      </c>
      <c r="O15" s="80" t="s">
        <v>857</v>
      </c>
      <c r="P15" s="156">
        <v>0.26</v>
      </c>
      <c r="Q15" t="s">
        <v>275</v>
      </c>
      <c r="R15" s="85">
        <f>P15*0.001</f>
        <v>2.6000000000000003E-4</v>
      </c>
    </row>
    <row r="16" spans="1:18" ht="15.6">
      <c r="A16" s="76" t="s">
        <v>5</v>
      </c>
      <c r="B16" s="75" t="s">
        <v>1763</v>
      </c>
      <c r="C16" s="74"/>
      <c r="D16" s="73"/>
      <c r="E16" s="73"/>
      <c r="F16" s="73"/>
      <c r="G16" s="73"/>
      <c r="H16" s="73"/>
      <c r="I16" s="73"/>
      <c r="J16" s="73"/>
      <c r="K16" s="73"/>
      <c r="L16" s="73"/>
      <c r="M16" s="73"/>
    </row>
    <row r="17" spans="1:18">
      <c r="A17" s="70" t="s">
        <v>7</v>
      </c>
      <c r="B17" t="s">
        <v>1709</v>
      </c>
      <c r="C17" s="72"/>
    </row>
    <row r="18" spans="1:18">
      <c r="A18" s="70" t="s">
        <v>9</v>
      </c>
      <c r="B18" t="s">
        <v>1764</v>
      </c>
      <c r="C18" s="72"/>
    </row>
    <row r="19" spans="1:18" ht="16.5" customHeight="1">
      <c r="A19" s="70" t="s">
        <v>11</v>
      </c>
      <c r="B19" s="71" t="s">
        <v>841</v>
      </c>
    </row>
    <row r="20" spans="1:18">
      <c r="A20" s="70" t="s">
        <v>13</v>
      </c>
      <c r="B20" t="s">
        <v>14</v>
      </c>
    </row>
    <row r="21" spans="1:18">
      <c r="A21" s="70" t="s">
        <v>15</v>
      </c>
      <c r="B21">
        <v>1</v>
      </c>
    </row>
    <row r="22" spans="1:18">
      <c r="A22" s="70" t="s">
        <v>16</v>
      </c>
      <c r="B22" t="s">
        <v>17</v>
      </c>
    </row>
    <row r="23" spans="1:18">
      <c r="A23" s="70" t="s">
        <v>18</v>
      </c>
      <c r="B23" t="s">
        <v>18</v>
      </c>
    </row>
    <row r="24" spans="1:18" ht="15.6">
      <c r="A24" s="69" t="s">
        <v>19</v>
      </c>
    </row>
    <row r="25" spans="1:18" ht="15.6">
      <c r="A25" s="69"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6">
      <c r="A26" t="s">
        <v>1763</v>
      </c>
      <c r="B26">
        <v>1</v>
      </c>
      <c r="C26" t="s">
        <v>18</v>
      </c>
      <c r="D26" s="110" t="s">
        <v>2</v>
      </c>
      <c r="E26" t="s">
        <v>29</v>
      </c>
      <c r="F26" s="68" t="s">
        <v>14</v>
      </c>
      <c r="G26" t="s">
        <v>30</v>
      </c>
      <c r="H26">
        <v>1</v>
      </c>
      <c r="I26">
        <v>1</v>
      </c>
      <c r="J26" t="s">
        <v>31</v>
      </c>
      <c r="K26" t="s">
        <v>31</v>
      </c>
      <c r="L26" t="s">
        <v>31</v>
      </c>
      <c r="M26" t="s">
        <v>31</v>
      </c>
    </row>
    <row r="27" spans="1:18" ht="15.6">
      <c r="A27" s="84" t="s">
        <v>966</v>
      </c>
      <c r="B27">
        <f>P27</f>
        <v>0.51</v>
      </c>
      <c r="C27" t="s">
        <v>37</v>
      </c>
      <c r="D27" s="17" t="s">
        <v>40</v>
      </c>
      <c r="E27" t="s">
        <v>29</v>
      </c>
      <c r="F27" t="s">
        <v>59</v>
      </c>
      <c r="G27" t="s">
        <v>33</v>
      </c>
      <c r="H27">
        <v>1</v>
      </c>
      <c r="I27">
        <f>B27</f>
        <v>0.51</v>
      </c>
      <c r="J27" t="s">
        <v>31</v>
      </c>
      <c r="K27" t="s">
        <v>31</v>
      </c>
      <c r="L27" t="s">
        <v>31</v>
      </c>
      <c r="M27" t="s">
        <v>31</v>
      </c>
      <c r="O27" t="s">
        <v>275</v>
      </c>
      <c r="P27">
        <v>0.51</v>
      </c>
    </row>
    <row r="28" spans="1:18">
      <c r="A28" s="84" t="s">
        <v>967</v>
      </c>
      <c r="B28">
        <f>R28</f>
        <v>0.33700000000000002</v>
      </c>
      <c r="C28" t="s">
        <v>37</v>
      </c>
      <c r="D28" t="s">
        <v>40</v>
      </c>
      <c r="E28" t="s">
        <v>29</v>
      </c>
      <c r="F28" t="s">
        <v>59</v>
      </c>
      <c r="G28" t="s">
        <v>33</v>
      </c>
      <c r="H28">
        <v>2</v>
      </c>
      <c r="I28">
        <f>LN(B28)</f>
        <v>-1.0876723486297752</v>
      </c>
      <c r="J28">
        <v>3.7749172176353707E-2</v>
      </c>
      <c r="K28" t="s">
        <v>31</v>
      </c>
      <c r="L28" t="s">
        <v>31</v>
      </c>
      <c r="M28" t="s">
        <v>31</v>
      </c>
      <c r="O28" s="97" t="s">
        <v>857</v>
      </c>
      <c r="P28" s="107">
        <v>337</v>
      </c>
      <c r="Q28" t="s">
        <v>275</v>
      </c>
      <c r="R28">
        <f>P28*0.001</f>
        <v>0.33700000000000002</v>
      </c>
    </row>
    <row r="29" spans="1:18">
      <c r="A29" s="84" t="s">
        <v>968</v>
      </c>
      <c r="B29">
        <f>R29</f>
        <v>2.0100000000000003E-2</v>
      </c>
      <c r="C29" t="s">
        <v>37</v>
      </c>
      <c r="D29" t="s">
        <v>40</v>
      </c>
      <c r="E29" t="s">
        <v>29</v>
      </c>
      <c r="F29" t="s">
        <v>59</v>
      </c>
      <c r="G29" t="s">
        <v>33</v>
      </c>
      <c r="H29">
        <v>2</v>
      </c>
      <c r="I29">
        <f>LN(B29)</f>
        <v>-3.907035463917107</v>
      </c>
      <c r="J29">
        <v>3.7749172176353707E-2</v>
      </c>
      <c r="K29" t="s">
        <v>31</v>
      </c>
      <c r="L29" t="s">
        <v>31</v>
      </c>
      <c r="M29" t="s">
        <v>31</v>
      </c>
      <c r="O29" s="97" t="s">
        <v>857</v>
      </c>
      <c r="P29" s="107">
        <v>20.100000000000001</v>
      </c>
      <c r="Q29" t="s">
        <v>275</v>
      </c>
      <c r="R29">
        <f>P29*0.001</f>
        <v>2.0100000000000003E-2</v>
      </c>
    </row>
    <row r="30" spans="1:18">
      <c r="A30" s="84" t="s">
        <v>969</v>
      </c>
      <c r="B30">
        <f>R30</f>
        <v>0.152</v>
      </c>
      <c r="C30" t="s">
        <v>37</v>
      </c>
      <c r="D30" t="s">
        <v>40</v>
      </c>
      <c r="E30" t="s">
        <v>29</v>
      </c>
      <c r="F30" t="s">
        <v>59</v>
      </c>
      <c r="G30" t="s">
        <v>33</v>
      </c>
      <c r="H30">
        <v>2</v>
      </c>
      <c r="I30">
        <f>LN(B30)</f>
        <v>-1.8838747581358606</v>
      </c>
      <c r="J30">
        <v>3.7749172176353707E-2</v>
      </c>
      <c r="K30" t="s">
        <v>31</v>
      </c>
      <c r="L30" t="s">
        <v>31</v>
      </c>
      <c r="M30" t="s">
        <v>31</v>
      </c>
      <c r="O30" s="97" t="s">
        <v>857</v>
      </c>
      <c r="P30" s="107">
        <v>152</v>
      </c>
      <c r="Q30" t="s">
        <v>275</v>
      </c>
      <c r="R30">
        <f>P30*0.001</f>
        <v>0.152</v>
      </c>
    </row>
    <row r="31" spans="1:18" ht="15.6">
      <c r="A31" s="76" t="s">
        <v>5</v>
      </c>
      <c r="B31" s="75" t="s">
        <v>1762</v>
      </c>
      <c r="C31" s="74"/>
      <c r="D31" s="73"/>
      <c r="E31" s="73"/>
      <c r="F31" s="73"/>
      <c r="G31" s="73"/>
      <c r="H31" s="73"/>
      <c r="I31" s="73"/>
      <c r="J31" s="73"/>
      <c r="K31" s="73"/>
      <c r="L31" s="73"/>
      <c r="M31" s="73"/>
    </row>
    <row r="32" spans="1:18">
      <c r="A32" s="70" t="s">
        <v>7</v>
      </c>
      <c r="B32" t="s">
        <v>1709</v>
      </c>
      <c r="C32" s="72"/>
    </row>
    <row r="33" spans="1:18">
      <c r="A33" s="70" t="s">
        <v>9</v>
      </c>
      <c r="B33" t="s">
        <v>1765</v>
      </c>
      <c r="C33" s="72"/>
    </row>
    <row r="34" spans="1:18" ht="18" customHeight="1">
      <c r="A34" s="70" t="s">
        <v>11</v>
      </c>
      <c r="B34" s="71" t="s">
        <v>841</v>
      </c>
    </row>
    <row r="35" spans="1:18">
      <c r="A35" s="70" t="s">
        <v>13</v>
      </c>
      <c r="B35" t="s">
        <v>14</v>
      </c>
    </row>
    <row r="36" spans="1:18">
      <c r="A36" s="70" t="s">
        <v>15</v>
      </c>
      <c r="B36">
        <v>1</v>
      </c>
    </row>
    <row r="37" spans="1:18">
      <c r="A37" s="70" t="s">
        <v>16</v>
      </c>
      <c r="B37" t="s">
        <v>17</v>
      </c>
    </row>
    <row r="38" spans="1:18">
      <c r="A38" s="70" t="s">
        <v>18</v>
      </c>
      <c r="B38" t="s">
        <v>18</v>
      </c>
    </row>
    <row r="39" spans="1:18" ht="15.6">
      <c r="A39" s="69" t="s">
        <v>19</v>
      </c>
    </row>
    <row r="40" spans="1:18" ht="15.6">
      <c r="A40" s="69"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6">
      <c r="A41" t="s">
        <v>1762</v>
      </c>
      <c r="B41">
        <v>1</v>
      </c>
      <c r="C41" t="s">
        <v>18</v>
      </c>
      <c r="D41" s="110" t="s">
        <v>2</v>
      </c>
      <c r="E41" t="s">
        <v>29</v>
      </c>
      <c r="F41" s="68" t="s">
        <v>14</v>
      </c>
      <c r="G41" t="s">
        <v>30</v>
      </c>
      <c r="H41">
        <v>1</v>
      </c>
      <c r="I41">
        <v>1</v>
      </c>
      <c r="J41" t="s">
        <v>31</v>
      </c>
      <c r="K41" t="s">
        <v>31</v>
      </c>
      <c r="L41" t="s">
        <v>31</v>
      </c>
      <c r="M41" t="s">
        <v>31</v>
      </c>
    </row>
    <row r="42" spans="1:18" ht="15.6">
      <c r="A42" s="84" t="s">
        <v>1766</v>
      </c>
      <c r="B42">
        <f>B55</f>
        <v>0.18099999999999999</v>
      </c>
      <c r="C42" t="s">
        <v>37</v>
      </c>
      <c r="D42" s="110" t="s">
        <v>2</v>
      </c>
      <c r="E42" t="s">
        <v>29</v>
      </c>
      <c r="F42" s="68" t="s">
        <v>14</v>
      </c>
      <c r="G42" t="s">
        <v>33</v>
      </c>
      <c r="H42">
        <v>1</v>
      </c>
      <c r="I42">
        <f>B42</f>
        <v>0.18099999999999999</v>
      </c>
      <c r="J42" t="s">
        <v>31</v>
      </c>
      <c r="K42" t="s">
        <v>31</v>
      </c>
      <c r="L42" t="s">
        <v>31</v>
      </c>
      <c r="M42" t="s">
        <v>31</v>
      </c>
      <c r="O42" s="58"/>
      <c r="P42" s="114"/>
    </row>
    <row r="43" spans="1:18" ht="15.6">
      <c r="A43" s="84" t="s">
        <v>1767</v>
      </c>
      <c r="B43">
        <v>1</v>
      </c>
      <c r="C43" t="s">
        <v>18</v>
      </c>
      <c r="D43" s="110" t="s">
        <v>2</v>
      </c>
      <c r="E43" t="s">
        <v>29</v>
      </c>
      <c r="F43" s="68" t="s">
        <v>14</v>
      </c>
      <c r="G43" t="s">
        <v>33</v>
      </c>
      <c r="H43">
        <v>1</v>
      </c>
      <c r="I43">
        <v>1</v>
      </c>
      <c r="J43" t="s">
        <v>31</v>
      </c>
      <c r="K43" t="s">
        <v>31</v>
      </c>
      <c r="L43" t="s">
        <v>31</v>
      </c>
      <c r="M43" t="s">
        <v>31</v>
      </c>
    </row>
    <row r="44" spans="1:18" ht="15.6">
      <c r="A44" s="67" t="s">
        <v>38</v>
      </c>
      <c r="B44" s="23">
        <f>R44</f>
        <v>0.03</v>
      </c>
      <c r="C44" t="s">
        <v>39</v>
      </c>
      <c r="D44" s="17" t="s">
        <v>40</v>
      </c>
      <c r="E44" t="s">
        <v>29</v>
      </c>
      <c r="F44" s="68" t="s">
        <v>35</v>
      </c>
      <c r="G44" t="s">
        <v>33</v>
      </c>
      <c r="H44">
        <v>2</v>
      </c>
      <c r="I44">
        <f>LN(B44)</f>
        <v>-3.5065578973199818</v>
      </c>
      <c r="J44">
        <v>7.2284161474004766E-2</v>
      </c>
      <c r="K44" t="s">
        <v>31</v>
      </c>
      <c r="L44" t="s">
        <v>31</v>
      </c>
      <c r="M44" t="s">
        <v>31</v>
      </c>
      <c r="O44" s="80" t="s">
        <v>271</v>
      </c>
      <c r="P44" s="107">
        <v>0.03</v>
      </c>
      <c r="Q44" t="s">
        <v>271</v>
      </c>
      <c r="R44" s="23">
        <f>P44</f>
        <v>0.03</v>
      </c>
    </row>
    <row r="45" spans="1:18" ht="15.6">
      <c r="A45" s="76" t="s">
        <v>5</v>
      </c>
      <c r="B45" s="75" t="s">
        <v>1766</v>
      </c>
      <c r="C45" s="74"/>
      <c r="D45" s="73"/>
      <c r="E45" s="73"/>
      <c r="F45" s="73"/>
      <c r="G45" s="73"/>
      <c r="H45" s="73"/>
      <c r="I45" s="73"/>
      <c r="J45" s="73"/>
      <c r="K45" s="73"/>
      <c r="L45" s="73"/>
      <c r="M45" s="73"/>
    </row>
    <row r="46" spans="1:18">
      <c r="A46" s="70" t="s">
        <v>7</v>
      </c>
      <c r="B46" t="s">
        <v>1709</v>
      </c>
      <c r="C46" s="72"/>
    </row>
    <row r="47" spans="1:18">
      <c r="A47" s="70" t="s">
        <v>9</v>
      </c>
      <c r="B47" t="s">
        <v>1768</v>
      </c>
      <c r="C47" s="72"/>
    </row>
    <row r="48" spans="1:18" ht="11.25" customHeight="1">
      <c r="A48" s="70" t="s">
        <v>11</v>
      </c>
      <c r="B48" s="71" t="s">
        <v>841</v>
      </c>
    </row>
    <row r="49" spans="1:18">
      <c r="A49" s="70" t="s">
        <v>13</v>
      </c>
      <c r="B49" t="s">
        <v>14</v>
      </c>
    </row>
    <row r="50" spans="1:18">
      <c r="A50" s="70" t="s">
        <v>15</v>
      </c>
      <c r="B50">
        <f>B55</f>
        <v>0.18099999999999999</v>
      </c>
    </row>
    <row r="51" spans="1:18">
      <c r="A51" s="70" t="s">
        <v>16</v>
      </c>
      <c r="B51" t="s">
        <v>17</v>
      </c>
    </row>
    <row r="52" spans="1:18">
      <c r="A52" s="70" t="s">
        <v>18</v>
      </c>
      <c r="B52" t="s">
        <v>37</v>
      </c>
    </row>
    <row r="53" spans="1:18" ht="15.6">
      <c r="A53" s="69" t="s">
        <v>19</v>
      </c>
    </row>
    <row r="54" spans="1:18" ht="15.6">
      <c r="A54" s="69"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6">
      <c r="A55" s="84" t="s">
        <v>1766</v>
      </c>
      <c r="B55">
        <f>P55</f>
        <v>0.18099999999999999</v>
      </c>
      <c r="C55" t="s">
        <v>37</v>
      </c>
      <c r="D55" s="110" t="s">
        <v>2</v>
      </c>
      <c r="E55" t="s">
        <v>29</v>
      </c>
      <c r="F55" s="68" t="s">
        <v>14</v>
      </c>
      <c r="G55" t="s">
        <v>30</v>
      </c>
      <c r="H55">
        <v>1</v>
      </c>
      <c r="I55">
        <f>B55</f>
        <v>0.18099999999999999</v>
      </c>
      <c r="J55" t="s">
        <v>31</v>
      </c>
      <c r="K55" t="s">
        <v>31</v>
      </c>
      <c r="L55" t="s">
        <v>31</v>
      </c>
      <c r="M55" t="s">
        <v>31</v>
      </c>
      <c r="O55" s="174" t="s">
        <v>275</v>
      </c>
      <c r="P55" s="134">
        <v>0.18099999999999999</v>
      </c>
      <c r="Q55" t="s">
        <v>275</v>
      </c>
      <c r="R55">
        <f>P55</f>
        <v>0.18099999999999999</v>
      </c>
    </row>
    <row r="56" spans="1:18" ht="15.6">
      <c r="A56" s="84" t="s">
        <v>179</v>
      </c>
      <c r="B56" s="85">
        <f>R56</f>
        <v>0.18099999999999999</v>
      </c>
      <c r="C56" t="s">
        <v>37</v>
      </c>
      <c r="D56" s="17" t="s">
        <v>40</v>
      </c>
      <c r="E56" t="s">
        <v>29</v>
      </c>
      <c r="F56" s="68" t="s">
        <v>35</v>
      </c>
      <c r="G56" t="s">
        <v>33</v>
      </c>
      <c r="H56">
        <v>2</v>
      </c>
      <c r="I56">
        <f>LN(B56)</f>
        <v>-1.7092582477163114</v>
      </c>
      <c r="J56">
        <v>2.8722813232690055E-2</v>
      </c>
      <c r="K56" t="s">
        <v>31</v>
      </c>
      <c r="L56" t="s">
        <v>31</v>
      </c>
      <c r="M56" t="s">
        <v>31</v>
      </c>
      <c r="O56" s="173" t="s">
        <v>275</v>
      </c>
      <c r="P56" s="134">
        <v>0.18099999999999999</v>
      </c>
      <c r="Q56" t="s">
        <v>275</v>
      </c>
      <c r="R56" s="85">
        <f>P56</f>
        <v>0.18099999999999999</v>
      </c>
    </row>
    <row r="57" spans="1:18" ht="15.6">
      <c r="A57" s="67" t="s">
        <v>38</v>
      </c>
      <c r="B57" s="115">
        <f>R57</f>
        <v>5.3999999999999999E-2</v>
      </c>
      <c r="C57" t="s">
        <v>39</v>
      </c>
      <c r="D57" s="17" t="s">
        <v>40</v>
      </c>
      <c r="E57" t="s">
        <v>29</v>
      </c>
      <c r="F57" s="68" t="s">
        <v>35</v>
      </c>
      <c r="G57" t="s">
        <v>33</v>
      </c>
      <c r="H57">
        <v>2</v>
      </c>
      <c r="I57">
        <f>LN(B57)</f>
        <v>-2.9187712324178627</v>
      </c>
      <c r="J57">
        <v>7.2284161474004766E-2</v>
      </c>
      <c r="K57" t="s">
        <v>31</v>
      </c>
      <c r="L57" t="s">
        <v>31</v>
      </c>
      <c r="M57" t="s">
        <v>31</v>
      </c>
      <c r="O57" s="80" t="s">
        <v>271</v>
      </c>
      <c r="P57" s="134">
        <v>5.3999999999999999E-2</v>
      </c>
      <c r="Q57" t="s">
        <v>271</v>
      </c>
      <c r="R57" s="115">
        <f>P57</f>
        <v>5.3999999999999999E-2</v>
      </c>
    </row>
    <row r="58" spans="1:18" ht="15.6">
      <c r="A58" s="76" t="s">
        <v>5</v>
      </c>
      <c r="B58" s="126" t="s">
        <v>1767</v>
      </c>
      <c r="C58" s="74"/>
      <c r="D58" s="73"/>
      <c r="E58" s="73"/>
      <c r="F58" s="73"/>
      <c r="G58" s="73"/>
      <c r="H58" s="73"/>
      <c r="I58" s="73"/>
      <c r="J58" s="73"/>
      <c r="K58" s="73"/>
      <c r="L58" s="73"/>
      <c r="M58" s="73"/>
    </row>
    <row r="59" spans="1:18">
      <c r="A59" s="70" t="s">
        <v>7</v>
      </c>
      <c r="B59" t="s">
        <v>1709</v>
      </c>
      <c r="C59" s="72"/>
    </row>
    <row r="60" spans="1:18">
      <c r="A60" s="113" t="s">
        <v>9</v>
      </c>
      <c r="B60" t="s">
        <v>1769</v>
      </c>
      <c r="C60" s="72"/>
    </row>
    <row r="61" spans="1:18" ht="27.75" customHeight="1">
      <c r="A61" s="70" t="s">
        <v>11</v>
      </c>
      <c r="B61" s="71" t="s">
        <v>841</v>
      </c>
    </row>
    <row r="62" spans="1:18">
      <c r="A62" s="70" t="s">
        <v>13</v>
      </c>
      <c r="B62" t="s">
        <v>14</v>
      </c>
    </row>
    <row r="63" spans="1:18">
      <c r="A63" s="70" t="s">
        <v>15</v>
      </c>
      <c r="B63">
        <v>1</v>
      </c>
    </row>
    <row r="64" spans="1:18">
      <c r="A64" s="70" t="s">
        <v>16</v>
      </c>
      <c r="B64" t="s">
        <v>17</v>
      </c>
    </row>
    <row r="65" spans="1:18">
      <c r="A65" s="70" t="s">
        <v>18</v>
      </c>
      <c r="B65" t="s">
        <v>18</v>
      </c>
    </row>
    <row r="66" spans="1:18" ht="15.6">
      <c r="A66" s="69" t="s">
        <v>19</v>
      </c>
    </row>
    <row r="67" spans="1:18" ht="15.6">
      <c r="A67" s="69"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6">
      <c r="A68" s="84" t="s">
        <v>1767</v>
      </c>
      <c r="B68">
        <v>1</v>
      </c>
      <c r="C68" t="s">
        <v>18</v>
      </c>
      <c r="D68" s="110" t="s">
        <v>2</v>
      </c>
      <c r="E68" t="s">
        <v>29</v>
      </c>
      <c r="F68" s="68" t="s">
        <v>14</v>
      </c>
      <c r="G68" t="s">
        <v>30</v>
      </c>
      <c r="H68">
        <v>1</v>
      </c>
      <c r="I68">
        <v>1</v>
      </c>
      <c r="J68" t="s">
        <v>31</v>
      </c>
      <c r="K68" t="s">
        <v>31</v>
      </c>
      <c r="L68" t="s">
        <v>31</v>
      </c>
      <c r="M68" t="s">
        <v>31</v>
      </c>
    </row>
    <row r="69" spans="1:18" ht="15.6">
      <c r="A69" s="84" t="s">
        <v>1770</v>
      </c>
      <c r="B69" s="85">
        <f>B77</f>
        <v>0.09</v>
      </c>
      <c r="C69" t="s">
        <v>37</v>
      </c>
      <c r="D69" s="110" t="s">
        <v>2</v>
      </c>
      <c r="E69" t="s">
        <v>29</v>
      </c>
      <c r="F69" s="68" t="s">
        <v>14</v>
      </c>
      <c r="G69" t="s">
        <v>33</v>
      </c>
      <c r="H69">
        <v>1</v>
      </c>
      <c r="I69" s="85">
        <f>B69</f>
        <v>0.09</v>
      </c>
      <c r="J69" t="s">
        <v>31</v>
      </c>
      <c r="K69" t="s">
        <v>31</v>
      </c>
      <c r="L69" t="s">
        <v>31</v>
      </c>
      <c r="M69" t="s">
        <v>31</v>
      </c>
      <c r="O69" s="80"/>
      <c r="P69" s="86"/>
      <c r="Q69" t="s">
        <v>275</v>
      </c>
      <c r="R69" s="85">
        <v>0.01</v>
      </c>
    </row>
    <row r="70" spans="1:18" ht="15.6">
      <c r="A70" s="84" t="s">
        <v>1771</v>
      </c>
      <c r="B70" s="115">
        <v>1</v>
      </c>
      <c r="C70" t="s">
        <v>18</v>
      </c>
      <c r="D70" s="110" t="s">
        <v>2</v>
      </c>
      <c r="E70" t="s">
        <v>29</v>
      </c>
      <c r="F70" s="68" t="s">
        <v>14</v>
      </c>
      <c r="G70" t="s">
        <v>33</v>
      </c>
      <c r="H70">
        <v>1</v>
      </c>
      <c r="I70">
        <v>1</v>
      </c>
      <c r="J70" t="s">
        <v>31</v>
      </c>
      <c r="K70" t="s">
        <v>31</v>
      </c>
      <c r="L70" t="s">
        <v>31</v>
      </c>
      <c r="M70" t="s">
        <v>31</v>
      </c>
      <c r="O70" s="80"/>
      <c r="P70" s="172"/>
      <c r="R70" s="115"/>
    </row>
    <row r="71" spans="1:18" ht="15.6">
      <c r="A71" s="67" t="s">
        <v>38</v>
      </c>
      <c r="B71" s="115">
        <f>R71</f>
        <v>0.62</v>
      </c>
      <c r="C71" t="s">
        <v>39</v>
      </c>
      <c r="D71" s="17" t="s">
        <v>40</v>
      </c>
      <c r="E71" t="s">
        <v>29</v>
      </c>
      <c r="F71" s="68" t="s">
        <v>35</v>
      </c>
      <c r="G71" t="s">
        <v>33</v>
      </c>
      <c r="H71">
        <v>2</v>
      </c>
      <c r="I71">
        <f>LN(B71)</f>
        <v>-0.4780358009429998</v>
      </c>
      <c r="J71">
        <v>7.2284161474004766E-2</v>
      </c>
      <c r="K71" t="s">
        <v>31</v>
      </c>
      <c r="L71" t="s">
        <v>31</v>
      </c>
      <c r="M71" t="s">
        <v>31</v>
      </c>
      <c r="O71" s="80" t="s">
        <v>271</v>
      </c>
      <c r="P71" s="134">
        <v>0.62</v>
      </c>
      <c r="Q71" t="s">
        <v>271</v>
      </c>
      <c r="R71" s="115">
        <f>P71</f>
        <v>0.62</v>
      </c>
    </row>
    <row r="72" spans="1:18" ht="15.6">
      <c r="A72" s="76" t="s">
        <v>5</v>
      </c>
      <c r="B72" s="126" t="s">
        <v>1770</v>
      </c>
      <c r="C72" s="74"/>
      <c r="D72" s="73"/>
      <c r="E72" s="73"/>
      <c r="F72" s="73"/>
      <c r="G72" s="73"/>
      <c r="H72" s="73"/>
      <c r="I72" s="73"/>
      <c r="J72" s="73"/>
      <c r="K72" s="73"/>
      <c r="L72" s="73"/>
      <c r="M72" s="73"/>
    </row>
    <row r="73" spans="1:18">
      <c r="A73" s="70" t="s">
        <v>7</v>
      </c>
      <c r="B73" t="s">
        <v>1709</v>
      </c>
      <c r="C73" s="72"/>
    </row>
    <row r="74" spans="1:18">
      <c r="A74" s="113" t="s">
        <v>9</v>
      </c>
      <c r="B74" t="s">
        <v>1772</v>
      </c>
      <c r="C74" s="72"/>
    </row>
    <row r="75" spans="1:18" ht="15" customHeight="1">
      <c r="A75" s="70" t="s">
        <v>11</v>
      </c>
      <c r="B75" s="71" t="s">
        <v>841</v>
      </c>
    </row>
    <row r="76" spans="1:18">
      <c r="A76" s="70" t="s">
        <v>13</v>
      </c>
      <c r="B76" t="s">
        <v>14</v>
      </c>
    </row>
    <row r="77" spans="1:18">
      <c r="A77" s="70" t="s">
        <v>15</v>
      </c>
      <c r="B77" s="23">
        <f>B82</f>
        <v>0.09</v>
      </c>
    </row>
    <row r="78" spans="1:18">
      <c r="A78" s="70" t="s">
        <v>16</v>
      </c>
      <c r="B78" t="s">
        <v>17</v>
      </c>
    </row>
    <row r="79" spans="1:18">
      <c r="A79" s="70" t="s">
        <v>18</v>
      </c>
      <c r="B79" t="s">
        <v>37</v>
      </c>
    </row>
    <row r="80" spans="1:18" ht="15.6">
      <c r="A80" s="69" t="s">
        <v>19</v>
      </c>
    </row>
    <row r="81" spans="1:18" ht="15.6">
      <c r="A81" s="69"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6">
      <c r="A82" s="84" t="s">
        <v>1770</v>
      </c>
      <c r="B82" s="23">
        <v>0.09</v>
      </c>
      <c r="C82" t="s">
        <v>37</v>
      </c>
      <c r="D82" s="110" t="s">
        <v>2</v>
      </c>
      <c r="E82" t="s">
        <v>29</v>
      </c>
      <c r="F82" s="68" t="s">
        <v>14</v>
      </c>
      <c r="G82" t="s">
        <v>30</v>
      </c>
      <c r="H82">
        <v>1</v>
      </c>
      <c r="I82" s="23">
        <f>B82</f>
        <v>0.09</v>
      </c>
      <c r="J82" t="s">
        <v>31</v>
      </c>
      <c r="K82" t="s">
        <v>31</v>
      </c>
      <c r="L82" t="s">
        <v>31</v>
      </c>
      <c r="M82" t="s">
        <v>31</v>
      </c>
      <c r="O82" s="80"/>
      <c r="P82" s="86"/>
      <c r="Q82" t="s">
        <v>275</v>
      </c>
      <c r="R82" s="85">
        <v>0.01</v>
      </c>
    </row>
    <row r="83" spans="1:18" ht="15.6">
      <c r="A83" s="84" t="s">
        <v>755</v>
      </c>
      <c r="B83" s="23">
        <v>0.09</v>
      </c>
      <c r="C83" t="s">
        <v>37</v>
      </c>
      <c r="D83" s="17" t="s">
        <v>40</v>
      </c>
      <c r="E83" t="s">
        <v>29</v>
      </c>
      <c r="F83" s="68" t="s">
        <v>59</v>
      </c>
      <c r="G83" t="s">
        <v>33</v>
      </c>
      <c r="H83">
        <v>1</v>
      </c>
      <c r="I83" s="23">
        <f>B83</f>
        <v>0.09</v>
      </c>
      <c r="J83" t="s">
        <v>31</v>
      </c>
      <c r="K83" t="s">
        <v>31</v>
      </c>
      <c r="L83" t="s">
        <v>31</v>
      </c>
      <c r="M83" t="s">
        <v>31</v>
      </c>
      <c r="O83" s="80"/>
      <c r="P83" s="172"/>
      <c r="R83" s="115"/>
    </row>
    <row r="84" spans="1:18">
      <c r="A84" s="84" t="s">
        <v>757</v>
      </c>
      <c r="B84" s="23">
        <v>0.09</v>
      </c>
      <c r="C84" t="s">
        <v>37</v>
      </c>
      <c r="D84" t="s">
        <v>40</v>
      </c>
      <c r="E84" t="s">
        <v>29</v>
      </c>
      <c r="F84" t="s">
        <v>59</v>
      </c>
      <c r="G84" t="s">
        <v>33</v>
      </c>
      <c r="H84">
        <v>1</v>
      </c>
      <c r="I84" s="23">
        <f>B84</f>
        <v>0.09</v>
      </c>
      <c r="J84" t="s">
        <v>31</v>
      </c>
      <c r="K84" t="s">
        <v>31</v>
      </c>
      <c r="L84" t="s">
        <v>31</v>
      </c>
      <c r="M84" t="s">
        <v>31</v>
      </c>
    </row>
    <row r="85" spans="1:18" s="73" customFormat="1" ht="15.6">
      <c r="A85" s="76" t="s">
        <v>5</v>
      </c>
      <c r="B85" s="126" t="s">
        <v>1771</v>
      </c>
      <c r="C85" s="74"/>
    </row>
    <row r="86" spans="1:18">
      <c r="A86" s="70" t="s">
        <v>7</v>
      </c>
      <c r="B86" t="s">
        <v>1709</v>
      </c>
      <c r="C86" s="72"/>
    </row>
    <row r="87" spans="1:18">
      <c r="A87" s="113" t="s">
        <v>9</v>
      </c>
      <c r="B87" t="s">
        <v>1773</v>
      </c>
      <c r="C87" s="72"/>
    </row>
    <row r="88" spans="1:18" ht="15.75" customHeight="1">
      <c r="A88" s="70" t="s">
        <v>11</v>
      </c>
      <c r="B88" s="71" t="s">
        <v>841</v>
      </c>
    </row>
    <row r="89" spans="1:18">
      <c r="A89" s="70" t="s">
        <v>13</v>
      </c>
      <c r="B89" t="s">
        <v>14</v>
      </c>
    </row>
    <row r="90" spans="1:18">
      <c r="A90" s="70" t="s">
        <v>15</v>
      </c>
      <c r="B90">
        <v>1</v>
      </c>
    </row>
    <row r="91" spans="1:18">
      <c r="A91" s="70" t="s">
        <v>16</v>
      </c>
      <c r="B91" t="s">
        <v>17</v>
      </c>
    </row>
    <row r="92" spans="1:18">
      <c r="A92" s="70" t="s">
        <v>18</v>
      </c>
      <c r="B92" t="s">
        <v>18</v>
      </c>
    </row>
    <row r="93" spans="1:18" ht="15.6">
      <c r="A93" s="69" t="s">
        <v>19</v>
      </c>
    </row>
    <row r="94" spans="1:18" ht="15.6">
      <c r="A94" s="69"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6">
      <c r="A95" s="84" t="s">
        <v>1771</v>
      </c>
      <c r="B95" s="115">
        <v>1</v>
      </c>
      <c r="C95" t="s">
        <v>18</v>
      </c>
      <c r="D95" s="110" t="s">
        <v>2</v>
      </c>
      <c r="E95" t="s">
        <v>29</v>
      </c>
      <c r="F95" s="68" t="s">
        <v>14</v>
      </c>
      <c r="G95" t="s">
        <v>30</v>
      </c>
      <c r="H95">
        <v>1</v>
      </c>
      <c r="I95">
        <v>1</v>
      </c>
      <c r="J95" t="s">
        <v>31</v>
      </c>
      <c r="K95" t="s">
        <v>31</v>
      </c>
      <c r="L95" t="s">
        <v>31</v>
      </c>
      <c r="M95" t="s">
        <v>31</v>
      </c>
      <c r="O95" s="80"/>
      <c r="P95" s="172"/>
      <c r="R95" s="115"/>
    </row>
    <row r="96" spans="1:18" ht="15.6">
      <c r="A96" s="84" t="s">
        <v>1774</v>
      </c>
      <c r="B96">
        <v>1</v>
      </c>
      <c r="C96" t="s">
        <v>18</v>
      </c>
      <c r="D96" s="110" t="s">
        <v>2</v>
      </c>
      <c r="E96" t="s">
        <v>29</v>
      </c>
      <c r="F96" s="68" t="s">
        <v>14</v>
      </c>
      <c r="G96" t="s">
        <v>33</v>
      </c>
      <c r="H96">
        <v>1</v>
      </c>
      <c r="I96">
        <v>1</v>
      </c>
      <c r="J96" t="s">
        <v>31</v>
      </c>
      <c r="K96" t="s">
        <v>31</v>
      </c>
      <c r="L96" t="s">
        <v>31</v>
      </c>
      <c r="M96" t="s">
        <v>31</v>
      </c>
      <c r="O96" s="80"/>
      <c r="P96" s="172"/>
    </row>
    <row r="97" spans="1:20" ht="15.6">
      <c r="A97" s="67" t="s">
        <v>38</v>
      </c>
      <c r="B97" s="115">
        <f>R97</f>
        <v>0.05</v>
      </c>
      <c r="C97" t="s">
        <v>39</v>
      </c>
      <c r="D97" s="17" t="s">
        <v>40</v>
      </c>
      <c r="E97" t="s">
        <v>29</v>
      </c>
      <c r="F97" s="68" t="s">
        <v>35</v>
      </c>
      <c r="G97" t="s">
        <v>33</v>
      </c>
      <c r="H97">
        <v>2</v>
      </c>
      <c r="I97">
        <f>LN(B97)</f>
        <v>-2.9957322735539909</v>
      </c>
      <c r="J97">
        <v>7.2284161474004766E-2</v>
      </c>
      <c r="K97" t="s">
        <v>31</v>
      </c>
      <c r="L97" t="s">
        <v>31</v>
      </c>
      <c r="M97" t="s">
        <v>31</v>
      </c>
      <c r="O97" s="80" t="s">
        <v>271</v>
      </c>
      <c r="P97" s="107">
        <v>0.05</v>
      </c>
      <c r="Q97" t="s">
        <v>271</v>
      </c>
      <c r="R97" s="115">
        <f>P97</f>
        <v>0.05</v>
      </c>
    </row>
    <row r="98" spans="1:20" s="73" customFormat="1" ht="15.6">
      <c r="A98" s="76" t="s">
        <v>5</v>
      </c>
      <c r="B98" s="126" t="s">
        <v>1774</v>
      </c>
      <c r="C98" s="74"/>
    </row>
    <row r="99" spans="1:20">
      <c r="A99" s="70" t="s">
        <v>7</v>
      </c>
      <c r="B99" t="s">
        <v>1709</v>
      </c>
      <c r="C99" s="72"/>
    </row>
    <row r="100" spans="1:20">
      <c r="A100" s="113" t="s">
        <v>9</v>
      </c>
      <c r="B100" t="s">
        <v>1775</v>
      </c>
      <c r="C100" s="72"/>
    </row>
    <row r="101" spans="1:20" ht="15.75" customHeight="1">
      <c r="A101" s="70" t="s">
        <v>11</v>
      </c>
      <c r="B101" s="71" t="s">
        <v>841</v>
      </c>
    </row>
    <row r="102" spans="1:20">
      <c r="A102" s="70" t="s">
        <v>13</v>
      </c>
      <c r="B102" t="s">
        <v>14</v>
      </c>
    </row>
    <row r="103" spans="1:20">
      <c r="A103" s="70" t="s">
        <v>15</v>
      </c>
      <c r="B103">
        <v>1</v>
      </c>
    </row>
    <row r="104" spans="1:20">
      <c r="A104" s="70" t="s">
        <v>16</v>
      </c>
      <c r="B104" t="s">
        <v>17</v>
      </c>
    </row>
    <row r="105" spans="1:20">
      <c r="A105" s="70" t="s">
        <v>18</v>
      </c>
      <c r="B105" t="s">
        <v>18</v>
      </c>
    </row>
    <row r="106" spans="1:20" ht="15.6">
      <c r="A106" s="69" t="s">
        <v>19</v>
      </c>
    </row>
    <row r="107" spans="1:20" ht="15.6">
      <c r="A107" s="69"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row>
    <row r="108" spans="1:20" ht="15.6">
      <c r="A108" s="84" t="s">
        <v>1774</v>
      </c>
      <c r="B108">
        <v>1</v>
      </c>
      <c r="C108" t="s">
        <v>18</v>
      </c>
      <c r="D108" s="17" t="s">
        <v>2</v>
      </c>
      <c r="E108" t="s">
        <v>29</v>
      </c>
      <c r="F108" s="68" t="s">
        <v>14</v>
      </c>
      <c r="G108" t="s">
        <v>30</v>
      </c>
      <c r="H108">
        <v>1</v>
      </c>
      <c r="I108">
        <v>1</v>
      </c>
      <c r="J108" t="s">
        <v>31</v>
      </c>
      <c r="K108" t="s">
        <v>31</v>
      </c>
      <c r="L108" t="s">
        <v>31</v>
      </c>
      <c r="M108" t="s">
        <v>31</v>
      </c>
      <c r="P108" s="171"/>
    </row>
    <row r="109" spans="1:20" ht="15.6">
      <c r="A109" s="67" t="s">
        <v>1776</v>
      </c>
      <c r="B109" s="155">
        <f>B133</f>
        <v>5.8999999999999997E-2</v>
      </c>
      <c r="C109" t="s">
        <v>853</v>
      </c>
      <c r="D109" s="17" t="s">
        <v>2</v>
      </c>
      <c r="E109" t="s">
        <v>29</v>
      </c>
      <c r="F109" s="68" t="s">
        <v>14</v>
      </c>
      <c r="G109" t="s">
        <v>33</v>
      </c>
      <c r="H109">
        <v>1</v>
      </c>
      <c r="I109" s="155">
        <f>B109</f>
        <v>5.8999999999999997E-2</v>
      </c>
      <c r="J109" t="s">
        <v>31</v>
      </c>
      <c r="K109" t="s">
        <v>31</v>
      </c>
      <c r="L109" t="s">
        <v>31</v>
      </c>
      <c r="M109" t="s">
        <v>31</v>
      </c>
      <c r="O109" s="130"/>
      <c r="P109" s="129"/>
      <c r="Q109" s="115"/>
    </row>
    <row r="110" spans="1:20" ht="15.6">
      <c r="A110" t="s">
        <v>1731</v>
      </c>
      <c r="B110" s="85">
        <f>T110</f>
        <v>0.2576</v>
      </c>
      <c r="C110" s="22" t="s">
        <v>853</v>
      </c>
      <c r="D110" s="17" t="s">
        <v>2</v>
      </c>
      <c r="E110" t="s">
        <v>29</v>
      </c>
      <c r="F110" s="68" t="s">
        <v>14</v>
      </c>
      <c r="G110" t="s">
        <v>33</v>
      </c>
      <c r="H110">
        <v>1</v>
      </c>
      <c r="I110" s="155">
        <f>B110</f>
        <v>0.2576</v>
      </c>
      <c r="J110" t="s">
        <v>31</v>
      </c>
      <c r="K110" t="s">
        <v>31</v>
      </c>
      <c r="L110" t="s">
        <v>31</v>
      </c>
      <c r="M110" t="s">
        <v>31</v>
      </c>
      <c r="O110" s="170" t="s">
        <v>857</v>
      </c>
      <c r="P110" s="157">
        <v>46</v>
      </c>
      <c r="Q110" s="91" t="s">
        <v>982</v>
      </c>
      <c r="R110">
        <f>A.Reused!O36</f>
        <v>5.6000000000000005</v>
      </c>
      <c r="S110" t="s">
        <v>943</v>
      </c>
      <c r="T110" s="85">
        <f>P110*0.001*R110</f>
        <v>0.2576</v>
      </c>
    </row>
    <row r="111" spans="1:20" ht="15.6">
      <c r="A111" t="s">
        <v>1777</v>
      </c>
      <c r="B111">
        <v>1</v>
      </c>
      <c r="C111" t="s">
        <v>18</v>
      </c>
      <c r="D111" s="17" t="s">
        <v>2</v>
      </c>
      <c r="E111" t="s">
        <v>29</v>
      </c>
      <c r="F111" s="68" t="s">
        <v>14</v>
      </c>
      <c r="G111" t="s">
        <v>33</v>
      </c>
      <c r="H111">
        <v>1</v>
      </c>
      <c r="I111" s="155">
        <f>B111</f>
        <v>1</v>
      </c>
      <c r="J111" t="s">
        <v>31</v>
      </c>
      <c r="K111" t="s">
        <v>31</v>
      </c>
      <c r="L111" t="s">
        <v>31</v>
      </c>
      <c r="M111" t="s">
        <v>31</v>
      </c>
      <c r="O111" s="130"/>
      <c r="P111" s="129"/>
    </row>
    <row r="112" spans="1:20" ht="15.6">
      <c r="A112" s="84" t="s">
        <v>179</v>
      </c>
      <c r="B112" s="85">
        <f>R112</f>
        <v>2.6000000000000003E-4</v>
      </c>
      <c r="C112" t="s">
        <v>37</v>
      </c>
      <c r="D112" s="17" t="s">
        <v>40</v>
      </c>
      <c r="E112" t="s">
        <v>29</v>
      </c>
      <c r="F112" s="68" t="s">
        <v>35</v>
      </c>
      <c r="G112" t="s">
        <v>33</v>
      </c>
      <c r="H112">
        <v>2</v>
      </c>
      <c r="I112">
        <f>LN(B112)</f>
        <v>-8.2548289269487469</v>
      </c>
      <c r="J112">
        <v>2.8722813232690055E-2</v>
      </c>
      <c r="K112" t="s">
        <v>31</v>
      </c>
      <c r="L112" t="s">
        <v>31</v>
      </c>
      <c r="M112" t="s">
        <v>31</v>
      </c>
      <c r="O112" s="170" t="s">
        <v>857</v>
      </c>
      <c r="P112" s="156">
        <v>0.26</v>
      </c>
      <c r="Q112" t="s">
        <v>275</v>
      </c>
      <c r="R112" s="85">
        <f>P112*10^-3</f>
        <v>2.6000000000000003E-4</v>
      </c>
    </row>
    <row r="113" spans="1:18" s="73" customFormat="1" ht="15.6">
      <c r="A113" s="76" t="s">
        <v>5</v>
      </c>
      <c r="B113" s="106" t="s">
        <v>1777</v>
      </c>
      <c r="C113" s="74"/>
    </row>
    <row r="114" spans="1:18">
      <c r="A114" s="70" t="s">
        <v>7</v>
      </c>
      <c r="B114" t="s">
        <v>1709</v>
      </c>
      <c r="C114" s="72"/>
    </row>
    <row r="115" spans="1:18">
      <c r="A115" s="113" t="s">
        <v>9</v>
      </c>
      <c r="B115" t="s">
        <v>1778</v>
      </c>
      <c r="C115" s="72"/>
    </row>
    <row r="116" spans="1:18" ht="15.75" customHeight="1">
      <c r="A116" s="70" t="s">
        <v>11</v>
      </c>
      <c r="B116" s="71" t="s">
        <v>841</v>
      </c>
    </row>
    <row r="117" spans="1:18">
      <c r="A117" s="70" t="s">
        <v>13</v>
      </c>
      <c r="B117" t="s">
        <v>14</v>
      </c>
    </row>
    <row r="118" spans="1:18">
      <c r="A118" s="70" t="s">
        <v>15</v>
      </c>
      <c r="B118">
        <v>1</v>
      </c>
    </row>
    <row r="119" spans="1:18">
      <c r="A119" s="70" t="s">
        <v>16</v>
      </c>
      <c r="B119" t="s">
        <v>17</v>
      </c>
    </row>
    <row r="120" spans="1:18">
      <c r="A120" s="70" t="s">
        <v>18</v>
      </c>
      <c r="B120" t="s">
        <v>18</v>
      </c>
    </row>
    <row r="121" spans="1:18" ht="15.6">
      <c r="A121" s="69" t="s">
        <v>19</v>
      </c>
    </row>
    <row r="122" spans="1:18" ht="15.6">
      <c r="A122" s="69"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6">
      <c r="A123" t="s">
        <v>1777</v>
      </c>
      <c r="B123">
        <v>1</v>
      </c>
      <c r="C123" t="s">
        <v>18</v>
      </c>
      <c r="D123" s="110" t="s">
        <v>2</v>
      </c>
      <c r="E123" t="s">
        <v>29</v>
      </c>
      <c r="F123" s="68" t="s">
        <v>14</v>
      </c>
      <c r="G123" t="s">
        <v>30</v>
      </c>
      <c r="H123">
        <v>1</v>
      </c>
      <c r="I123">
        <v>1</v>
      </c>
      <c r="J123" t="s">
        <v>31</v>
      </c>
      <c r="K123" t="s">
        <v>31</v>
      </c>
      <c r="L123" t="s">
        <v>31</v>
      </c>
      <c r="M123" t="s">
        <v>31</v>
      </c>
    </row>
    <row r="124" spans="1:18" ht="15.6">
      <c r="A124" s="84" t="s">
        <v>966</v>
      </c>
      <c r="B124">
        <f>R124</f>
        <v>0.51</v>
      </c>
      <c r="C124" t="s">
        <v>37</v>
      </c>
      <c r="D124" s="17" t="s">
        <v>40</v>
      </c>
      <c r="E124" t="s">
        <v>29</v>
      </c>
      <c r="F124" t="s">
        <v>59</v>
      </c>
      <c r="G124" t="s">
        <v>33</v>
      </c>
      <c r="H124">
        <v>1</v>
      </c>
      <c r="I124">
        <f>B124</f>
        <v>0.51</v>
      </c>
      <c r="J124" t="s">
        <v>31</v>
      </c>
      <c r="K124" t="s">
        <v>31</v>
      </c>
      <c r="L124" t="s">
        <v>31</v>
      </c>
      <c r="M124" t="s">
        <v>31</v>
      </c>
      <c r="P124" s="169">
        <v>0.51</v>
      </c>
      <c r="Q124" t="s">
        <v>275</v>
      </c>
      <c r="R124">
        <f>P124</f>
        <v>0.51</v>
      </c>
    </row>
    <row r="125" spans="1:18">
      <c r="A125" s="84" t="s">
        <v>967</v>
      </c>
      <c r="B125">
        <f>R125</f>
        <v>0.33700000000000002</v>
      </c>
      <c r="C125" t="s">
        <v>37</v>
      </c>
      <c r="D125" t="s">
        <v>40</v>
      </c>
      <c r="E125" t="s">
        <v>29</v>
      </c>
      <c r="F125" t="s">
        <v>59</v>
      </c>
      <c r="G125" t="s">
        <v>33</v>
      </c>
      <c r="H125">
        <v>2</v>
      </c>
      <c r="I125">
        <f>LN(B125)</f>
        <v>-1.0876723486297752</v>
      </c>
      <c r="J125">
        <v>3.7749172176353707E-2</v>
      </c>
      <c r="K125" t="s">
        <v>31</v>
      </c>
      <c r="L125" t="s">
        <v>31</v>
      </c>
      <c r="M125" t="s">
        <v>31</v>
      </c>
      <c r="O125" s="97" t="s">
        <v>857</v>
      </c>
      <c r="P125" s="107">
        <v>337</v>
      </c>
      <c r="Q125" t="s">
        <v>275</v>
      </c>
      <c r="R125">
        <f>P125*0.001</f>
        <v>0.33700000000000002</v>
      </c>
    </row>
    <row r="126" spans="1:18">
      <c r="A126" s="84" t="s">
        <v>968</v>
      </c>
      <c r="B126">
        <f>R126</f>
        <v>2.0100000000000003E-2</v>
      </c>
      <c r="C126" t="s">
        <v>37</v>
      </c>
      <c r="D126" t="s">
        <v>40</v>
      </c>
      <c r="E126" t="s">
        <v>29</v>
      </c>
      <c r="F126" t="s">
        <v>59</v>
      </c>
      <c r="G126" t="s">
        <v>33</v>
      </c>
      <c r="H126">
        <v>2</v>
      </c>
      <c r="I126">
        <f>LN(B126)</f>
        <v>-3.907035463917107</v>
      </c>
      <c r="J126">
        <v>3.7749172176353707E-2</v>
      </c>
      <c r="K126" t="s">
        <v>31</v>
      </c>
      <c r="L126" t="s">
        <v>31</v>
      </c>
      <c r="M126" t="s">
        <v>31</v>
      </c>
      <c r="O126" s="97" t="s">
        <v>857</v>
      </c>
      <c r="P126" s="107">
        <v>20.100000000000001</v>
      </c>
      <c r="Q126" t="s">
        <v>275</v>
      </c>
      <c r="R126">
        <f>P126*0.001</f>
        <v>2.0100000000000003E-2</v>
      </c>
    </row>
    <row r="127" spans="1:18">
      <c r="A127" s="84" t="s">
        <v>969</v>
      </c>
      <c r="B127">
        <f>R127</f>
        <v>0.152</v>
      </c>
      <c r="C127" t="s">
        <v>37</v>
      </c>
      <c r="D127" t="s">
        <v>40</v>
      </c>
      <c r="E127" t="s">
        <v>29</v>
      </c>
      <c r="F127" t="s">
        <v>59</v>
      </c>
      <c r="G127" t="s">
        <v>33</v>
      </c>
      <c r="H127">
        <v>2</v>
      </c>
      <c r="I127">
        <f>LN(B127)</f>
        <v>-1.8838747581358606</v>
      </c>
      <c r="J127">
        <v>3.7749172176353707E-2</v>
      </c>
      <c r="K127" t="s">
        <v>31</v>
      </c>
      <c r="L127" t="s">
        <v>31</v>
      </c>
      <c r="M127" t="s">
        <v>31</v>
      </c>
      <c r="O127" s="97" t="s">
        <v>857</v>
      </c>
      <c r="P127" s="107">
        <v>152</v>
      </c>
      <c r="Q127" t="s">
        <v>275</v>
      </c>
      <c r="R127">
        <f>P127*0.001</f>
        <v>0.152</v>
      </c>
    </row>
    <row r="128" spans="1:18" s="73" customFormat="1" ht="15.6">
      <c r="A128" s="76" t="s">
        <v>5</v>
      </c>
      <c r="B128" s="126" t="s">
        <v>1776</v>
      </c>
      <c r="C128" s="74"/>
    </row>
    <row r="129" spans="1:18">
      <c r="A129" s="70" t="s">
        <v>7</v>
      </c>
      <c r="B129" t="s">
        <v>1709</v>
      </c>
      <c r="C129" s="72"/>
    </row>
    <row r="130" spans="1:18">
      <c r="A130" s="113" t="s">
        <v>9</v>
      </c>
      <c r="B130" t="s">
        <v>1779</v>
      </c>
      <c r="C130" s="72"/>
    </row>
    <row r="131" spans="1:18" ht="15.75" customHeight="1">
      <c r="A131" s="70" t="s">
        <v>11</v>
      </c>
      <c r="B131" s="71" t="s">
        <v>841</v>
      </c>
    </row>
    <row r="132" spans="1:18">
      <c r="A132" s="70" t="s">
        <v>13</v>
      </c>
      <c r="B132" t="s">
        <v>14</v>
      </c>
    </row>
    <row r="133" spans="1:18">
      <c r="A133" s="70" t="s">
        <v>15</v>
      </c>
      <c r="B133" s="112">
        <f>B138</f>
        <v>5.8999999999999997E-2</v>
      </c>
    </row>
    <row r="134" spans="1:18">
      <c r="A134" s="70" t="s">
        <v>16</v>
      </c>
      <c r="B134" t="s">
        <v>17</v>
      </c>
    </row>
    <row r="135" spans="1:18">
      <c r="A135" s="70" t="s">
        <v>18</v>
      </c>
      <c r="B135" t="s">
        <v>853</v>
      </c>
    </row>
    <row r="136" spans="1:18" ht="15.6">
      <c r="A136" s="69" t="s">
        <v>19</v>
      </c>
    </row>
    <row r="137" spans="1:18" ht="15.6">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6">
      <c r="A138" s="17" t="s">
        <v>1776</v>
      </c>
      <c r="B138" s="112">
        <f>P138</f>
        <v>5.8999999999999997E-2</v>
      </c>
      <c r="C138" t="s">
        <v>853</v>
      </c>
      <c r="D138" s="110" t="s">
        <v>2</v>
      </c>
      <c r="E138" t="s">
        <v>29</v>
      </c>
      <c r="F138" s="68" t="s">
        <v>14</v>
      </c>
      <c r="G138" t="s">
        <v>30</v>
      </c>
      <c r="H138">
        <v>1</v>
      </c>
      <c r="I138" s="155">
        <f>B138</f>
        <v>5.8999999999999997E-2</v>
      </c>
      <c r="J138" t="s">
        <v>31</v>
      </c>
      <c r="K138" t="s">
        <v>31</v>
      </c>
      <c r="L138" t="s">
        <v>31</v>
      </c>
      <c r="M138" t="s">
        <v>31</v>
      </c>
      <c r="O138" s="130"/>
      <c r="P138" s="151">
        <f>P152</f>
        <v>5.8999999999999997E-2</v>
      </c>
      <c r="Q138" s="115"/>
    </row>
    <row r="139" spans="1:18" ht="15.6">
      <c r="A139" s="58" t="s">
        <v>1780</v>
      </c>
      <c r="B139" s="112">
        <f>P139</f>
        <v>5.8999999999999997E-2</v>
      </c>
      <c r="C139" t="s">
        <v>853</v>
      </c>
      <c r="D139" s="110" t="s">
        <v>2</v>
      </c>
      <c r="E139" t="s">
        <v>29</v>
      </c>
      <c r="F139" s="68" t="s">
        <v>14</v>
      </c>
      <c r="G139" t="s">
        <v>33</v>
      </c>
      <c r="H139">
        <v>1</v>
      </c>
      <c r="I139" s="155">
        <f>B139</f>
        <v>5.8999999999999997E-2</v>
      </c>
      <c r="J139" t="s">
        <v>31</v>
      </c>
      <c r="K139" t="s">
        <v>31</v>
      </c>
      <c r="L139" t="s">
        <v>31</v>
      </c>
      <c r="M139" t="s">
        <v>31</v>
      </c>
      <c r="P139" s="151">
        <f>P152</f>
        <v>5.8999999999999997E-2</v>
      </c>
    </row>
    <row r="140" spans="1:18">
      <c r="A140" s="84" t="s">
        <v>731</v>
      </c>
      <c r="B140">
        <f>R140</f>
        <v>5.3E-3</v>
      </c>
      <c r="C140" t="s">
        <v>37</v>
      </c>
      <c r="D140" t="s">
        <v>40</v>
      </c>
      <c r="E140" t="s">
        <v>29</v>
      </c>
      <c r="F140" t="s">
        <v>35</v>
      </c>
      <c r="G140" t="s">
        <v>33</v>
      </c>
      <c r="H140">
        <v>2</v>
      </c>
      <c r="I140">
        <f>LN(B140)</f>
        <v>-5.2400484584240612</v>
      </c>
      <c r="J140">
        <v>0.20928449536456342</v>
      </c>
      <c r="K140" t="s">
        <v>31</v>
      </c>
      <c r="L140" t="s">
        <v>31</v>
      </c>
      <c r="M140" t="s">
        <v>31</v>
      </c>
      <c r="O140" s="97" t="s">
        <v>857</v>
      </c>
      <c r="P140" s="107">
        <v>5.3</v>
      </c>
      <c r="Q140" t="s">
        <v>275</v>
      </c>
      <c r="R140">
        <f>0.001*P140</f>
        <v>5.3E-3</v>
      </c>
    </row>
    <row r="141" spans="1:18">
      <c r="A141" s="84" t="s">
        <v>987</v>
      </c>
      <c r="B141">
        <f>R141</f>
        <v>5.3E-3</v>
      </c>
      <c r="C141" t="s">
        <v>37</v>
      </c>
      <c r="D141" t="s">
        <v>40</v>
      </c>
      <c r="E141" t="s">
        <v>29</v>
      </c>
      <c r="F141" t="s">
        <v>35</v>
      </c>
      <c r="G141" t="s">
        <v>33</v>
      </c>
      <c r="H141">
        <v>2</v>
      </c>
      <c r="I141">
        <f>LN(B141)</f>
        <v>-5.2400484584240612</v>
      </c>
      <c r="J141">
        <v>0.20928449536456342</v>
      </c>
      <c r="K141" t="s">
        <v>31</v>
      </c>
      <c r="L141" t="s">
        <v>31</v>
      </c>
      <c r="M141" t="s">
        <v>31</v>
      </c>
      <c r="O141" s="97" t="s">
        <v>857</v>
      </c>
      <c r="P141" s="107">
        <v>5.3</v>
      </c>
      <c r="Q141" t="s">
        <v>275</v>
      </c>
      <c r="R141">
        <f>0.001*P141</f>
        <v>5.3E-3</v>
      </c>
    </row>
    <row r="142" spans="1:18" s="73" customFormat="1" ht="15.6">
      <c r="A142" s="76" t="s">
        <v>5</v>
      </c>
      <c r="B142" s="161" t="s">
        <v>1780</v>
      </c>
      <c r="C142" s="74"/>
    </row>
    <row r="143" spans="1:18">
      <c r="A143" s="70" t="s">
        <v>7</v>
      </c>
      <c r="B143" t="s">
        <v>1709</v>
      </c>
      <c r="C143" s="72"/>
    </row>
    <row r="144" spans="1:18">
      <c r="A144" s="113" t="s">
        <v>9</v>
      </c>
      <c r="B144" t="s">
        <v>1781</v>
      </c>
      <c r="C144" s="72"/>
    </row>
    <row r="145" spans="1:18" ht="15.75" customHeight="1">
      <c r="A145" s="70" t="s">
        <v>11</v>
      </c>
      <c r="B145" s="71" t="s">
        <v>841</v>
      </c>
    </row>
    <row r="146" spans="1:18">
      <c r="A146" s="70" t="s">
        <v>13</v>
      </c>
      <c r="B146" t="s">
        <v>14</v>
      </c>
    </row>
    <row r="147" spans="1:18">
      <c r="A147" s="70" t="s">
        <v>15</v>
      </c>
      <c r="B147" s="112">
        <f>B152</f>
        <v>5.8999999999999997E-2</v>
      </c>
    </row>
    <row r="148" spans="1:18">
      <c r="A148" s="70" t="s">
        <v>16</v>
      </c>
      <c r="B148" t="s">
        <v>17</v>
      </c>
    </row>
    <row r="149" spans="1:18">
      <c r="A149" s="70" t="s">
        <v>18</v>
      </c>
      <c r="B149" t="s">
        <v>853</v>
      </c>
    </row>
    <row r="150" spans="1:18" ht="15.6">
      <c r="A150" s="69" t="s">
        <v>19</v>
      </c>
    </row>
    <row r="151" spans="1:18" ht="15.6">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6">
      <c r="A152" s="58" t="s">
        <v>1780</v>
      </c>
      <c r="B152" s="168">
        <f>P152</f>
        <v>5.8999999999999997E-2</v>
      </c>
      <c r="C152" t="s">
        <v>853</v>
      </c>
      <c r="D152" s="110" t="s">
        <v>2</v>
      </c>
      <c r="E152" t="s">
        <v>29</v>
      </c>
      <c r="F152" s="68" t="s">
        <v>14</v>
      </c>
      <c r="G152" t="s">
        <v>30</v>
      </c>
      <c r="H152">
        <v>1</v>
      </c>
      <c r="I152" s="155">
        <f>B152</f>
        <v>5.8999999999999997E-2</v>
      </c>
      <c r="J152" t="s">
        <v>31</v>
      </c>
      <c r="K152" t="s">
        <v>31</v>
      </c>
      <c r="L152" t="s">
        <v>31</v>
      </c>
      <c r="M152" t="s">
        <v>31</v>
      </c>
      <c r="O152" s="163" t="s">
        <v>855</v>
      </c>
      <c r="P152" s="151">
        <f>B162</f>
        <v>5.8999999999999997E-2</v>
      </c>
    </row>
    <row r="153" spans="1:18" ht="15.6">
      <c r="A153" t="s">
        <v>1782</v>
      </c>
      <c r="B153" s="168">
        <f>P153</f>
        <v>1.7999999999999999E-2</v>
      </c>
      <c r="C153" t="s">
        <v>853</v>
      </c>
      <c r="D153" s="110" t="s">
        <v>2</v>
      </c>
      <c r="E153" t="s">
        <v>29</v>
      </c>
      <c r="F153" s="68" t="s">
        <v>14</v>
      </c>
      <c r="G153" t="s">
        <v>33</v>
      </c>
      <c r="H153">
        <v>1</v>
      </c>
      <c r="I153" s="155">
        <f>B153</f>
        <v>1.7999999999999999E-2</v>
      </c>
      <c r="J153" t="s">
        <v>31</v>
      </c>
      <c r="K153" t="s">
        <v>31</v>
      </c>
      <c r="L153" t="s">
        <v>31</v>
      </c>
      <c r="M153" t="s">
        <v>31</v>
      </c>
      <c r="O153" s="163" t="s">
        <v>873</v>
      </c>
      <c r="P153" s="162">
        <f>B228</f>
        <v>1.7999999999999999E-2</v>
      </c>
    </row>
    <row r="154" spans="1:18" ht="15.6">
      <c r="A154" t="s">
        <v>1783</v>
      </c>
      <c r="B154" s="168">
        <f>P154</f>
        <v>5.8999999999999997E-2</v>
      </c>
      <c r="C154" t="s">
        <v>853</v>
      </c>
      <c r="D154" s="110" t="s">
        <v>2</v>
      </c>
      <c r="E154" t="s">
        <v>29</v>
      </c>
      <c r="F154" s="68" t="s">
        <v>14</v>
      </c>
      <c r="G154" t="s">
        <v>33</v>
      </c>
      <c r="H154">
        <v>1</v>
      </c>
      <c r="I154" s="155">
        <f>B154</f>
        <v>5.8999999999999997E-2</v>
      </c>
      <c r="J154" t="s">
        <v>31</v>
      </c>
      <c r="K154" t="s">
        <v>31</v>
      </c>
      <c r="L154" t="s">
        <v>31</v>
      </c>
      <c r="M154" t="s">
        <v>31</v>
      </c>
      <c r="O154" s="94" t="s">
        <v>873</v>
      </c>
      <c r="P154" s="151">
        <f>B162</f>
        <v>5.8999999999999997E-2</v>
      </c>
    </row>
    <row r="155" spans="1:18" ht="15.6">
      <c r="A155" s="67" t="s">
        <v>38</v>
      </c>
      <c r="B155" s="168">
        <f>P155</f>
        <v>1.4</v>
      </c>
      <c r="C155" t="s">
        <v>39</v>
      </c>
      <c r="D155" s="17" t="s">
        <v>40</v>
      </c>
      <c r="E155" t="s">
        <v>29</v>
      </c>
      <c r="F155" s="68" t="s">
        <v>35</v>
      </c>
      <c r="G155" t="s">
        <v>33</v>
      </c>
      <c r="H155">
        <v>2</v>
      </c>
      <c r="I155">
        <f>LN(B155)</f>
        <v>0.33647223662121289</v>
      </c>
      <c r="J155">
        <v>9.7082439194738052E-2</v>
      </c>
      <c r="K155" t="s">
        <v>31</v>
      </c>
      <c r="L155" t="s">
        <v>31</v>
      </c>
      <c r="M155" t="s">
        <v>31</v>
      </c>
      <c r="O155" s="97" t="s">
        <v>271</v>
      </c>
      <c r="P155" s="134">
        <v>1.4</v>
      </c>
      <c r="Q155" t="s">
        <v>271</v>
      </c>
      <c r="R155" s="115">
        <f>P155</f>
        <v>1.4</v>
      </c>
    </row>
    <row r="156" spans="1:18" ht="15.6">
      <c r="A156" s="67" t="s">
        <v>845</v>
      </c>
      <c r="B156" s="168">
        <f>P156</f>
        <v>3.7</v>
      </c>
      <c r="C156" t="s">
        <v>37</v>
      </c>
      <c r="D156" s="17" t="s">
        <v>40</v>
      </c>
      <c r="E156" t="s">
        <v>29</v>
      </c>
      <c r="F156" s="68" t="s">
        <v>35</v>
      </c>
      <c r="G156" t="s">
        <v>33</v>
      </c>
      <c r="H156">
        <v>2</v>
      </c>
      <c r="I156">
        <f>LN(B156)</f>
        <v>1.3083328196501789</v>
      </c>
      <c r="J156">
        <v>9.7082439194738052E-2</v>
      </c>
      <c r="K156" t="s">
        <v>31</v>
      </c>
      <c r="L156" t="s">
        <v>31</v>
      </c>
      <c r="M156" t="s">
        <v>31</v>
      </c>
      <c r="O156" s="97" t="s">
        <v>275</v>
      </c>
      <c r="P156" s="134">
        <v>3.7</v>
      </c>
    </row>
    <row r="157" spans="1:18" s="73" customFormat="1" ht="15.6">
      <c r="A157" s="76" t="s">
        <v>5</v>
      </c>
      <c r="B157" s="106" t="s">
        <v>1783</v>
      </c>
      <c r="C157" s="74"/>
    </row>
    <row r="158" spans="1:18">
      <c r="A158" s="70" t="s">
        <v>7</v>
      </c>
      <c r="B158" t="s">
        <v>1709</v>
      </c>
      <c r="C158" s="72"/>
    </row>
    <row r="159" spans="1:18">
      <c r="A159" s="113" t="s">
        <v>9</v>
      </c>
      <c r="B159" t="s">
        <v>1784</v>
      </c>
      <c r="C159" s="72"/>
    </row>
    <row r="160" spans="1:18" ht="15.75" customHeight="1">
      <c r="A160" s="70" t="s">
        <v>11</v>
      </c>
      <c r="B160" s="71" t="s">
        <v>841</v>
      </c>
    </row>
    <row r="161" spans="1:18">
      <c r="A161" s="70" t="s">
        <v>13</v>
      </c>
      <c r="B161" t="s">
        <v>14</v>
      </c>
    </row>
    <row r="162" spans="1:18">
      <c r="A162" s="70" t="s">
        <v>15</v>
      </c>
      <c r="B162" s="168">
        <f>B167</f>
        <v>5.8999999999999997E-2</v>
      </c>
    </row>
    <row r="163" spans="1:18">
      <c r="A163" s="70" t="s">
        <v>16</v>
      </c>
      <c r="B163" t="s">
        <v>17</v>
      </c>
    </row>
    <row r="164" spans="1:18">
      <c r="A164" s="70" t="s">
        <v>18</v>
      </c>
      <c r="B164" t="s">
        <v>853</v>
      </c>
    </row>
    <row r="165" spans="1:18" ht="15.6">
      <c r="A165" s="69" t="s">
        <v>19</v>
      </c>
    </row>
    <row r="166" spans="1:18" ht="15.6">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6">
      <c r="A167" t="s">
        <v>1783</v>
      </c>
      <c r="B167" s="111">
        <f>P167</f>
        <v>5.8999999999999997E-2</v>
      </c>
      <c r="C167" t="s">
        <v>853</v>
      </c>
      <c r="D167" s="110" t="s">
        <v>2</v>
      </c>
      <c r="E167" t="s">
        <v>29</v>
      </c>
      <c r="F167" s="68" t="s">
        <v>14</v>
      </c>
      <c r="G167" t="s">
        <v>30</v>
      </c>
      <c r="H167">
        <v>1</v>
      </c>
      <c r="I167" s="111">
        <f>B167</f>
        <v>5.8999999999999997E-2</v>
      </c>
      <c r="J167" t="s">
        <v>31</v>
      </c>
      <c r="K167" t="s">
        <v>31</v>
      </c>
      <c r="L167" t="s">
        <v>31</v>
      </c>
      <c r="M167" t="s">
        <v>31</v>
      </c>
      <c r="P167" s="158">
        <v>5.8999999999999997E-2</v>
      </c>
    </row>
    <row r="168" spans="1:18" ht="15.6">
      <c r="A168" s="58" t="s">
        <v>1785</v>
      </c>
      <c r="B168" s="111">
        <f>P168</f>
        <v>5.8999999999999997E-2</v>
      </c>
      <c r="C168" t="s">
        <v>853</v>
      </c>
      <c r="D168" s="110" t="s">
        <v>2</v>
      </c>
      <c r="E168" t="s">
        <v>29</v>
      </c>
      <c r="F168" s="68" t="s">
        <v>14</v>
      </c>
      <c r="G168" t="s">
        <v>33</v>
      </c>
      <c r="H168">
        <v>1</v>
      </c>
      <c r="I168" s="111">
        <f>B168</f>
        <v>5.8999999999999997E-2</v>
      </c>
      <c r="J168" t="s">
        <v>31</v>
      </c>
      <c r="K168" t="s">
        <v>31</v>
      </c>
      <c r="L168" t="s">
        <v>31</v>
      </c>
      <c r="M168" t="s">
        <v>31</v>
      </c>
      <c r="P168" s="158">
        <v>5.8999999999999997E-2</v>
      </c>
    </row>
    <row r="169" spans="1:18" ht="15.6">
      <c r="A169" s="67" t="s">
        <v>38</v>
      </c>
      <c r="B169" s="115">
        <f>R169</f>
        <v>0.16</v>
      </c>
      <c r="C169" t="s">
        <v>39</v>
      </c>
      <c r="D169" s="17" t="s">
        <v>40</v>
      </c>
      <c r="E169" t="s">
        <v>29</v>
      </c>
      <c r="F169" s="68" t="s">
        <v>35</v>
      </c>
      <c r="G169" t="s">
        <v>33</v>
      </c>
      <c r="H169">
        <v>2</v>
      </c>
      <c r="I169">
        <f>LN(B169)</f>
        <v>-1.8325814637483102</v>
      </c>
      <c r="J169">
        <v>0.20928449536456342</v>
      </c>
      <c r="K169" t="s">
        <v>31</v>
      </c>
      <c r="L169" t="s">
        <v>31</v>
      </c>
      <c r="M169" t="s">
        <v>31</v>
      </c>
      <c r="O169" s="80" t="s">
        <v>271</v>
      </c>
      <c r="P169" s="134">
        <v>0.16</v>
      </c>
      <c r="Q169" t="s">
        <v>271</v>
      </c>
      <c r="R169" s="115">
        <f>P169</f>
        <v>0.16</v>
      </c>
    </row>
    <row r="170" spans="1:18" ht="15.6">
      <c r="A170" s="84" t="s">
        <v>843</v>
      </c>
      <c r="B170">
        <f>R170</f>
        <v>5.0000000000000001E-3</v>
      </c>
      <c r="C170" t="s">
        <v>37</v>
      </c>
      <c r="D170" s="17" t="s">
        <v>40</v>
      </c>
      <c r="E170" t="s">
        <v>29</v>
      </c>
      <c r="F170" s="68" t="s">
        <v>35</v>
      </c>
      <c r="G170" t="s">
        <v>33</v>
      </c>
      <c r="H170">
        <v>2</v>
      </c>
      <c r="I170">
        <f>LN(B170)</f>
        <v>-5.2983173665480363</v>
      </c>
      <c r="J170">
        <v>0.20928449536456342</v>
      </c>
      <c r="K170" t="s">
        <v>31</v>
      </c>
      <c r="L170" t="s">
        <v>31</v>
      </c>
      <c r="M170" t="s">
        <v>31</v>
      </c>
      <c r="O170" s="97" t="s">
        <v>857</v>
      </c>
      <c r="P170" s="134">
        <v>5</v>
      </c>
      <c r="Q170" t="s">
        <v>275</v>
      </c>
      <c r="R170">
        <f>0.001*P170</f>
        <v>5.0000000000000001E-3</v>
      </c>
    </row>
    <row r="171" spans="1:18" ht="15.6">
      <c r="A171" s="84" t="s">
        <v>489</v>
      </c>
      <c r="B171">
        <f>R171</f>
        <v>8.0000000000000004E-4</v>
      </c>
      <c r="C171" t="s">
        <v>37</v>
      </c>
      <c r="D171" s="17" t="s">
        <v>40</v>
      </c>
      <c r="E171" t="s">
        <v>29</v>
      </c>
      <c r="F171" s="68" t="s">
        <v>59</v>
      </c>
      <c r="G171" t="s">
        <v>33</v>
      </c>
      <c r="H171">
        <v>2</v>
      </c>
      <c r="I171">
        <f>LN(B171)</f>
        <v>-7.1308988302963465</v>
      </c>
      <c r="J171">
        <v>0.20928449536456342</v>
      </c>
      <c r="K171" t="s">
        <v>31</v>
      </c>
      <c r="L171" t="s">
        <v>31</v>
      </c>
      <c r="M171" t="s">
        <v>31</v>
      </c>
      <c r="O171" s="97" t="s">
        <v>857</v>
      </c>
      <c r="P171" s="134">
        <v>0.8</v>
      </c>
      <c r="Q171" t="s">
        <v>275</v>
      </c>
      <c r="R171">
        <f>0.001*P171</f>
        <v>8.0000000000000004E-4</v>
      </c>
    </row>
    <row r="172" spans="1:18" ht="15.6">
      <c r="A172" s="67" t="s">
        <v>844</v>
      </c>
      <c r="B172">
        <f>R172</f>
        <v>2.4399999999999998E-2</v>
      </c>
      <c r="C172" t="s">
        <v>37</v>
      </c>
      <c r="D172" s="17" t="s">
        <v>40</v>
      </c>
      <c r="E172" t="s">
        <v>29</v>
      </c>
      <c r="F172" s="68" t="s">
        <v>74</v>
      </c>
      <c r="G172" t="s">
        <v>33</v>
      </c>
      <c r="H172">
        <v>2</v>
      </c>
      <c r="I172">
        <f>LN(B172)</f>
        <v>-3.713172146682981</v>
      </c>
      <c r="J172">
        <v>0.20928449536456342</v>
      </c>
      <c r="K172" t="s">
        <v>31</v>
      </c>
      <c r="L172" t="s">
        <v>31</v>
      </c>
      <c r="M172" t="s">
        <v>31</v>
      </c>
      <c r="O172" s="97" t="s">
        <v>857</v>
      </c>
      <c r="P172" s="134">
        <v>24.4</v>
      </c>
      <c r="Q172" t="s">
        <v>275</v>
      </c>
      <c r="R172">
        <f>0.001*P172</f>
        <v>2.4399999999999998E-2</v>
      </c>
    </row>
    <row r="173" spans="1:18" ht="15.6">
      <c r="A173" s="17" t="s">
        <v>1712</v>
      </c>
      <c r="B173">
        <f>R173</f>
        <v>5.7000000000000002E-3</v>
      </c>
      <c r="C173" t="s">
        <v>37</v>
      </c>
      <c r="D173" s="110" t="s">
        <v>2</v>
      </c>
      <c r="E173" t="s">
        <v>29</v>
      </c>
      <c r="F173" s="68" t="s">
        <v>74</v>
      </c>
      <c r="G173" t="s">
        <v>33</v>
      </c>
      <c r="H173">
        <v>2</v>
      </c>
      <c r="I173">
        <f>LN(B173)</f>
        <v>-5.1672891041416324</v>
      </c>
      <c r="J173">
        <v>0.20928449536456342</v>
      </c>
      <c r="K173" t="s">
        <v>31</v>
      </c>
      <c r="L173" t="s">
        <v>31</v>
      </c>
      <c r="M173" t="s">
        <v>31</v>
      </c>
      <c r="O173" s="159" t="s">
        <v>857</v>
      </c>
      <c r="P173" s="133">
        <v>5.7</v>
      </c>
      <c r="Q173" t="s">
        <v>275</v>
      </c>
      <c r="R173">
        <f>0.001*P173</f>
        <v>5.7000000000000002E-3</v>
      </c>
    </row>
    <row r="174" spans="1:18" s="73" customFormat="1" ht="15.6">
      <c r="A174" s="76" t="s">
        <v>5</v>
      </c>
      <c r="B174" s="106" t="s">
        <v>1785</v>
      </c>
      <c r="C174" s="74"/>
    </row>
    <row r="175" spans="1:18">
      <c r="A175" s="70" t="s">
        <v>7</v>
      </c>
      <c r="B175" t="s">
        <v>1709</v>
      </c>
      <c r="C175" s="72"/>
    </row>
    <row r="176" spans="1:18">
      <c r="A176" s="113" t="s">
        <v>9</v>
      </c>
      <c r="B176" t="s">
        <v>1786</v>
      </c>
      <c r="C176" s="72"/>
    </row>
    <row r="177" spans="1:18" ht="15.75" customHeight="1">
      <c r="A177" s="70" t="s">
        <v>11</v>
      </c>
      <c r="B177" s="71" t="s">
        <v>841</v>
      </c>
    </row>
    <row r="178" spans="1:18">
      <c r="A178" s="70" t="s">
        <v>13</v>
      </c>
      <c r="B178" t="s">
        <v>14</v>
      </c>
    </row>
    <row r="179" spans="1:18">
      <c r="A179" s="70" t="s">
        <v>15</v>
      </c>
      <c r="B179" s="112">
        <f>B184</f>
        <v>5.8999999999999997E-2</v>
      </c>
    </row>
    <row r="180" spans="1:18">
      <c r="A180" s="70" t="s">
        <v>16</v>
      </c>
      <c r="B180" t="s">
        <v>17</v>
      </c>
    </row>
    <row r="181" spans="1:18">
      <c r="A181" s="70" t="s">
        <v>18</v>
      </c>
      <c r="B181" t="s">
        <v>853</v>
      </c>
    </row>
    <row r="182" spans="1:18" ht="15.6">
      <c r="A182" s="69" t="s">
        <v>19</v>
      </c>
    </row>
    <row r="183" spans="1:18" ht="15.6">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6">
      <c r="A184" s="58" t="s">
        <v>1785</v>
      </c>
      <c r="B184" s="167">
        <f>P185</f>
        <v>5.8999999999999997E-2</v>
      </c>
      <c r="C184" t="s">
        <v>853</v>
      </c>
      <c r="D184" s="110" t="s">
        <v>2</v>
      </c>
      <c r="E184" t="s">
        <v>29</v>
      </c>
      <c r="F184" s="68" t="s">
        <v>14</v>
      </c>
      <c r="G184" t="s">
        <v>30</v>
      </c>
      <c r="H184">
        <v>1</v>
      </c>
      <c r="I184" s="111">
        <f>B184</f>
        <v>5.8999999999999997E-2</v>
      </c>
      <c r="J184" t="s">
        <v>31</v>
      </c>
      <c r="K184" t="s">
        <v>31</v>
      </c>
      <c r="L184" t="s">
        <v>31</v>
      </c>
      <c r="M184" t="s">
        <v>31</v>
      </c>
    </row>
    <row r="185" spans="1:18" ht="15.6">
      <c r="A185" t="s">
        <v>1787</v>
      </c>
      <c r="B185" s="166">
        <f>P185</f>
        <v>5.8999999999999997E-2</v>
      </c>
      <c r="C185" t="s">
        <v>853</v>
      </c>
      <c r="D185" s="110" t="s">
        <v>2</v>
      </c>
      <c r="E185" t="s">
        <v>29</v>
      </c>
      <c r="F185" s="68" t="s">
        <v>14</v>
      </c>
      <c r="G185" t="s">
        <v>33</v>
      </c>
      <c r="H185">
        <v>1</v>
      </c>
      <c r="I185" s="111">
        <f>B185</f>
        <v>5.8999999999999997E-2</v>
      </c>
      <c r="J185" t="s">
        <v>31</v>
      </c>
      <c r="K185" t="s">
        <v>31</v>
      </c>
      <c r="L185" t="s">
        <v>31</v>
      </c>
      <c r="M185" t="s">
        <v>31</v>
      </c>
      <c r="P185" s="151">
        <v>5.8999999999999997E-2</v>
      </c>
    </row>
    <row r="186" spans="1:18" ht="15.6">
      <c r="A186" s="67" t="s">
        <v>38</v>
      </c>
      <c r="B186" s="115">
        <f>P186</f>
        <v>3.4400000000000004</v>
      </c>
      <c r="C186" t="s">
        <v>39</v>
      </c>
      <c r="D186" s="17" t="s">
        <v>40</v>
      </c>
      <c r="E186" t="s">
        <v>29</v>
      </c>
      <c r="F186" s="68" t="s">
        <v>35</v>
      </c>
      <c r="G186" t="s">
        <v>33</v>
      </c>
      <c r="H186">
        <v>2</v>
      </c>
      <c r="I186">
        <f>LN(B186)</f>
        <v>1.235471471385307</v>
      </c>
      <c r="J186">
        <v>0.20928449536456342</v>
      </c>
      <c r="K186" t="s">
        <v>31</v>
      </c>
      <c r="L186" t="s">
        <v>31</v>
      </c>
      <c r="M186" t="s">
        <v>31</v>
      </c>
      <c r="O186" s="97" t="s">
        <v>271</v>
      </c>
      <c r="P186" s="107">
        <f>2.37+1.07</f>
        <v>3.4400000000000004</v>
      </c>
    </row>
    <row r="187" spans="1:18" ht="15.6">
      <c r="A187" s="67" t="s">
        <v>844</v>
      </c>
      <c r="B187">
        <f>R187</f>
        <v>6.9000000000000008E-3</v>
      </c>
      <c r="C187" t="s">
        <v>37</v>
      </c>
      <c r="D187" s="17" t="s">
        <v>40</v>
      </c>
      <c r="E187" t="s">
        <v>29</v>
      </c>
      <c r="F187" s="68" t="s">
        <v>74</v>
      </c>
      <c r="G187" t="s">
        <v>33</v>
      </c>
      <c r="H187">
        <v>2</v>
      </c>
      <c r="I187">
        <f>LN(B187)</f>
        <v>-4.976233867378923</v>
      </c>
      <c r="J187">
        <v>0.20928449536456342</v>
      </c>
      <c r="K187" t="s">
        <v>31</v>
      </c>
      <c r="L187" t="s">
        <v>31</v>
      </c>
      <c r="M187" t="s">
        <v>31</v>
      </c>
      <c r="O187" s="97" t="s">
        <v>857</v>
      </c>
      <c r="P187" s="107">
        <v>6.9</v>
      </c>
      <c r="Q187" t="s">
        <v>275</v>
      </c>
      <c r="R187">
        <f>P187*0.001</f>
        <v>6.9000000000000008E-3</v>
      </c>
    </row>
    <row r="188" spans="1:18">
      <c r="A188" s="84" t="s">
        <v>987</v>
      </c>
      <c r="B188">
        <f>R188</f>
        <v>8.4000000000000012E-3</v>
      </c>
      <c r="C188" t="s">
        <v>37</v>
      </c>
      <c r="D188" t="s">
        <v>40</v>
      </c>
      <c r="E188" t="s">
        <v>29</v>
      </c>
      <c r="F188" t="s">
        <v>35</v>
      </c>
      <c r="G188" t="s">
        <v>33</v>
      </c>
      <c r="H188">
        <v>2</v>
      </c>
      <c r="I188">
        <f>LN(B188)</f>
        <v>-4.7795235731328694</v>
      </c>
      <c r="J188">
        <v>0.20928449536456342</v>
      </c>
      <c r="K188" t="s">
        <v>31</v>
      </c>
      <c r="L188" t="s">
        <v>31</v>
      </c>
      <c r="M188" t="s">
        <v>31</v>
      </c>
      <c r="O188" s="97" t="s">
        <v>857</v>
      </c>
      <c r="P188" s="107">
        <v>8.4</v>
      </c>
      <c r="Q188" t="s">
        <v>275</v>
      </c>
      <c r="R188">
        <f>P188*0.001</f>
        <v>8.4000000000000012E-3</v>
      </c>
    </row>
    <row r="189" spans="1:18" ht="15.6">
      <c r="A189" s="17" t="s">
        <v>1712</v>
      </c>
      <c r="B189">
        <f>R189</f>
        <v>8.4000000000000012E-3</v>
      </c>
      <c r="C189" t="s">
        <v>37</v>
      </c>
      <c r="D189" s="110" t="s">
        <v>2</v>
      </c>
      <c r="E189" t="s">
        <v>29</v>
      </c>
      <c r="F189" s="68" t="s">
        <v>74</v>
      </c>
      <c r="G189" t="s">
        <v>33</v>
      </c>
      <c r="H189">
        <v>2</v>
      </c>
      <c r="I189">
        <f>LN(B189)</f>
        <v>-4.7795235731328694</v>
      </c>
      <c r="J189">
        <v>0.20928449536456342</v>
      </c>
      <c r="K189" t="s">
        <v>31</v>
      </c>
      <c r="L189" t="s">
        <v>31</v>
      </c>
      <c r="M189" t="s">
        <v>31</v>
      </c>
      <c r="O189" s="159" t="s">
        <v>857</v>
      </c>
      <c r="P189" s="123">
        <v>8.4</v>
      </c>
      <c r="Q189" t="s">
        <v>275</v>
      </c>
      <c r="R189">
        <f>0.001*P189</f>
        <v>8.4000000000000012E-3</v>
      </c>
    </row>
    <row r="190" spans="1:18" s="73" customFormat="1" ht="15.6">
      <c r="A190" s="76" t="s">
        <v>5</v>
      </c>
      <c r="B190" s="106" t="s">
        <v>1787</v>
      </c>
      <c r="C190" s="74"/>
    </row>
    <row r="191" spans="1:18">
      <c r="A191" s="70" t="s">
        <v>7</v>
      </c>
      <c r="B191" t="s">
        <v>1709</v>
      </c>
      <c r="C191" s="72"/>
    </row>
    <row r="192" spans="1:18">
      <c r="A192" s="113" t="s">
        <v>9</v>
      </c>
      <c r="B192" t="s">
        <v>1788</v>
      </c>
      <c r="C192" s="72"/>
    </row>
    <row r="193" spans="1:21" ht="15.75" customHeight="1">
      <c r="A193" s="70" t="s">
        <v>11</v>
      </c>
      <c r="B193" s="71" t="s">
        <v>841</v>
      </c>
    </row>
    <row r="194" spans="1:21">
      <c r="A194" s="70" t="s">
        <v>13</v>
      </c>
      <c r="B194" t="s">
        <v>14</v>
      </c>
      <c r="R194" s="143" t="s">
        <v>937</v>
      </c>
    </row>
    <row r="195" spans="1:21">
      <c r="A195" s="70" t="s">
        <v>15</v>
      </c>
      <c r="B195" s="112">
        <f>B200</f>
        <v>0.73</v>
      </c>
      <c r="R195" t="s">
        <v>938</v>
      </c>
      <c r="S195">
        <v>8900</v>
      </c>
      <c r="T195" t="s">
        <v>939</v>
      </c>
    </row>
    <row r="196" spans="1:21">
      <c r="A196" s="70" t="s">
        <v>16</v>
      </c>
      <c r="B196" t="s">
        <v>17</v>
      </c>
      <c r="R196" t="s">
        <v>940</v>
      </c>
      <c r="S196">
        <f>5*10^-6</f>
        <v>4.9999999999999996E-6</v>
      </c>
      <c r="T196" t="s">
        <v>941</v>
      </c>
    </row>
    <row r="197" spans="1:21">
      <c r="A197" s="70" t="s">
        <v>18</v>
      </c>
      <c r="B197" t="s">
        <v>853</v>
      </c>
      <c r="R197" s="141" t="s">
        <v>942</v>
      </c>
      <c r="S197" s="140">
        <f>S196*S195</f>
        <v>4.4499999999999998E-2</v>
      </c>
      <c r="T197" s="139" t="s">
        <v>943</v>
      </c>
    </row>
    <row r="198" spans="1:21" ht="15.6">
      <c r="A198" s="69" t="s">
        <v>19</v>
      </c>
    </row>
    <row r="199" spans="1:21" ht="15.6">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945</v>
      </c>
      <c r="U199" s="129"/>
    </row>
    <row r="200" spans="1:21" ht="15.6">
      <c r="A200" t="s">
        <v>1787</v>
      </c>
      <c r="B200" s="157">
        <v>0.73</v>
      </c>
      <c r="C200" t="s">
        <v>853</v>
      </c>
      <c r="D200" s="110" t="s">
        <v>2</v>
      </c>
      <c r="E200" t="s">
        <v>29</v>
      </c>
      <c r="F200" t="s">
        <v>14</v>
      </c>
      <c r="G200" t="s">
        <v>30</v>
      </c>
      <c r="H200">
        <v>1</v>
      </c>
      <c r="I200">
        <f>B200</f>
        <v>0.73</v>
      </c>
      <c r="J200" t="s">
        <v>31</v>
      </c>
      <c r="K200" t="s">
        <v>31</v>
      </c>
      <c r="L200" t="s">
        <v>31</v>
      </c>
      <c r="M200" t="s">
        <v>31</v>
      </c>
      <c r="O200" s="165" t="s">
        <v>944</v>
      </c>
      <c r="P200" s="142">
        <f>B200*100</f>
        <v>73</v>
      </c>
      <c r="R200" s="137">
        <v>0.82</v>
      </c>
      <c r="S200" s="136" t="s">
        <v>855</v>
      </c>
      <c r="T200" s="137">
        <f>R200*S197</f>
        <v>3.6489999999999995E-2</v>
      </c>
      <c r="U200" s="136" t="s">
        <v>275</v>
      </c>
    </row>
    <row r="201" spans="1:21" ht="15.6">
      <c r="A201" t="s">
        <v>1789</v>
      </c>
      <c r="B201" s="157">
        <v>0.73</v>
      </c>
      <c r="C201" t="s">
        <v>853</v>
      </c>
      <c r="D201" s="110" t="s">
        <v>2</v>
      </c>
      <c r="E201" t="s">
        <v>29</v>
      </c>
      <c r="F201" t="s">
        <v>14</v>
      </c>
      <c r="G201" t="s">
        <v>33</v>
      </c>
      <c r="H201">
        <v>1</v>
      </c>
      <c r="I201">
        <f>B201</f>
        <v>0.73</v>
      </c>
      <c r="J201">
        <v>7.2284161474004766E-2</v>
      </c>
      <c r="K201" t="s">
        <v>31</v>
      </c>
      <c r="L201" t="s">
        <v>31</v>
      </c>
      <c r="M201" t="s">
        <v>31</v>
      </c>
      <c r="O201" s="97" t="s">
        <v>944</v>
      </c>
      <c r="P201" s="107">
        <f>B201*100</f>
        <v>73</v>
      </c>
    </row>
    <row r="202" spans="1:21" ht="15.6">
      <c r="A202" s="58" t="s">
        <v>1744</v>
      </c>
      <c r="B202" s="122">
        <f>T200</f>
        <v>3.6489999999999995E-2</v>
      </c>
      <c r="C202" t="s">
        <v>37</v>
      </c>
      <c r="D202" s="110" t="s">
        <v>2</v>
      </c>
      <c r="E202" t="s">
        <v>29</v>
      </c>
      <c r="F202" s="68" t="s">
        <v>14</v>
      </c>
      <c r="G202" t="s">
        <v>33</v>
      </c>
      <c r="H202">
        <v>1</v>
      </c>
      <c r="I202">
        <f>B202</f>
        <v>3.6489999999999995E-2</v>
      </c>
      <c r="J202">
        <v>7.2284161474004766E-2</v>
      </c>
      <c r="K202" t="s">
        <v>31</v>
      </c>
      <c r="L202" t="s">
        <v>31</v>
      </c>
      <c r="M202" t="s">
        <v>31</v>
      </c>
      <c r="O202" s="58"/>
      <c r="P202" s="114"/>
    </row>
    <row r="203" spans="1:21" ht="15.6">
      <c r="A203" s="67" t="s">
        <v>844</v>
      </c>
      <c r="B203">
        <f>P203</f>
        <v>6.6</v>
      </c>
      <c r="C203" t="s">
        <v>37</v>
      </c>
      <c r="D203" s="17" t="s">
        <v>40</v>
      </c>
      <c r="E203" t="s">
        <v>29</v>
      </c>
      <c r="F203" s="68" t="s">
        <v>74</v>
      </c>
      <c r="G203" t="s">
        <v>33</v>
      </c>
      <c r="H203">
        <v>2</v>
      </c>
      <c r="I203">
        <f>LN(B203)</f>
        <v>1.8870696490323797</v>
      </c>
      <c r="J203">
        <v>7.2284161474004766E-2</v>
      </c>
      <c r="K203" t="s">
        <v>31</v>
      </c>
      <c r="L203" t="s">
        <v>31</v>
      </c>
      <c r="M203" t="s">
        <v>31</v>
      </c>
      <c r="O203" s="97" t="s">
        <v>275</v>
      </c>
      <c r="P203" s="107">
        <v>6.6</v>
      </c>
    </row>
    <row r="204" spans="1:21" ht="15.6">
      <c r="A204" s="84" t="s">
        <v>924</v>
      </c>
      <c r="B204" s="164">
        <f>R204</f>
        <v>2.9999999999999999E-7</v>
      </c>
      <c r="C204" t="s">
        <v>37</v>
      </c>
      <c r="D204" s="17" t="s">
        <v>40</v>
      </c>
      <c r="E204" t="s">
        <v>29</v>
      </c>
      <c r="F204" s="68" t="s">
        <v>59</v>
      </c>
      <c r="G204" t="s">
        <v>33</v>
      </c>
      <c r="H204">
        <v>2</v>
      </c>
      <c r="I204">
        <f>LN(B204)</f>
        <v>-15.01948336229021</v>
      </c>
      <c r="J204">
        <v>7.2284161474004766E-2</v>
      </c>
      <c r="K204" t="s">
        <v>31</v>
      </c>
      <c r="L204" t="s">
        <v>31</v>
      </c>
      <c r="M204" t="s">
        <v>31</v>
      </c>
      <c r="O204" s="128" t="s">
        <v>862</v>
      </c>
      <c r="P204" s="145">
        <v>0.3</v>
      </c>
      <c r="Q204" t="s">
        <v>275</v>
      </c>
      <c r="R204">
        <f>0.000001*P204</f>
        <v>2.9999999999999999E-7</v>
      </c>
    </row>
    <row r="205" spans="1:21" ht="15.6">
      <c r="A205" s="84" t="s">
        <v>76</v>
      </c>
      <c r="B205" s="164">
        <f>R205</f>
        <v>6.6E-3</v>
      </c>
      <c r="C205" t="s">
        <v>42</v>
      </c>
      <c r="D205" s="17" t="s">
        <v>40</v>
      </c>
      <c r="E205" t="s">
        <v>29</v>
      </c>
      <c r="F205" s="68" t="s">
        <v>74</v>
      </c>
      <c r="G205" t="s">
        <v>33</v>
      </c>
      <c r="H205">
        <v>2</v>
      </c>
      <c r="I205">
        <f>LN(B205)</f>
        <v>-5.0206856299497575</v>
      </c>
      <c r="J205">
        <v>7.2284161474004766E-2</v>
      </c>
      <c r="K205" t="s">
        <v>31</v>
      </c>
      <c r="L205" t="s">
        <v>31</v>
      </c>
      <c r="M205" t="s">
        <v>31</v>
      </c>
      <c r="O205" s="124" t="s">
        <v>913</v>
      </c>
      <c r="P205" s="123">
        <v>6.6</v>
      </c>
      <c r="Q205" t="s">
        <v>274</v>
      </c>
      <c r="R205">
        <f>0.001*P205</f>
        <v>6.6E-3</v>
      </c>
    </row>
    <row r="206" spans="1:21" s="73" customFormat="1" ht="15.6">
      <c r="A206" s="76" t="s">
        <v>5</v>
      </c>
      <c r="B206" s="106" t="s">
        <v>1789</v>
      </c>
      <c r="C206" s="74"/>
    </row>
    <row r="207" spans="1:21">
      <c r="A207" s="70" t="s">
        <v>7</v>
      </c>
      <c r="B207" t="s">
        <v>1709</v>
      </c>
      <c r="C207" s="72"/>
    </row>
    <row r="208" spans="1:21">
      <c r="A208" s="113" t="s">
        <v>9</v>
      </c>
      <c r="B208" t="s">
        <v>1790</v>
      </c>
      <c r="C208" s="72"/>
    </row>
    <row r="209" spans="1:19" ht="15.75" customHeight="1">
      <c r="A209" s="70" t="s">
        <v>11</v>
      </c>
      <c r="B209" s="71" t="s">
        <v>841</v>
      </c>
    </row>
    <row r="210" spans="1:19">
      <c r="A210" s="70" t="s">
        <v>13</v>
      </c>
      <c r="B210" t="s">
        <v>14</v>
      </c>
    </row>
    <row r="211" spans="1:19">
      <c r="A211" s="70" t="s">
        <v>15</v>
      </c>
      <c r="B211" s="112">
        <f>B216</f>
        <v>0.73</v>
      </c>
    </row>
    <row r="212" spans="1:19">
      <c r="A212" s="70" t="s">
        <v>16</v>
      </c>
      <c r="B212" t="s">
        <v>17</v>
      </c>
    </row>
    <row r="213" spans="1:19">
      <c r="A213" s="70" t="s">
        <v>18</v>
      </c>
      <c r="B213" t="s">
        <v>853</v>
      </c>
      <c r="S213" s="111"/>
    </row>
    <row r="214" spans="1:19" ht="15.6">
      <c r="A214" s="69" t="s">
        <v>19</v>
      </c>
    </row>
    <row r="215" spans="1:19" ht="15.6">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6">
      <c r="A216" t="s">
        <v>1789</v>
      </c>
      <c r="B216" s="111">
        <f>P216</f>
        <v>0.73</v>
      </c>
      <c r="C216" t="s">
        <v>853</v>
      </c>
      <c r="D216" s="110" t="s">
        <v>2</v>
      </c>
      <c r="E216" t="s">
        <v>29</v>
      </c>
      <c r="F216" t="s">
        <v>14</v>
      </c>
      <c r="G216" t="s">
        <v>30</v>
      </c>
      <c r="H216">
        <v>1</v>
      </c>
      <c r="I216" s="111">
        <f>B216</f>
        <v>0.73</v>
      </c>
      <c r="J216" t="s">
        <v>31</v>
      </c>
      <c r="K216" t="s">
        <v>31</v>
      </c>
      <c r="L216" t="s">
        <v>31</v>
      </c>
      <c r="M216" t="s">
        <v>31</v>
      </c>
      <c r="O216" s="97" t="s">
        <v>855</v>
      </c>
      <c r="P216" s="157">
        <v>0.73</v>
      </c>
    </row>
    <row r="217" spans="1:19" ht="15.6">
      <c r="A217" t="s">
        <v>1747</v>
      </c>
      <c r="B217" s="111">
        <v>5.63</v>
      </c>
      <c r="C217" t="s">
        <v>37</v>
      </c>
      <c r="D217" s="110" t="s">
        <v>2</v>
      </c>
      <c r="E217" t="s">
        <v>29</v>
      </c>
      <c r="F217" t="s">
        <v>14</v>
      </c>
      <c r="G217" t="s">
        <v>33</v>
      </c>
      <c r="H217">
        <v>1</v>
      </c>
      <c r="I217" s="111">
        <f>B217</f>
        <v>5.63</v>
      </c>
      <c r="J217" t="s">
        <v>31</v>
      </c>
      <c r="K217" t="s">
        <v>31</v>
      </c>
      <c r="L217" t="s">
        <v>31</v>
      </c>
      <c r="M217" t="s">
        <v>31</v>
      </c>
      <c r="O217" s="109"/>
      <c r="P217" s="157">
        <v>0.73</v>
      </c>
      <c r="Q217" t="s">
        <v>1791</v>
      </c>
    </row>
    <row r="218" spans="1:19" ht="15.6">
      <c r="A218" s="67" t="s">
        <v>38</v>
      </c>
      <c r="B218" s="115">
        <f>P218</f>
        <v>0.36</v>
      </c>
      <c r="C218" t="s">
        <v>39</v>
      </c>
      <c r="D218" s="17" t="s">
        <v>40</v>
      </c>
      <c r="E218" t="s">
        <v>29</v>
      </c>
      <c r="F218" s="68" t="s">
        <v>35</v>
      </c>
      <c r="G218" t="s">
        <v>33</v>
      </c>
      <c r="H218">
        <v>2</v>
      </c>
      <c r="I218">
        <f>LN(B218)</f>
        <v>-1.0216512475319814</v>
      </c>
      <c r="J218">
        <v>7.2284161474004766E-2</v>
      </c>
      <c r="K218" t="s">
        <v>31</v>
      </c>
      <c r="L218" t="s">
        <v>31</v>
      </c>
      <c r="M218" t="s">
        <v>31</v>
      </c>
      <c r="O218" s="97" t="s">
        <v>271</v>
      </c>
      <c r="P218" s="107">
        <v>0.36</v>
      </c>
    </row>
    <row r="219" spans="1:19" ht="15.6">
      <c r="A219" s="84" t="s">
        <v>491</v>
      </c>
      <c r="B219">
        <f>R219</f>
        <v>9.0000000000000011E-3</v>
      </c>
      <c r="C219" s="111" t="s">
        <v>37</v>
      </c>
      <c r="D219" s="17" t="s">
        <v>40</v>
      </c>
      <c r="E219" t="s">
        <v>29</v>
      </c>
      <c r="F219" t="s">
        <v>59</v>
      </c>
      <c r="G219" t="s">
        <v>33</v>
      </c>
      <c r="H219">
        <v>2</v>
      </c>
      <c r="I219">
        <f>LN(B219)</f>
        <v>-4.7105307016459177</v>
      </c>
      <c r="J219">
        <v>7.2284161474004766E-2</v>
      </c>
      <c r="K219" t="s">
        <v>31</v>
      </c>
      <c r="L219" t="s">
        <v>31</v>
      </c>
      <c r="M219" t="s">
        <v>31</v>
      </c>
      <c r="O219" s="97" t="s">
        <v>857</v>
      </c>
      <c r="P219" s="107">
        <v>9</v>
      </c>
      <c r="Q219" t="s">
        <v>275</v>
      </c>
      <c r="R219">
        <f>P219*0.001</f>
        <v>9.0000000000000011E-3</v>
      </c>
    </row>
    <row r="220" spans="1:19" ht="15.6">
      <c r="A220" s="116" t="s">
        <v>921</v>
      </c>
      <c r="B220">
        <f>R220</f>
        <v>1.6E-2</v>
      </c>
      <c r="C220" t="s">
        <v>37</v>
      </c>
      <c r="D220" s="17" t="s">
        <v>40</v>
      </c>
      <c r="E220" t="s">
        <v>29</v>
      </c>
      <c r="F220" s="68" t="s">
        <v>35</v>
      </c>
      <c r="G220" t="s">
        <v>33</v>
      </c>
      <c r="H220">
        <v>2</v>
      </c>
      <c r="I220">
        <f>LN(B220)</f>
        <v>-4.1351665567423561</v>
      </c>
      <c r="J220">
        <v>7.2284161474004766E-2</v>
      </c>
      <c r="K220" t="s">
        <v>31</v>
      </c>
      <c r="L220" t="s">
        <v>31</v>
      </c>
      <c r="M220" t="s">
        <v>31</v>
      </c>
      <c r="O220" s="97" t="s">
        <v>857</v>
      </c>
      <c r="P220" s="107">
        <v>16</v>
      </c>
      <c r="Q220" t="s">
        <v>275</v>
      </c>
      <c r="R220">
        <f>P220*0.001</f>
        <v>1.6E-2</v>
      </c>
    </row>
    <row r="221" spans="1:19" ht="15.6">
      <c r="A221" s="67" t="s">
        <v>844</v>
      </c>
      <c r="B221">
        <f>R221</f>
        <v>13.9</v>
      </c>
      <c r="C221" t="s">
        <v>37</v>
      </c>
      <c r="D221" s="17" t="s">
        <v>40</v>
      </c>
      <c r="E221" t="s">
        <v>29</v>
      </c>
      <c r="F221" s="68" t="s">
        <v>74</v>
      </c>
      <c r="G221" t="s">
        <v>33</v>
      </c>
      <c r="H221">
        <v>2</v>
      </c>
      <c r="I221">
        <f>LN(B221)</f>
        <v>2.631888840136646</v>
      </c>
      <c r="J221">
        <v>7.2284161474004766E-2</v>
      </c>
      <c r="K221" t="s">
        <v>31</v>
      </c>
      <c r="L221" t="s">
        <v>31</v>
      </c>
      <c r="M221" t="s">
        <v>31</v>
      </c>
      <c r="O221" s="97" t="s">
        <v>275</v>
      </c>
      <c r="P221" s="107">
        <v>13.9</v>
      </c>
      <c r="Q221" t="s">
        <v>275</v>
      </c>
      <c r="R221">
        <f>P221</f>
        <v>13.9</v>
      </c>
    </row>
    <row r="222" spans="1:19" ht="15.6">
      <c r="A222" s="84" t="s">
        <v>76</v>
      </c>
      <c r="B222">
        <f>R222</f>
        <v>1.3900000000000001E-2</v>
      </c>
      <c r="C222" t="s">
        <v>42</v>
      </c>
      <c r="D222" s="17" t="s">
        <v>40</v>
      </c>
      <c r="E222" t="s">
        <v>29</v>
      </c>
      <c r="F222" s="68" t="s">
        <v>74</v>
      </c>
      <c r="G222" t="s">
        <v>33</v>
      </c>
      <c r="H222">
        <v>2</v>
      </c>
      <c r="I222">
        <f>LN(B222)</f>
        <v>-4.2758664388454912</v>
      </c>
      <c r="J222">
        <v>7.2284161474004766E-2</v>
      </c>
      <c r="K222" t="s">
        <v>31</v>
      </c>
      <c r="L222" t="s">
        <v>31</v>
      </c>
      <c r="M222" t="s">
        <v>31</v>
      </c>
      <c r="O222" s="124" t="s">
        <v>913</v>
      </c>
      <c r="P222" s="123">
        <v>13.9</v>
      </c>
      <c r="Q222" t="s">
        <v>274</v>
      </c>
      <c r="R222">
        <f>0.001*P222</f>
        <v>1.3900000000000001E-2</v>
      </c>
    </row>
    <row r="223" spans="1:19" s="73" customFormat="1" ht="15.6">
      <c r="A223" s="76" t="s">
        <v>5</v>
      </c>
      <c r="B223" s="161" t="s">
        <v>1782</v>
      </c>
      <c r="C223" s="74"/>
      <c r="P223"/>
    </row>
    <row r="224" spans="1:19">
      <c r="A224" s="70" t="s">
        <v>7</v>
      </c>
      <c r="B224" t="s">
        <v>1709</v>
      </c>
      <c r="C224" s="72"/>
    </row>
    <row r="225" spans="1:16">
      <c r="A225" s="113" t="s">
        <v>9</v>
      </c>
      <c r="B225" t="s">
        <v>1792</v>
      </c>
      <c r="C225" s="72"/>
    </row>
    <row r="226" spans="1:16" ht="15.75" customHeight="1">
      <c r="A226" s="70" t="s">
        <v>11</v>
      </c>
      <c r="B226" s="71" t="s">
        <v>841</v>
      </c>
    </row>
    <row r="227" spans="1:16">
      <c r="A227" s="70" t="s">
        <v>13</v>
      </c>
      <c r="B227" t="s">
        <v>14</v>
      </c>
    </row>
    <row r="228" spans="1:16">
      <c r="A228" s="70" t="s">
        <v>15</v>
      </c>
      <c r="B228" s="112">
        <f>B233</f>
        <v>1.7999999999999999E-2</v>
      </c>
    </row>
    <row r="229" spans="1:16">
      <c r="A229" s="70" t="s">
        <v>16</v>
      </c>
      <c r="B229" t="s">
        <v>17</v>
      </c>
    </row>
    <row r="230" spans="1:16">
      <c r="A230" s="70" t="s">
        <v>18</v>
      </c>
      <c r="B230" t="s">
        <v>853</v>
      </c>
    </row>
    <row r="231" spans="1:16" ht="15.6">
      <c r="A231" s="69" t="s">
        <v>19</v>
      </c>
    </row>
    <row r="232" spans="1:16" ht="15.6">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6">
      <c r="A233" t="s">
        <v>1782</v>
      </c>
      <c r="B233" s="111">
        <f>P233</f>
        <v>1.7999999999999999E-2</v>
      </c>
      <c r="C233" t="s">
        <v>853</v>
      </c>
      <c r="D233" s="110" t="s">
        <v>2</v>
      </c>
      <c r="E233" t="s">
        <v>29</v>
      </c>
      <c r="F233" s="68" t="s">
        <v>14</v>
      </c>
      <c r="G233" t="s">
        <v>30</v>
      </c>
      <c r="H233">
        <v>1</v>
      </c>
      <c r="I233" s="111">
        <f>B233</f>
        <v>1.7999999999999999E-2</v>
      </c>
      <c r="J233" t="s">
        <v>31</v>
      </c>
      <c r="K233" t="s">
        <v>31</v>
      </c>
      <c r="L233" t="s">
        <v>31</v>
      </c>
      <c r="M233" t="s">
        <v>31</v>
      </c>
      <c r="O233" s="163" t="s">
        <v>873</v>
      </c>
      <c r="P233" s="151">
        <f>P234</f>
        <v>1.7999999999999999E-2</v>
      </c>
    </row>
    <row r="234" spans="1:16" ht="15.6">
      <c r="A234" t="s">
        <v>1793</v>
      </c>
      <c r="B234" s="111">
        <f>B254</f>
        <v>1.7999999999999999E-2</v>
      </c>
      <c r="C234" t="s">
        <v>853</v>
      </c>
      <c r="D234" s="110" t="s">
        <v>2</v>
      </c>
      <c r="E234" t="s">
        <v>29</v>
      </c>
      <c r="F234" s="68" t="s">
        <v>14</v>
      </c>
      <c r="G234" t="s">
        <v>33</v>
      </c>
      <c r="H234">
        <v>1</v>
      </c>
      <c r="I234" s="111">
        <f>B234</f>
        <v>1.7999999999999999E-2</v>
      </c>
      <c r="J234" t="s">
        <v>31</v>
      </c>
      <c r="K234" t="s">
        <v>31</v>
      </c>
      <c r="L234" t="s">
        <v>31</v>
      </c>
      <c r="M234" t="s">
        <v>31</v>
      </c>
      <c r="O234" s="163" t="s">
        <v>873</v>
      </c>
      <c r="P234" s="162">
        <f>B254</f>
        <v>1.7999999999999999E-2</v>
      </c>
    </row>
    <row r="235" spans="1:16" ht="15.6">
      <c r="A235" t="s">
        <v>1794</v>
      </c>
      <c r="B235" s="111">
        <f>B242</f>
        <v>3.1000000000000003E-3</v>
      </c>
      <c r="C235" t="s">
        <v>853</v>
      </c>
      <c r="D235" s="110" t="s">
        <v>2</v>
      </c>
      <c r="E235" t="s">
        <v>29</v>
      </c>
      <c r="F235" s="68" t="s">
        <v>14</v>
      </c>
      <c r="G235" t="s">
        <v>33</v>
      </c>
      <c r="H235">
        <v>1</v>
      </c>
      <c r="I235" s="111">
        <f>B235</f>
        <v>3.1000000000000003E-3</v>
      </c>
      <c r="J235" t="s">
        <v>31</v>
      </c>
      <c r="K235" t="s">
        <v>31</v>
      </c>
      <c r="L235" t="s">
        <v>31</v>
      </c>
      <c r="M235" t="s">
        <v>31</v>
      </c>
      <c r="O235" s="94" t="s">
        <v>873</v>
      </c>
      <c r="P235" s="151">
        <f>B242</f>
        <v>3.1000000000000003E-3</v>
      </c>
    </row>
    <row r="236" spans="1:16" ht="15.6">
      <c r="A236" s="67" t="s">
        <v>38</v>
      </c>
      <c r="B236" s="111">
        <f>P236</f>
        <v>0.43</v>
      </c>
      <c r="C236" t="s">
        <v>39</v>
      </c>
      <c r="D236" s="17" t="s">
        <v>40</v>
      </c>
      <c r="E236" t="s">
        <v>29</v>
      </c>
      <c r="F236" s="68" t="s">
        <v>35</v>
      </c>
      <c r="G236" t="s">
        <v>33</v>
      </c>
      <c r="H236">
        <v>2</v>
      </c>
      <c r="I236">
        <f>LN(B236)</f>
        <v>-0.84397007029452897</v>
      </c>
      <c r="J236">
        <v>0.20928449536456342</v>
      </c>
      <c r="K236" t="s">
        <v>31</v>
      </c>
      <c r="L236" t="s">
        <v>31</v>
      </c>
      <c r="M236" t="s">
        <v>31</v>
      </c>
      <c r="O236" s="97" t="s">
        <v>271</v>
      </c>
      <c r="P236" s="107">
        <v>0.43</v>
      </c>
    </row>
    <row r="237" spans="1:16" s="73" customFormat="1" ht="15.6">
      <c r="A237" s="76" t="s">
        <v>5</v>
      </c>
      <c r="B237" s="161" t="s">
        <v>1794</v>
      </c>
      <c r="C237" s="74"/>
    </row>
    <row r="238" spans="1:16">
      <c r="A238" s="70" t="s">
        <v>7</v>
      </c>
      <c r="B238" t="s">
        <v>1709</v>
      </c>
      <c r="C238" s="72"/>
    </row>
    <row r="239" spans="1:16">
      <c r="A239" s="113" t="s">
        <v>9</v>
      </c>
      <c r="B239" t="s">
        <v>1795</v>
      </c>
      <c r="C239" s="72"/>
    </row>
    <row r="240" spans="1:16" ht="15.75" customHeight="1">
      <c r="A240" s="70" t="s">
        <v>11</v>
      </c>
      <c r="B240" s="71" t="s">
        <v>841</v>
      </c>
    </row>
    <row r="241" spans="1:19">
      <c r="A241" s="70" t="s">
        <v>13</v>
      </c>
      <c r="B241" t="s">
        <v>14</v>
      </c>
    </row>
    <row r="242" spans="1:19">
      <c r="A242" s="70" t="s">
        <v>15</v>
      </c>
      <c r="B242" s="111">
        <f>B247</f>
        <v>3.1000000000000003E-3</v>
      </c>
    </row>
    <row r="243" spans="1:19">
      <c r="A243" s="70" t="s">
        <v>16</v>
      </c>
      <c r="B243" t="s">
        <v>17</v>
      </c>
    </row>
    <row r="244" spans="1:19">
      <c r="A244" s="70" t="s">
        <v>18</v>
      </c>
      <c r="B244" t="s">
        <v>853</v>
      </c>
    </row>
    <row r="245" spans="1:19" ht="15.6">
      <c r="A245" s="69" t="s">
        <v>19</v>
      </c>
    </row>
    <row r="246" spans="1:19" ht="15.6">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6">
      <c r="A247" t="s">
        <v>1794</v>
      </c>
      <c r="B247" s="111">
        <f>S247</f>
        <v>3.1000000000000003E-3</v>
      </c>
      <c r="C247" t="s">
        <v>853</v>
      </c>
      <c r="D247" s="110" t="s">
        <v>2</v>
      </c>
      <c r="E247" t="s">
        <v>29</v>
      </c>
      <c r="F247" s="68" t="s">
        <v>14</v>
      </c>
      <c r="G247" t="s">
        <v>30</v>
      </c>
      <c r="H247">
        <v>1</v>
      </c>
      <c r="I247" s="111">
        <f>B247</f>
        <v>3.1000000000000003E-3</v>
      </c>
      <c r="J247" t="s">
        <v>31</v>
      </c>
      <c r="K247" t="s">
        <v>31</v>
      </c>
      <c r="L247" t="s">
        <v>31</v>
      </c>
      <c r="M247" t="s">
        <v>31</v>
      </c>
      <c r="P247" s="97" t="s">
        <v>1183</v>
      </c>
      <c r="Q247" s="157">
        <v>31</v>
      </c>
      <c r="R247" t="s">
        <v>855</v>
      </c>
      <c r="S247">
        <f>Q247*0.0001</f>
        <v>3.1000000000000003E-3</v>
      </c>
    </row>
    <row r="248" spans="1:19">
      <c r="A248" s="84" t="s">
        <v>1002</v>
      </c>
      <c r="B248" s="111">
        <f>S248</f>
        <v>3.1000000000000003E-3</v>
      </c>
      <c r="C248" t="s">
        <v>853</v>
      </c>
      <c r="D248" t="s">
        <v>40</v>
      </c>
      <c r="E248" t="s">
        <v>29</v>
      </c>
      <c r="F248" t="s">
        <v>59</v>
      </c>
      <c r="G248" t="s">
        <v>33</v>
      </c>
      <c r="H248">
        <v>2</v>
      </c>
      <c r="I248">
        <f>LN(B248)</f>
        <v>-5.7763531674910364</v>
      </c>
      <c r="J248">
        <v>3.7749172176353707E-2</v>
      </c>
      <c r="K248" t="s">
        <v>31</v>
      </c>
      <c r="L248" t="s">
        <v>31</v>
      </c>
      <c r="M248" t="s">
        <v>31</v>
      </c>
      <c r="P248" s="94" t="s">
        <v>1183</v>
      </c>
      <c r="Q248" s="157">
        <v>31</v>
      </c>
      <c r="R248" t="s">
        <v>855</v>
      </c>
      <c r="S248">
        <f>Q248*0.0001</f>
        <v>3.1000000000000003E-3</v>
      </c>
    </row>
    <row r="249" spans="1:19" s="73" customFormat="1" ht="15.6">
      <c r="A249" s="76" t="s">
        <v>5</v>
      </c>
      <c r="B249" s="106" t="s">
        <v>1793</v>
      </c>
    </row>
    <row r="250" spans="1:19">
      <c r="A250" s="70" t="s">
        <v>7</v>
      </c>
      <c r="B250" t="s">
        <v>1709</v>
      </c>
      <c r="C250" s="72"/>
    </row>
    <row r="251" spans="1:19">
      <c r="A251" s="113" t="s">
        <v>9</v>
      </c>
      <c r="B251" t="s">
        <v>1796</v>
      </c>
      <c r="C251" s="72"/>
    </row>
    <row r="252" spans="1:19" ht="15.75" customHeight="1">
      <c r="A252" s="70" t="s">
        <v>11</v>
      </c>
      <c r="B252" s="71" t="s">
        <v>841</v>
      </c>
    </row>
    <row r="253" spans="1:19">
      <c r="A253" s="70" t="s">
        <v>13</v>
      </c>
      <c r="B253" t="s">
        <v>14</v>
      </c>
    </row>
    <row r="254" spans="1:19">
      <c r="A254" s="70" t="s">
        <v>15</v>
      </c>
      <c r="B254" s="111">
        <f>B259</f>
        <v>1.7999999999999999E-2</v>
      </c>
    </row>
    <row r="255" spans="1:19">
      <c r="A255" s="70" t="s">
        <v>16</v>
      </c>
      <c r="B255" t="s">
        <v>17</v>
      </c>
    </row>
    <row r="256" spans="1:19">
      <c r="A256" s="70" t="s">
        <v>18</v>
      </c>
      <c r="B256" t="s">
        <v>853</v>
      </c>
    </row>
    <row r="257" spans="1:18" ht="15.6">
      <c r="A257" s="69" t="s">
        <v>19</v>
      </c>
    </row>
    <row r="258" spans="1:18" ht="15.6">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6">
      <c r="A259" t="s">
        <v>1793</v>
      </c>
      <c r="B259" s="111">
        <f>B260</f>
        <v>1.7999999999999999E-2</v>
      </c>
      <c r="C259" t="s">
        <v>853</v>
      </c>
      <c r="D259" s="110" t="s">
        <v>2</v>
      </c>
      <c r="E259" t="s">
        <v>29</v>
      </c>
      <c r="F259" s="68" t="s">
        <v>14</v>
      </c>
      <c r="G259" t="s">
        <v>30</v>
      </c>
      <c r="H259">
        <v>1</v>
      </c>
      <c r="I259" s="111">
        <f>B259</f>
        <v>1.7999999999999999E-2</v>
      </c>
      <c r="J259" t="s">
        <v>31</v>
      </c>
      <c r="K259" t="s">
        <v>31</v>
      </c>
      <c r="L259" t="s">
        <v>31</v>
      </c>
      <c r="M259" t="s">
        <v>31</v>
      </c>
    </row>
    <row r="260" spans="1:18" ht="15.6">
      <c r="A260" t="s">
        <v>1797</v>
      </c>
      <c r="B260" s="111">
        <f>P260</f>
        <v>1.7999999999999999E-2</v>
      </c>
      <c r="C260" t="s">
        <v>853</v>
      </c>
      <c r="D260" s="110" t="s">
        <v>2</v>
      </c>
      <c r="E260" t="s">
        <v>29</v>
      </c>
      <c r="F260" t="s">
        <v>14</v>
      </c>
      <c r="G260" t="s">
        <v>33</v>
      </c>
      <c r="H260">
        <v>1</v>
      </c>
      <c r="I260" s="111">
        <f>B260</f>
        <v>1.7999999999999999E-2</v>
      </c>
      <c r="J260" t="s">
        <v>31</v>
      </c>
      <c r="K260" t="s">
        <v>31</v>
      </c>
      <c r="L260" t="s">
        <v>31</v>
      </c>
      <c r="M260" t="s">
        <v>31</v>
      </c>
      <c r="P260" s="160">
        <f>P277</f>
        <v>1.7999999999999999E-2</v>
      </c>
    </row>
    <row r="261" spans="1:18" ht="15.6">
      <c r="A261" s="67" t="s">
        <v>38</v>
      </c>
      <c r="B261" s="115">
        <f>R261</f>
        <v>0.16</v>
      </c>
      <c r="C261" t="s">
        <v>39</v>
      </c>
      <c r="D261" s="17" t="s">
        <v>40</v>
      </c>
      <c r="E261" t="s">
        <v>29</v>
      </c>
      <c r="F261" s="68" t="s">
        <v>35</v>
      </c>
      <c r="G261" t="s">
        <v>33</v>
      </c>
      <c r="H261">
        <v>2</v>
      </c>
      <c r="I261">
        <f>LN(B261)</f>
        <v>-1.8325814637483102</v>
      </c>
      <c r="J261">
        <v>0.20928449536456342</v>
      </c>
      <c r="K261" t="s">
        <v>31</v>
      </c>
      <c r="L261" t="s">
        <v>31</v>
      </c>
      <c r="M261" t="s">
        <v>31</v>
      </c>
      <c r="O261" s="80" t="s">
        <v>271</v>
      </c>
      <c r="P261" s="107">
        <v>0.16</v>
      </c>
      <c r="Q261" t="s">
        <v>271</v>
      </c>
      <c r="R261" s="115">
        <f>P261</f>
        <v>0.16</v>
      </c>
    </row>
    <row r="262" spans="1:18" ht="15.6">
      <c r="A262" s="84" t="s">
        <v>843</v>
      </c>
      <c r="B262">
        <f>R262</f>
        <v>5.0000000000000001E-3</v>
      </c>
      <c r="C262" t="s">
        <v>37</v>
      </c>
      <c r="D262" s="17" t="s">
        <v>40</v>
      </c>
      <c r="E262" t="s">
        <v>29</v>
      </c>
      <c r="F262" s="68" t="s">
        <v>35</v>
      </c>
      <c r="G262" t="s">
        <v>33</v>
      </c>
      <c r="H262">
        <v>2</v>
      </c>
      <c r="I262">
        <f>LN(B262)</f>
        <v>-5.2983173665480363</v>
      </c>
      <c r="J262">
        <v>0.20928449536456342</v>
      </c>
      <c r="K262" t="s">
        <v>31</v>
      </c>
      <c r="L262" t="s">
        <v>31</v>
      </c>
      <c r="M262" t="s">
        <v>31</v>
      </c>
      <c r="O262" s="97" t="s">
        <v>857</v>
      </c>
      <c r="P262" s="107">
        <v>5</v>
      </c>
      <c r="Q262" t="s">
        <v>275</v>
      </c>
      <c r="R262">
        <f>0.001*P262</f>
        <v>5.0000000000000001E-3</v>
      </c>
    </row>
    <row r="263" spans="1:18" ht="15.6">
      <c r="A263" s="84" t="s">
        <v>489</v>
      </c>
      <c r="B263">
        <f>R263</f>
        <v>8.0000000000000004E-4</v>
      </c>
      <c r="C263" t="s">
        <v>37</v>
      </c>
      <c r="D263" s="17" t="s">
        <v>40</v>
      </c>
      <c r="E263" t="s">
        <v>29</v>
      </c>
      <c r="F263" s="68" t="s">
        <v>59</v>
      </c>
      <c r="G263" t="s">
        <v>33</v>
      </c>
      <c r="H263">
        <v>2</v>
      </c>
      <c r="I263">
        <f>LN(B263)</f>
        <v>-7.1308988302963465</v>
      </c>
      <c r="J263">
        <v>0.20928449536456342</v>
      </c>
      <c r="K263" t="s">
        <v>31</v>
      </c>
      <c r="L263" t="s">
        <v>31</v>
      </c>
      <c r="M263" t="s">
        <v>31</v>
      </c>
      <c r="O263" s="97" t="s">
        <v>857</v>
      </c>
      <c r="P263" s="107">
        <v>0.8</v>
      </c>
      <c r="Q263" t="s">
        <v>275</v>
      </c>
      <c r="R263">
        <f>0.001*P263</f>
        <v>8.0000000000000004E-4</v>
      </c>
    </row>
    <row r="264" spans="1:18" ht="15.6">
      <c r="A264" s="67" t="s">
        <v>844</v>
      </c>
      <c r="B264">
        <f>R264</f>
        <v>2.4399999999999998E-2</v>
      </c>
      <c r="C264" t="s">
        <v>37</v>
      </c>
      <c r="D264" s="17" t="s">
        <v>40</v>
      </c>
      <c r="E264" t="s">
        <v>29</v>
      </c>
      <c r="F264" s="68" t="s">
        <v>74</v>
      </c>
      <c r="G264" t="s">
        <v>33</v>
      </c>
      <c r="H264">
        <v>2</v>
      </c>
      <c r="I264">
        <f>LN(B264)</f>
        <v>-3.713172146682981</v>
      </c>
      <c r="J264">
        <v>0.20928449536456342</v>
      </c>
      <c r="K264" t="s">
        <v>31</v>
      </c>
      <c r="L264" t="s">
        <v>31</v>
      </c>
      <c r="M264" t="s">
        <v>31</v>
      </c>
      <c r="O264" s="97" t="s">
        <v>857</v>
      </c>
      <c r="P264" s="107">
        <v>24.4</v>
      </c>
      <c r="Q264" t="s">
        <v>275</v>
      </c>
      <c r="R264">
        <f>0.001*P264</f>
        <v>2.4399999999999998E-2</v>
      </c>
    </row>
    <row r="265" spans="1:18" ht="15.6">
      <c r="A265" s="17" t="s">
        <v>1712</v>
      </c>
      <c r="B265">
        <f>R265</f>
        <v>5.7000000000000002E-3</v>
      </c>
      <c r="C265" t="s">
        <v>37</v>
      </c>
      <c r="D265" s="110" t="s">
        <v>2</v>
      </c>
      <c r="E265" t="s">
        <v>29</v>
      </c>
      <c r="F265" s="68" t="s">
        <v>74</v>
      </c>
      <c r="G265" t="s">
        <v>33</v>
      </c>
      <c r="H265">
        <v>2</v>
      </c>
      <c r="I265">
        <f>LN(B265)</f>
        <v>-5.1672891041416324</v>
      </c>
      <c r="J265">
        <v>0.20928449536456342</v>
      </c>
      <c r="K265" t="s">
        <v>31</v>
      </c>
      <c r="L265" t="s">
        <v>31</v>
      </c>
      <c r="M265" t="s">
        <v>31</v>
      </c>
      <c r="O265" s="159" t="s">
        <v>857</v>
      </c>
      <c r="P265" s="123">
        <v>5.7</v>
      </c>
      <c r="Q265" t="s">
        <v>275</v>
      </c>
      <c r="R265">
        <f>0.001*P265</f>
        <v>5.7000000000000002E-3</v>
      </c>
    </row>
    <row r="266" spans="1:18" s="73" customFormat="1" ht="15.6">
      <c r="A266" s="76" t="s">
        <v>5</v>
      </c>
      <c r="B266" s="106" t="s">
        <v>1797</v>
      </c>
    </row>
    <row r="267" spans="1:18">
      <c r="A267" s="70" t="s">
        <v>7</v>
      </c>
      <c r="B267" t="s">
        <v>1709</v>
      </c>
      <c r="C267" s="72"/>
    </row>
    <row r="268" spans="1:18">
      <c r="A268" s="113" t="s">
        <v>9</v>
      </c>
      <c r="B268" t="s">
        <v>1798</v>
      </c>
      <c r="C268" s="72"/>
    </row>
    <row r="269" spans="1:18" ht="15.75" customHeight="1">
      <c r="A269" s="70" t="s">
        <v>11</v>
      </c>
      <c r="B269" s="71" t="s">
        <v>841</v>
      </c>
    </row>
    <row r="270" spans="1:18">
      <c r="A270" s="70" t="s">
        <v>13</v>
      </c>
      <c r="B270" t="s">
        <v>14</v>
      </c>
    </row>
    <row r="271" spans="1:18">
      <c r="A271" s="70" t="s">
        <v>15</v>
      </c>
      <c r="B271" s="111">
        <f>B276</f>
        <v>1.7999999999999999E-2</v>
      </c>
    </row>
    <row r="272" spans="1:18">
      <c r="A272" s="70" t="s">
        <v>16</v>
      </c>
      <c r="B272" t="s">
        <v>17</v>
      </c>
    </row>
    <row r="273" spans="1:18">
      <c r="A273" s="70" t="s">
        <v>18</v>
      </c>
      <c r="B273" t="s">
        <v>853</v>
      </c>
    </row>
    <row r="274" spans="1:18" ht="15.6">
      <c r="A274" s="69" t="s">
        <v>19</v>
      </c>
    </row>
    <row r="275" spans="1:18" ht="15.6">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6">
      <c r="A276" t="s">
        <v>1797</v>
      </c>
      <c r="B276" s="111">
        <f>P277</f>
        <v>1.7999999999999999E-2</v>
      </c>
      <c r="C276" t="s">
        <v>853</v>
      </c>
      <c r="D276" s="110" t="s">
        <v>2</v>
      </c>
      <c r="E276" t="s">
        <v>29</v>
      </c>
      <c r="F276" t="s">
        <v>14</v>
      </c>
      <c r="G276" t="s">
        <v>30</v>
      </c>
      <c r="H276">
        <v>1</v>
      </c>
      <c r="I276" s="111">
        <f>B276</f>
        <v>1.7999999999999999E-2</v>
      </c>
      <c r="J276" t="s">
        <v>31</v>
      </c>
      <c r="K276" t="s">
        <v>31</v>
      </c>
      <c r="L276" t="s">
        <v>31</v>
      </c>
      <c r="M276" t="s">
        <v>31</v>
      </c>
    </row>
    <row r="277" spans="1:18" ht="15.6">
      <c r="A277" t="s">
        <v>1799</v>
      </c>
      <c r="B277" s="111">
        <f>P277</f>
        <v>1.7999999999999999E-2</v>
      </c>
      <c r="C277" t="s">
        <v>853</v>
      </c>
      <c r="D277" s="110" t="s">
        <v>2</v>
      </c>
      <c r="E277" t="s">
        <v>29</v>
      </c>
      <c r="F277" t="s">
        <v>14</v>
      </c>
      <c r="G277" t="s">
        <v>33</v>
      </c>
      <c r="H277">
        <v>1</v>
      </c>
      <c r="I277" s="111">
        <f>B277</f>
        <v>1.7999999999999999E-2</v>
      </c>
      <c r="J277" t="s">
        <v>31</v>
      </c>
      <c r="K277" t="s">
        <v>31</v>
      </c>
      <c r="L277" t="s">
        <v>31</v>
      </c>
      <c r="M277" t="s">
        <v>31</v>
      </c>
      <c r="P277" s="151">
        <v>1.7999999999999999E-2</v>
      </c>
    </row>
    <row r="278" spans="1:18" ht="15.6">
      <c r="A278" s="67" t="s">
        <v>38</v>
      </c>
      <c r="B278" s="115">
        <f>P278</f>
        <v>3.4400000000000004</v>
      </c>
      <c r="C278" t="s">
        <v>39</v>
      </c>
      <c r="D278" s="17" t="s">
        <v>40</v>
      </c>
      <c r="E278" t="s">
        <v>29</v>
      </c>
      <c r="F278" s="68" t="s">
        <v>35</v>
      </c>
      <c r="G278" t="s">
        <v>33</v>
      </c>
      <c r="H278">
        <v>2</v>
      </c>
      <c r="I278">
        <f>LN(B278)</f>
        <v>1.235471471385307</v>
      </c>
      <c r="J278">
        <v>0.20928449536456342</v>
      </c>
      <c r="K278" t="s">
        <v>31</v>
      </c>
      <c r="L278" t="s">
        <v>31</v>
      </c>
      <c r="M278" t="s">
        <v>31</v>
      </c>
      <c r="O278" s="97" t="s">
        <v>271</v>
      </c>
      <c r="P278" s="107">
        <f>2.37+1.07</f>
        <v>3.4400000000000004</v>
      </c>
    </row>
    <row r="279" spans="1:18" ht="15.6">
      <c r="A279" s="67" t="s">
        <v>844</v>
      </c>
      <c r="B279" s="115">
        <f>R279</f>
        <v>6.9000000000000008E-3</v>
      </c>
      <c r="C279" t="s">
        <v>37</v>
      </c>
      <c r="D279" s="17" t="s">
        <v>40</v>
      </c>
      <c r="E279" t="s">
        <v>29</v>
      </c>
      <c r="F279" s="68" t="s">
        <v>74</v>
      </c>
      <c r="G279" t="s">
        <v>33</v>
      </c>
      <c r="H279">
        <v>2</v>
      </c>
      <c r="I279">
        <f>LN(B279)</f>
        <v>-4.976233867378923</v>
      </c>
      <c r="J279">
        <v>0.20928449536456342</v>
      </c>
      <c r="K279" t="s">
        <v>31</v>
      </c>
      <c r="L279" t="s">
        <v>31</v>
      </c>
      <c r="M279" t="s">
        <v>31</v>
      </c>
      <c r="O279" s="97" t="s">
        <v>857</v>
      </c>
      <c r="P279" s="107">
        <v>6.9</v>
      </c>
      <c r="Q279" t="s">
        <v>275</v>
      </c>
      <c r="R279">
        <f>P279*0.001</f>
        <v>6.9000000000000008E-3</v>
      </c>
    </row>
    <row r="280" spans="1:18">
      <c r="A280" s="84" t="s">
        <v>987</v>
      </c>
      <c r="B280" s="115">
        <f>R280</f>
        <v>8.4000000000000012E-3</v>
      </c>
      <c r="C280" t="s">
        <v>37</v>
      </c>
      <c r="D280" t="s">
        <v>40</v>
      </c>
      <c r="E280" t="s">
        <v>29</v>
      </c>
      <c r="F280" t="s">
        <v>35</v>
      </c>
      <c r="G280" t="s">
        <v>33</v>
      </c>
      <c r="H280">
        <v>2</v>
      </c>
      <c r="I280">
        <f>LN(B280)</f>
        <v>-4.7795235731328694</v>
      </c>
      <c r="J280">
        <v>0.20928449536456342</v>
      </c>
      <c r="K280" t="s">
        <v>31</v>
      </c>
      <c r="L280" t="s">
        <v>31</v>
      </c>
      <c r="M280" t="s">
        <v>31</v>
      </c>
      <c r="O280" s="97" t="s">
        <v>857</v>
      </c>
      <c r="P280" s="107">
        <v>8.4</v>
      </c>
      <c r="Q280" t="s">
        <v>275</v>
      </c>
      <c r="R280">
        <f>P280*0.001</f>
        <v>8.4000000000000012E-3</v>
      </c>
    </row>
    <row r="281" spans="1:18" ht="15.6">
      <c r="A281" s="17" t="s">
        <v>1712</v>
      </c>
      <c r="B281" s="115">
        <f>R281</f>
        <v>8.4000000000000012E-3</v>
      </c>
      <c r="C281" t="s">
        <v>37</v>
      </c>
      <c r="D281" s="110" t="s">
        <v>2</v>
      </c>
      <c r="E281" t="s">
        <v>29</v>
      </c>
      <c r="F281" s="68" t="s">
        <v>74</v>
      </c>
      <c r="G281" t="s">
        <v>33</v>
      </c>
      <c r="H281">
        <v>2</v>
      </c>
      <c r="I281">
        <f>LN(B281)</f>
        <v>-4.7795235731328694</v>
      </c>
      <c r="J281">
        <v>0.20928449536456342</v>
      </c>
      <c r="K281" t="s">
        <v>31</v>
      </c>
      <c r="L281" t="s">
        <v>31</v>
      </c>
      <c r="M281" t="s">
        <v>31</v>
      </c>
      <c r="O281" s="159" t="s">
        <v>857</v>
      </c>
      <c r="P281" s="123">
        <v>8.4</v>
      </c>
      <c r="Q281" t="s">
        <v>275</v>
      </c>
      <c r="R281">
        <f>0.001*P281</f>
        <v>8.4000000000000012E-3</v>
      </c>
    </row>
    <row r="282" spans="1:18" s="73" customFormat="1" ht="15.6">
      <c r="A282" s="76" t="s">
        <v>5</v>
      </c>
      <c r="B282" s="106" t="s">
        <v>1799</v>
      </c>
    </row>
    <row r="283" spans="1:18">
      <c r="A283" s="70" t="s">
        <v>7</v>
      </c>
      <c r="B283" t="s">
        <v>1709</v>
      </c>
      <c r="C283" s="72"/>
    </row>
    <row r="284" spans="1:18">
      <c r="A284" s="113" t="s">
        <v>9</v>
      </c>
      <c r="B284" t="s">
        <v>1800</v>
      </c>
      <c r="C284" s="72"/>
    </row>
    <row r="285" spans="1:18" ht="15.75" customHeight="1">
      <c r="A285" s="70" t="s">
        <v>11</v>
      </c>
      <c r="B285" s="71" t="s">
        <v>841</v>
      </c>
    </row>
    <row r="286" spans="1:18">
      <c r="A286" s="70" t="s">
        <v>13</v>
      </c>
      <c r="B286" t="s">
        <v>14</v>
      </c>
    </row>
    <row r="287" spans="1:18">
      <c r="A287" s="70" t="s">
        <v>15</v>
      </c>
      <c r="B287" s="111">
        <f>B292</f>
        <v>0.03</v>
      </c>
    </row>
    <row r="288" spans="1:18">
      <c r="A288" s="70" t="s">
        <v>16</v>
      </c>
      <c r="B288" t="s">
        <v>17</v>
      </c>
      <c r="R288" s="143" t="s">
        <v>937</v>
      </c>
    </row>
    <row r="289" spans="1:21">
      <c r="A289" s="70" t="s">
        <v>18</v>
      </c>
      <c r="B289" t="s">
        <v>853</v>
      </c>
      <c r="R289" t="s">
        <v>938</v>
      </c>
      <c r="S289">
        <v>8900</v>
      </c>
      <c r="T289" t="s">
        <v>939</v>
      </c>
    </row>
    <row r="290" spans="1:21" ht="15.6">
      <c r="A290" s="69" t="s">
        <v>19</v>
      </c>
      <c r="R290" t="s">
        <v>940</v>
      </c>
      <c r="S290">
        <f>5*10^-6</f>
        <v>4.9999999999999996E-6</v>
      </c>
      <c r="T290" t="s">
        <v>941</v>
      </c>
    </row>
    <row r="291" spans="1:21" ht="15.6">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41" t="s">
        <v>942</v>
      </c>
      <c r="S291" s="140">
        <f>S290*S289</f>
        <v>4.4499999999999998E-2</v>
      </c>
      <c r="T291" s="139" t="s">
        <v>943</v>
      </c>
    </row>
    <row r="292" spans="1:21" ht="15.6">
      <c r="A292" t="s">
        <v>1799</v>
      </c>
      <c r="B292" s="111">
        <v>0.03</v>
      </c>
      <c r="C292" t="s">
        <v>853</v>
      </c>
      <c r="D292" s="110" t="s">
        <v>2</v>
      </c>
      <c r="E292" t="s">
        <v>29</v>
      </c>
      <c r="F292" t="s">
        <v>14</v>
      </c>
      <c r="G292" t="s">
        <v>30</v>
      </c>
      <c r="H292">
        <v>1</v>
      </c>
      <c r="I292" s="111">
        <f>B292</f>
        <v>0.03</v>
      </c>
      <c r="J292" t="s">
        <v>31</v>
      </c>
      <c r="K292" t="s">
        <v>31</v>
      </c>
      <c r="L292" t="s">
        <v>31</v>
      </c>
      <c r="M292" t="s">
        <v>31</v>
      </c>
      <c r="O292" s="97" t="s">
        <v>944</v>
      </c>
      <c r="P292" s="107">
        <f>B292*100</f>
        <v>3</v>
      </c>
    </row>
    <row r="293" spans="1:21" ht="15.6">
      <c r="A293" t="s">
        <v>1801</v>
      </c>
      <c r="B293" s="111">
        <v>0.03</v>
      </c>
      <c r="C293" t="s">
        <v>853</v>
      </c>
      <c r="D293" s="110" t="s">
        <v>2</v>
      </c>
      <c r="E293" t="s">
        <v>29</v>
      </c>
      <c r="F293" t="s">
        <v>14</v>
      </c>
      <c r="G293" t="s">
        <v>33</v>
      </c>
      <c r="H293">
        <v>1</v>
      </c>
      <c r="I293" s="111">
        <f>B293</f>
        <v>0.03</v>
      </c>
      <c r="J293">
        <v>7.2284161474004766E-2</v>
      </c>
      <c r="K293" t="s">
        <v>31</v>
      </c>
      <c r="L293" t="s">
        <v>31</v>
      </c>
      <c r="M293" t="s">
        <v>31</v>
      </c>
      <c r="O293" s="97" t="s">
        <v>944</v>
      </c>
      <c r="P293" s="107">
        <f>B293*100</f>
        <v>3</v>
      </c>
      <c r="R293" t="s">
        <v>945</v>
      </c>
      <c r="U293" s="129"/>
    </row>
    <row r="294" spans="1:21" ht="15.6">
      <c r="A294" s="58" t="s">
        <v>1744</v>
      </c>
      <c r="B294" s="122">
        <f>R294</f>
        <v>0.82</v>
      </c>
      <c r="C294" t="s">
        <v>37</v>
      </c>
      <c r="D294" s="110" t="s">
        <v>2</v>
      </c>
      <c r="E294" t="s">
        <v>29</v>
      </c>
      <c r="F294" s="68" t="s">
        <v>14</v>
      </c>
      <c r="G294" t="s">
        <v>33</v>
      </c>
      <c r="H294">
        <v>1</v>
      </c>
      <c r="I294" s="111">
        <f>B294</f>
        <v>0.82</v>
      </c>
      <c r="J294">
        <v>7.2284161474004766E-2</v>
      </c>
      <c r="K294" t="s">
        <v>31</v>
      </c>
      <c r="L294" t="s">
        <v>31</v>
      </c>
      <c r="M294" t="s">
        <v>31</v>
      </c>
      <c r="O294" s="109"/>
      <c r="P294" s="108"/>
      <c r="R294" s="137">
        <v>0.82</v>
      </c>
      <c r="S294" s="136" t="s">
        <v>855</v>
      </c>
      <c r="T294" s="137">
        <f>R294*S291</f>
        <v>3.6489999999999995E-2</v>
      </c>
      <c r="U294" s="136" t="s">
        <v>275</v>
      </c>
    </row>
    <row r="295" spans="1:21" ht="15.6">
      <c r="A295" s="67" t="s">
        <v>844</v>
      </c>
      <c r="B295">
        <f>P295</f>
        <v>6.6</v>
      </c>
      <c r="C295" t="s">
        <v>37</v>
      </c>
      <c r="D295" s="17" t="s">
        <v>40</v>
      </c>
      <c r="E295" t="s">
        <v>29</v>
      </c>
      <c r="F295" s="68" t="s">
        <v>74</v>
      </c>
      <c r="G295" t="s">
        <v>33</v>
      </c>
      <c r="H295">
        <v>2</v>
      </c>
      <c r="I295">
        <f>LN(B295)</f>
        <v>1.8870696490323797</v>
      </c>
      <c r="J295">
        <v>7.2284161474004766E-2</v>
      </c>
      <c r="K295" t="s">
        <v>31</v>
      </c>
      <c r="L295" t="s">
        <v>31</v>
      </c>
      <c r="M295" t="s">
        <v>31</v>
      </c>
      <c r="O295" s="97" t="s">
        <v>275</v>
      </c>
      <c r="P295" s="107">
        <v>6.6</v>
      </c>
    </row>
    <row r="296" spans="1:21" ht="15.6">
      <c r="A296" s="84" t="s">
        <v>924</v>
      </c>
      <c r="B296" s="115">
        <f>R296</f>
        <v>2.9999999999999999E-7</v>
      </c>
      <c r="C296" t="s">
        <v>37</v>
      </c>
      <c r="D296" s="17" t="s">
        <v>40</v>
      </c>
      <c r="E296" t="s">
        <v>29</v>
      </c>
      <c r="F296" s="68" t="s">
        <v>59</v>
      </c>
      <c r="G296" t="s">
        <v>33</v>
      </c>
      <c r="H296">
        <v>2</v>
      </c>
      <c r="I296">
        <f>LN(B296)</f>
        <v>-15.01948336229021</v>
      </c>
      <c r="J296">
        <v>7.2284161474004766E-2</v>
      </c>
      <c r="K296" t="s">
        <v>31</v>
      </c>
      <c r="L296" t="s">
        <v>31</v>
      </c>
      <c r="M296" t="s">
        <v>31</v>
      </c>
      <c r="O296" s="128" t="s">
        <v>862</v>
      </c>
      <c r="P296" s="145">
        <v>0.3</v>
      </c>
      <c r="Q296" s="97" t="s">
        <v>275</v>
      </c>
      <c r="R296">
        <f>P296*0.000001</f>
        <v>2.9999999999999999E-7</v>
      </c>
    </row>
    <row r="297" spans="1:21" ht="15.6">
      <c r="A297" s="84" t="s">
        <v>76</v>
      </c>
      <c r="B297">
        <f>R297</f>
        <v>6.6E-3</v>
      </c>
      <c r="C297" t="s">
        <v>42</v>
      </c>
      <c r="D297" s="17" t="s">
        <v>40</v>
      </c>
      <c r="E297" t="s">
        <v>29</v>
      </c>
      <c r="F297" s="68" t="s">
        <v>74</v>
      </c>
      <c r="G297" t="s">
        <v>33</v>
      </c>
      <c r="H297">
        <v>2</v>
      </c>
      <c r="I297">
        <f>LN(B297)</f>
        <v>-5.0206856299497575</v>
      </c>
      <c r="J297">
        <v>7.2284161474004766E-2</v>
      </c>
      <c r="K297" t="s">
        <v>31</v>
      </c>
      <c r="L297" t="s">
        <v>31</v>
      </c>
      <c r="M297" t="s">
        <v>31</v>
      </c>
      <c r="O297" s="124" t="s">
        <v>913</v>
      </c>
      <c r="P297" s="123">
        <v>6.6</v>
      </c>
      <c r="Q297" t="s">
        <v>274</v>
      </c>
      <c r="R297">
        <f>P297*0.001</f>
        <v>6.6E-3</v>
      </c>
    </row>
    <row r="298" spans="1:21" s="73" customFormat="1" ht="15.6">
      <c r="A298" s="76" t="s">
        <v>5</v>
      </c>
      <c r="B298" s="106" t="s">
        <v>1801</v>
      </c>
    </row>
    <row r="299" spans="1:21">
      <c r="A299" s="70" t="s">
        <v>7</v>
      </c>
      <c r="B299" t="s">
        <v>1709</v>
      </c>
      <c r="C299" s="72"/>
    </row>
    <row r="300" spans="1:21">
      <c r="A300" s="113" t="s">
        <v>9</v>
      </c>
      <c r="B300" t="s">
        <v>1802</v>
      </c>
      <c r="C300" s="72"/>
    </row>
    <row r="301" spans="1:21" ht="15.75" customHeight="1">
      <c r="A301" s="70" t="s">
        <v>11</v>
      </c>
      <c r="B301" s="71" t="s">
        <v>841</v>
      </c>
    </row>
    <row r="302" spans="1:21">
      <c r="A302" s="70" t="s">
        <v>13</v>
      </c>
      <c r="B302" t="s">
        <v>14</v>
      </c>
    </row>
    <row r="303" spans="1:21">
      <c r="A303" s="70" t="s">
        <v>15</v>
      </c>
      <c r="B303" s="111">
        <f>B308</f>
        <v>1.7999999999999999E-2</v>
      </c>
    </row>
    <row r="304" spans="1:21">
      <c r="A304" s="70" t="s">
        <v>16</v>
      </c>
      <c r="B304" t="s">
        <v>17</v>
      </c>
    </row>
    <row r="305" spans="1:20">
      <c r="A305" s="70" t="s">
        <v>18</v>
      </c>
      <c r="B305" t="s">
        <v>853</v>
      </c>
    </row>
    <row r="306" spans="1:20" ht="15.6">
      <c r="A306" s="69" t="s">
        <v>19</v>
      </c>
    </row>
    <row r="307" spans="1:20" ht="15.6">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1"/>
    </row>
    <row r="308" spans="1:20" ht="15.6">
      <c r="A308" t="s">
        <v>1801</v>
      </c>
      <c r="B308" s="111">
        <f t="shared" ref="B308:B318" si="0">P308</f>
        <v>1.7999999999999999E-2</v>
      </c>
      <c r="C308" t="s">
        <v>853</v>
      </c>
      <c r="D308" s="110" t="s">
        <v>2</v>
      </c>
      <c r="E308" t="s">
        <v>29</v>
      </c>
      <c r="F308" t="s">
        <v>14</v>
      </c>
      <c r="G308" t="s">
        <v>30</v>
      </c>
      <c r="H308">
        <v>1</v>
      </c>
      <c r="I308" s="111">
        <f>B308</f>
        <v>1.7999999999999999E-2</v>
      </c>
      <c r="J308" t="s">
        <v>31</v>
      </c>
      <c r="K308" t="s">
        <v>31</v>
      </c>
      <c r="L308" t="s">
        <v>31</v>
      </c>
      <c r="M308" t="s">
        <v>31</v>
      </c>
      <c r="P308" s="158">
        <v>1.7999999999999999E-2</v>
      </c>
    </row>
    <row r="309" spans="1:20" ht="15.6">
      <c r="A309" t="s">
        <v>1803</v>
      </c>
      <c r="B309" s="111">
        <f t="shared" si="0"/>
        <v>1.7999999999999999E-2</v>
      </c>
      <c r="C309" t="s">
        <v>853</v>
      </c>
      <c r="D309" s="110" t="s">
        <v>2</v>
      </c>
      <c r="E309" t="s">
        <v>29</v>
      </c>
      <c r="F309" t="s">
        <v>14</v>
      </c>
      <c r="G309" t="s">
        <v>33</v>
      </c>
      <c r="H309">
        <v>1</v>
      </c>
      <c r="I309" s="111">
        <f>B309</f>
        <v>1.7999999999999999E-2</v>
      </c>
      <c r="J309" t="s">
        <v>31</v>
      </c>
      <c r="K309" t="s">
        <v>31</v>
      </c>
      <c r="L309" t="s">
        <v>31</v>
      </c>
      <c r="M309" t="s">
        <v>31</v>
      </c>
      <c r="P309" s="158">
        <v>1.7999999999999999E-2</v>
      </c>
    </row>
    <row r="310" spans="1:20" ht="15.6">
      <c r="A310" s="67" t="s">
        <v>38</v>
      </c>
      <c r="B310" s="115">
        <f t="shared" si="0"/>
        <v>0.23</v>
      </c>
      <c r="C310" t="s">
        <v>39</v>
      </c>
      <c r="D310" s="17" t="s">
        <v>40</v>
      </c>
      <c r="E310" t="s">
        <v>29</v>
      </c>
      <c r="F310" s="68" t="s">
        <v>35</v>
      </c>
      <c r="G310" t="s">
        <v>33</v>
      </c>
      <c r="H310">
        <v>2</v>
      </c>
      <c r="I310">
        <f t="shared" ref="I310:I318" si="1">LN(B310)</f>
        <v>-1.4696759700589417</v>
      </c>
      <c r="J310">
        <v>0.22500000000000006</v>
      </c>
      <c r="K310" t="s">
        <v>31</v>
      </c>
      <c r="L310" t="s">
        <v>31</v>
      </c>
      <c r="M310" t="s">
        <v>31</v>
      </c>
      <c r="O310" s="97" t="s">
        <v>271</v>
      </c>
      <c r="P310" s="107">
        <v>0.23</v>
      </c>
    </row>
    <row r="311" spans="1:20">
      <c r="A311" s="84" t="s">
        <v>731</v>
      </c>
      <c r="B311" s="111">
        <f t="shared" si="0"/>
        <v>1.0699999999999999E-2</v>
      </c>
      <c r="C311" t="s">
        <v>37</v>
      </c>
      <c r="D311" t="s">
        <v>40</v>
      </c>
      <c r="E311" t="s">
        <v>29</v>
      </c>
      <c r="F311" t="s">
        <v>35</v>
      </c>
      <c r="G311" t="s">
        <v>33</v>
      </c>
      <c r="H311">
        <v>2</v>
      </c>
      <c r="I311">
        <f t="shared" si="1"/>
        <v>-4.5375115375142769</v>
      </c>
      <c r="J311">
        <v>0.22500000000000006</v>
      </c>
      <c r="K311" t="s">
        <v>31</v>
      </c>
      <c r="L311" t="s">
        <v>31</v>
      </c>
      <c r="M311" t="s">
        <v>31</v>
      </c>
      <c r="O311" s="97" t="s">
        <v>275</v>
      </c>
      <c r="P311" s="153">
        <v>1.0699999999999999E-2</v>
      </c>
    </row>
    <row r="312" spans="1:20">
      <c r="A312" t="s">
        <v>1012</v>
      </c>
      <c r="B312" s="111">
        <f t="shared" si="0"/>
        <v>2.3300000000000001E-2</v>
      </c>
      <c r="C312" t="s">
        <v>37</v>
      </c>
      <c r="D312" t="s">
        <v>40</v>
      </c>
      <c r="E312" t="s">
        <v>29</v>
      </c>
      <c r="F312" t="s">
        <v>59</v>
      </c>
      <c r="G312" t="s">
        <v>33</v>
      </c>
      <c r="H312">
        <v>2</v>
      </c>
      <c r="I312">
        <f t="shared" si="1"/>
        <v>-3.7593019184104821</v>
      </c>
      <c r="J312">
        <v>0.22500000000000006</v>
      </c>
      <c r="K312" t="s">
        <v>31</v>
      </c>
      <c r="L312" t="s">
        <v>31</v>
      </c>
      <c r="M312" t="s">
        <v>31</v>
      </c>
      <c r="O312" s="97" t="s">
        <v>275</v>
      </c>
      <c r="P312" s="153">
        <v>2.3300000000000001E-2</v>
      </c>
    </row>
    <row r="313" spans="1:20">
      <c r="A313" s="84" t="s">
        <v>987</v>
      </c>
      <c r="B313" s="111">
        <f t="shared" si="0"/>
        <v>1.0699999999999999E-2</v>
      </c>
      <c r="C313" t="s">
        <v>37</v>
      </c>
      <c r="D313" t="s">
        <v>40</v>
      </c>
      <c r="E313" t="s">
        <v>29</v>
      </c>
      <c r="F313" t="s">
        <v>35</v>
      </c>
      <c r="G313" t="s">
        <v>33</v>
      </c>
      <c r="H313">
        <v>2</v>
      </c>
      <c r="I313">
        <f t="shared" si="1"/>
        <v>-4.5375115375142769</v>
      </c>
      <c r="J313">
        <v>0.22500000000000006</v>
      </c>
      <c r="K313" t="s">
        <v>31</v>
      </c>
      <c r="L313" t="s">
        <v>31</v>
      </c>
      <c r="M313" t="s">
        <v>31</v>
      </c>
      <c r="O313" s="97" t="s">
        <v>275</v>
      </c>
      <c r="P313" s="153">
        <v>1.0699999999999999E-2</v>
      </c>
    </row>
    <row r="314" spans="1:20">
      <c r="A314" s="84" t="s">
        <v>1013</v>
      </c>
      <c r="B314" s="111">
        <f t="shared" si="0"/>
        <v>8.0999999999999996E-3</v>
      </c>
      <c r="C314" t="s">
        <v>37</v>
      </c>
      <c r="D314" t="s">
        <v>40</v>
      </c>
      <c r="E314" t="s">
        <v>29</v>
      </c>
      <c r="F314" t="s">
        <v>59</v>
      </c>
      <c r="G314" t="s">
        <v>33</v>
      </c>
      <c r="H314">
        <v>2</v>
      </c>
      <c r="I314">
        <f t="shared" si="1"/>
        <v>-4.8158912173037436</v>
      </c>
      <c r="J314">
        <v>0.22500000000000006</v>
      </c>
      <c r="K314" t="s">
        <v>31</v>
      </c>
      <c r="L314" t="s">
        <v>31</v>
      </c>
      <c r="M314" t="s">
        <v>31</v>
      </c>
      <c r="O314" s="97" t="s">
        <v>275</v>
      </c>
      <c r="P314" s="153">
        <v>8.0999999999999996E-3</v>
      </c>
    </row>
    <row r="315" spans="1:20">
      <c r="A315" s="84" t="s">
        <v>1014</v>
      </c>
      <c r="B315" s="111">
        <f t="shared" si="0"/>
        <v>2.3300000000000001E-2</v>
      </c>
      <c r="C315" t="s">
        <v>37</v>
      </c>
      <c r="D315" t="s">
        <v>40</v>
      </c>
      <c r="E315" t="s">
        <v>29</v>
      </c>
      <c r="F315" t="s">
        <v>59</v>
      </c>
      <c r="G315" t="s">
        <v>33</v>
      </c>
      <c r="H315">
        <v>2</v>
      </c>
      <c r="I315">
        <f t="shared" si="1"/>
        <v>-3.7593019184104821</v>
      </c>
      <c r="J315">
        <v>0.22500000000000006</v>
      </c>
      <c r="K315" t="s">
        <v>31</v>
      </c>
      <c r="L315" t="s">
        <v>31</v>
      </c>
      <c r="M315" t="s">
        <v>31</v>
      </c>
      <c r="O315" s="97" t="s">
        <v>275</v>
      </c>
      <c r="P315" s="153">
        <v>2.3300000000000001E-2</v>
      </c>
    </row>
    <row r="316" spans="1:20" ht="15.6">
      <c r="A316" s="67" t="s">
        <v>844</v>
      </c>
      <c r="B316" s="111">
        <f t="shared" si="0"/>
        <v>0.42899999999999999</v>
      </c>
      <c r="C316" t="s">
        <v>37</v>
      </c>
      <c r="D316" s="17" t="s">
        <v>40</v>
      </c>
      <c r="E316" t="s">
        <v>29</v>
      </c>
      <c r="F316" s="68" t="s">
        <v>74</v>
      </c>
      <c r="G316" t="s">
        <v>33</v>
      </c>
      <c r="H316">
        <v>2</v>
      </c>
      <c r="I316">
        <f t="shared" si="1"/>
        <v>-0.84629836005412007</v>
      </c>
      <c r="J316">
        <v>0.22500000000000006</v>
      </c>
      <c r="K316" t="s">
        <v>31</v>
      </c>
      <c r="L316" t="s">
        <v>31</v>
      </c>
      <c r="M316" t="s">
        <v>31</v>
      </c>
      <c r="O316" s="97" t="s">
        <v>275</v>
      </c>
      <c r="P316" s="153">
        <v>0.42899999999999999</v>
      </c>
    </row>
    <row r="317" spans="1:20">
      <c r="A317" s="84" t="s">
        <v>807</v>
      </c>
      <c r="B317" s="111">
        <f t="shared" si="0"/>
        <v>4.1000000000000003E-3</v>
      </c>
      <c r="C317" t="s">
        <v>37</v>
      </c>
      <c r="D317" t="s">
        <v>43</v>
      </c>
      <c r="E317" t="s">
        <v>44</v>
      </c>
      <c r="F317" t="s">
        <v>29</v>
      </c>
      <c r="G317" t="s">
        <v>45</v>
      </c>
      <c r="H317">
        <v>2</v>
      </c>
      <c r="I317">
        <f t="shared" si="1"/>
        <v>-5.4967683052718748</v>
      </c>
      <c r="J317">
        <v>0.22500000000000006</v>
      </c>
      <c r="K317" t="s">
        <v>31</v>
      </c>
      <c r="L317" t="s">
        <v>31</v>
      </c>
      <c r="M317" t="s">
        <v>31</v>
      </c>
      <c r="O317" s="128" t="s">
        <v>275</v>
      </c>
      <c r="P317" s="127">
        <v>4.1000000000000003E-3</v>
      </c>
    </row>
    <row r="318" spans="1:20" ht="15.6">
      <c r="A318" s="17" t="s">
        <v>1712</v>
      </c>
      <c r="B318" s="111">
        <f t="shared" si="0"/>
        <v>7.6999999999999999E-2</v>
      </c>
      <c r="C318" t="s">
        <v>37</v>
      </c>
      <c r="D318" s="110" t="s">
        <v>2</v>
      </c>
      <c r="E318" t="s">
        <v>29</v>
      </c>
      <c r="F318" s="68" t="s">
        <v>74</v>
      </c>
      <c r="G318" t="s">
        <v>33</v>
      </c>
      <c r="H318">
        <v>2</v>
      </c>
      <c r="I318">
        <f t="shared" si="1"/>
        <v>-2.5639498571284531</v>
      </c>
      <c r="J318">
        <v>0.22500000000000006</v>
      </c>
      <c r="K318" t="s">
        <v>31</v>
      </c>
      <c r="L318" t="s">
        <v>31</v>
      </c>
      <c r="M318" t="s">
        <v>31</v>
      </c>
      <c r="O318" s="124" t="s">
        <v>275</v>
      </c>
      <c r="P318" s="152">
        <v>7.6999999999999999E-2</v>
      </c>
    </row>
    <row r="319" spans="1:20" s="73" customFormat="1" ht="15.6">
      <c r="A319" s="76" t="s">
        <v>5</v>
      </c>
      <c r="B319" s="106" t="s">
        <v>1803</v>
      </c>
    </row>
    <row r="320" spans="1:20">
      <c r="A320" s="70" t="s">
        <v>7</v>
      </c>
      <c r="B320" t="s">
        <v>1709</v>
      </c>
      <c r="C320" s="72"/>
    </row>
    <row r="321" spans="1:20">
      <c r="A321" s="113" t="s">
        <v>9</v>
      </c>
      <c r="B321" t="s">
        <v>1804</v>
      </c>
      <c r="C321" s="72"/>
    </row>
    <row r="322" spans="1:20" ht="15.75" customHeight="1">
      <c r="A322" s="70" t="s">
        <v>11</v>
      </c>
      <c r="B322" s="71" t="s">
        <v>841</v>
      </c>
    </row>
    <row r="323" spans="1:20">
      <c r="A323" s="70" t="s">
        <v>13</v>
      </c>
      <c r="B323" t="s">
        <v>14</v>
      </c>
    </row>
    <row r="324" spans="1:20">
      <c r="A324" s="70" t="s">
        <v>15</v>
      </c>
      <c r="B324" s="111">
        <f>B329</f>
        <v>1.7999999999999999E-2</v>
      </c>
    </row>
    <row r="325" spans="1:20">
      <c r="A325" s="70" t="s">
        <v>16</v>
      </c>
      <c r="B325" t="s">
        <v>17</v>
      </c>
    </row>
    <row r="326" spans="1:20">
      <c r="A326" s="70" t="s">
        <v>18</v>
      </c>
      <c r="B326" t="s">
        <v>853</v>
      </c>
    </row>
    <row r="327" spans="1:20" ht="15.6">
      <c r="A327" s="69" t="s">
        <v>19</v>
      </c>
    </row>
    <row r="328" spans="1:20" ht="15.6">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1"/>
    </row>
    <row r="329" spans="1:20" ht="15.6">
      <c r="A329" t="s">
        <v>1803</v>
      </c>
      <c r="B329" s="111">
        <f>P330</f>
        <v>1.7999999999999999E-2</v>
      </c>
      <c r="C329" t="s">
        <v>853</v>
      </c>
      <c r="D329" s="110" t="s">
        <v>2</v>
      </c>
      <c r="E329" t="s">
        <v>29</v>
      </c>
      <c r="F329" t="s">
        <v>14</v>
      </c>
      <c r="G329" t="s">
        <v>30</v>
      </c>
      <c r="H329">
        <v>1</v>
      </c>
      <c r="I329" s="111">
        <f>B329</f>
        <v>1.7999999999999999E-2</v>
      </c>
      <c r="J329" t="s">
        <v>31</v>
      </c>
      <c r="K329" t="s">
        <v>31</v>
      </c>
      <c r="L329" t="s">
        <v>31</v>
      </c>
      <c r="M329" t="s">
        <v>31</v>
      </c>
    </row>
    <row r="330" spans="1:20" ht="15.6">
      <c r="A330" s="58" t="s">
        <v>1805</v>
      </c>
      <c r="B330" s="111">
        <f>P330</f>
        <v>1.7999999999999999E-2</v>
      </c>
      <c r="C330" t="s">
        <v>853</v>
      </c>
      <c r="D330" s="110" t="s">
        <v>2</v>
      </c>
      <c r="E330" t="s">
        <v>29</v>
      </c>
      <c r="F330" t="s">
        <v>14</v>
      </c>
      <c r="G330" t="s">
        <v>33</v>
      </c>
      <c r="H330">
        <v>1</v>
      </c>
      <c r="I330" s="111">
        <f>B330</f>
        <v>1.7999999999999999E-2</v>
      </c>
      <c r="J330">
        <v>2.8722813232690055E-2</v>
      </c>
      <c r="K330" t="s">
        <v>31</v>
      </c>
      <c r="L330" t="s">
        <v>31</v>
      </c>
      <c r="M330" t="s">
        <v>31</v>
      </c>
      <c r="O330" s="95" t="s">
        <v>873</v>
      </c>
      <c r="P330" s="158">
        <v>1.7999999999999999E-2</v>
      </c>
    </row>
    <row r="331" spans="1:20" ht="15.6">
      <c r="A331" s="58" t="s">
        <v>1747</v>
      </c>
      <c r="B331">
        <f>R331</f>
        <v>0.186</v>
      </c>
      <c r="C331" t="s">
        <v>275</v>
      </c>
      <c r="D331" s="110" t="s">
        <v>2</v>
      </c>
      <c r="E331" t="s">
        <v>29</v>
      </c>
      <c r="F331" t="s">
        <v>14</v>
      </c>
      <c r="G331" t="s">
        <v>33</v>
      </c>
      <c r="H331">
        <v>1</v>
      </c>
      <c r="I331" s="111">
        <f>B331</f>
        <v>0.186</v>
      </c>
      <c r="J331">
        <v>2.8722813232690055E-2</v>
      </c>
      <c r="K331" t="s">
        <v>31</v>
      </c>
      <c r="L331" t="s">
        <v>31</v>
      </c>
      <c r="M331" t="s">
        <v>31</v>
      </c>
      <c r="O331" s="95" t="s">
        <v>857</v>
      </c>
      <c r="P331" s="157">
        <v>186</v>
      </c>
      <c r="Q331" t="s">
        <v>275</v>
      </c>
      <c r="R331">
        <f>P331*0.001</f>
        <v>0.186</v>
      </c>
    </row>
    <row r="332" spans="1:20" ht="15.6">
      <c r="A332" s="67" t="s">
        <v>38</v>
      </c>
      <c r="B332" s="115">
        <f>P332</f>
        <v>0.02</v>
      </c>
      <c r="C332" t="s">
        <v>39</v>
      </c>
      <c r="D332" s="17" t="s">
        <v>40</v>
      </c>
      <c r="E332" t="s">
        <v>29</v>
      </c>
      <c r="F332" s="68" t="s">
        <v>35</v>
      </c>
      <c r="G332" t="s">
        <v>33</v>
      </c>
      <c r="H332">
        <v>2</v>
      </c>
      <c r="I332">
        <f t="shared" ref="I332:I340" si="2">LN(B332)</f>
        <v>-3.912023005428146</v>
      </c>
      <c r="J332">
        <v>0.20928449536456342</v>
      </c>
      <c r="K332" t="s">
        <v>31</v>
      </c>
      <c r="L332" t="s">
        <v>31</v>
      </c>
      <c r="M332" t="s">
        <v>31</v>
      </c>
      <c r="O332" s="97" t="s">
        <v>271</v>
      </c>
      <c r="P332" s="156">
        <v>0.02</v>
      </c>
    </row>
    <row r="333" spans="1:20" ht="15.6">
      <c r="A333" s="67" t="s">
        <v>38</v>
      </c>
      <c r="B333" s="115">
        <f>P333</f>
        <v>1.06</v>
      </c>
      <c r="C333" t="s">
        <v>39</v>
      </c>
      <c r="D333" s="17" t="s">
        <v>40</v>
      </c>
      <c r="E333" t="s">
        <v>29</v>
      </c>
      <c r="F333" s="68" t="s">
        <v>35</v>
      </c>
      <c r="G333" t="s">
        <v>33</v>
      </c>
      <c r="H333">
        <v>2</v>
      </c>
      <c r="I333">
        <f t="shared" si="2"/>
        <v>5.8268908123975824E-2</v>
      </c>
      <c r="J333">
        <v>0.20928449536456342</v>
      </c>
      <c r="K333" t="s">
        <v>31</v>
      </c>
      <c r="L333" t="s">
        <v>31</v>
      </c>
      <c r="M333" t="s">
        <v>31</v>
      </c>
      <c r="O333" s="97" t="s">
        <v>271</v>
      </c>
      <c r="P333" s="134">
        <v>1.06</v>
      </c>
    </row>
    <row r="334" spans="1:20" ht="15.6">
      <c r="A334" s="67" t="s">
        <v>38</v>
      </c>
      <c r="B334" s="115">
        <f>P334</f>
        <v>0.27</v>
      </c>
      <c r="C334" t="s">
        <v>39</v>
      </c>
      <c r="D334" s="17" t="s">
        <v>40</v>
      </c>
      <c r="E334" t="s">
        <v>29</v>
      </c>
      <c r="F334" s="68" t="s">
        <v>35</v>
      </c>
      <c r="G334" t="s">
        <v>33</v>
      </c>
      <c r="H334">
        <v>2</v>
      </c>
      <c r="I334">
        <f t="shared" si="2"/>
        <v>-1.3093333199837622</v>
      </c>
      <c r="J334">
        <v>9.6436507609929598E-2</v>
      </c>
      <c r="K334" t="s">
        <v>31</v>
      </c>
      <c r="L334" t="s">
        <v>31</v>
      </c>
      <c r="M334" t="s">
        <v>31</v>
      </c>
      <c r="O334" s="97" t="s">
        <v>271</v>
      </c>
      <c r="P334" s="134">
        <v>0.27</v>
      </c>
    </row>
    <row r="335" spans="1:20">
      <c r="A335" s="84" t="s">
        <v>731</v>
      </c>
      <c r="B335" s="111">
        <f>R335</f>
        <v>2E-3</v>
      </c>
      <c r="C335" t="s">
        <v>37</v>
      </c>
      <c r="D335" t="s">
        <v>40</v>
      </c>
      <c r="E335" t="s">
        <v>29</v>
      </c>
      <c r="F335" t="s">
        <v>35</v>
      </c>
      <c r="G335" t="s">
        <v>33</v>
      </c>
      <c r="H335">
        <v>2</v>
      </c>
      <c r="I335">
        <f t="shared" si="2"/>
        <v>-6.2146080984221914</v>
      </c>
      <c r="J335">
        <v>0.20928449536456342</v>
      </c>
      <c r="K335" t="s">
        <v>31</v>
      </c>
      <c r="L335" t="s">
        <v>31</v>
      </c>
      <c r="M335" t="s">
        <v>31</v>
      </c>
      <c r="O335" s="97" t="s">
        <v>857</v>
      </c>
      <c r="P335" s="134">
        <v>2</v>
      </c>
      <c r="Q335" t="s">
        <v>275</v>
      </c>
      <c r="R335">
        <f>P335*0.001</f>
        <v>2E-3</v>
      </c>
    </row>
    <row r="336" spans="1:20" ht="15.6">
      <c r="A336" s="67" t="s">
        <v>844</v>
      </c>
      <c r="B336" s="111">
        <f>P336</f>
        <v>0.01</v>
      </c>
      <c r="C336" t="s">
        <v>37</v>
      </c>
      <c r="D336" s="17" t="s">
        <v>40</v>
      </c>
      <c r="E336" t="s">
        <v>29</v>
      </c>
      <c r="F336" s="68" t="s">
        <v>74</v>
      </c>
      <c r="G336" t="s">
        <v>33</v>
      </c>
      <c r="H336">
        <v>2</v>
      </c>
      <c r="I336">
        <f t="shared" si="2"/>
        <v>-4.6051701859880909</v>
      </c>
      <c r="J336">
        <v>0.20928449536456342</v>
      </c>
      <c r="K336" t="s">
        <v>31</v>
      </c>
      <c r="L336" t="s">
        <v>31</v>
      </c>
      <c r="M336" t="s">
        <v>31</v>
      </c>
      <c r="O336" s="97" t="s">
        <v>275</v>
      </c>
      <c r="P336" s="156">
        <v>0.01</v>
      </c>
    </row>
    <row r="337" spans="1:20" ht="15.6">
      <c r="A337" s="84" t="s">
        <v>481</v>
      </c>
      <c r="B337" s="155">
        <f>R337</f>
        <v>2.7000000000000001E-3</v>
      </c>
      <c r="C337" t="s">
        <v>37</v>
      </c>
      <c r="D337" s="17" t="s">
        <v>40</v>
      </c>
      <c r="E337" t="s">
        <v>29</v>
      </c>
      <c r="F337" s="68" t="s">
        <v>82</v>
      </c>
      <c r="G337" t="s">
        <v>33</v>
      </c>
      <c r="H337">
        <v>2</v>
      </c>
      <c r="I337">
        <f t="shared" si="2"/>
        <v>-5.9145035059718536</v>
      </c>
      <c r="J337">
        <v>0.20928449536456342</v>
      </c>
      <c r="K337" t="s">
        <v>31</v>
      </c>
      <c r="L337" t="s">
        <v>31</v>
      </c>
      <c r="M337" t="s">
        <v>31</v>
      </c>
      <c r="O337" s="97" t="s">
        <v>857</v>
      </c>
      <c r="P337" s="134">
        <v>2.7</v>
      </c>
      <c r="Q337" t="s">
        <v>275</v>
      </c>
      <c r="R337">
        <f>P337*0.001</f>
        <v>2.7000000000000001E-3</v>
      </c>
    </row>
    <row r="338" spans="1:20">
      <c r="A338" s="84" t="s">
        <v>987</v>
      </c>
      <c r="B338">
        <f>R338</f>
        <v>5.0000000000000001E-3</v>
      </c>
      <c r="C338" t="s">
        <v>37</v>
      </c>
      <c r="D338" t="s">
        <v>40</v>
      </c>
      <c r="E338" t="s">
        <v>29</v>
      </c>
      <c r="F338" t="s">
        <v>35</v>
      </c>
      <c r="G338" t="s">
        <v>33</v>
      </c>
      <c r="H338">
        <v>2</v>
      </c>
      <c r="I338">
        <f t="shared" si="2"/>
        <v>-5.2983173665480363</v>
      </c>
      <c r="J338">
        <v>0.20928449536456342</v>
      </c>
      <c r="K338" t="s">
        <v>31</v>
      </c>
      <c r="L338" t="s">
        <v>31</v>
      </c>
      <c r="M338" t="s">
        <v>31</v>
      </c>
      <c r="O338" s="97" t="s">
        <v>857</v>
      </c>
      <c r="P338" s="134">
        <v>5</v>
      </c>
      <c r="Q338" t="s">
        <v>275</v>
      </c>
      <c r="R338">
        <f>P338*0.001</f>
        <v>5.0000000000000001E-3</v>
      </c>
    </row>
    <row r="339" spans="1:20" ht="15.6">
      <c r="A339" s="67" t="s">
        <v>845</v>
      </c>
      <c r="B339">
        <f>P339</f>
        <v>3.1</v>
      </c>
      <c r="C339" t="s">
        <v>37</v>
      </c>
      <c r="D339" s="17" t="s">
        <v>40</v>
      </c>
      <c r="E339" t="s">
        <v>29</v>
      </c>
      <c r="F339" s="68" t="s">
        <v>35</v>
      </c>
      <c r="G339" t="s">
        <v>33</v>
      </c>
      <c r="H339">
        <v>2</v>
      </c>
      <c r="I339">
        <f t="shared" si="2"/>
        <v>1.1314021114911006</v>
      </c>
      <c r="J339">
        <v>0.20928449536456342</v>
      </c>
      <c r="K339" t="s">
        <v>31</v>
      </c>
      <c r="L339" t="s">
        <v>31</v>
      </c>
      <c r="M339" t="s">
        <v>31</v>
      </c>
      <c r="O339" s="97" t="s">
        <v>275</v>
      </c>
      <c r="P339" s="134">
        <v>3.1</v>
      </c>
    </row>
    <row r="340" spans="1:20" ht="15.6">
      <c r="A340" s="17" t="s">
        <v>1712</v>
      </c>
      <c r="B340" s="111">
        <f>P340</f>
        <v>8.8999999999999999E-3</v>
      </c>
      <c r="C340" t="s">
        <v>37</v>
      </c>
      <c r="D340" s="110" t="s">
        <v>2</v>
      </c>
      <c r="E340" t="s">
        <v>29</v>
      </c>
      <c r="F340" s="68" t="s">
        <v>74</v>
      </c>
      <c r="G340" t="s">
        <v>33</v>
      </c>
      <c r="H340">
        <v>2</v>
      </c>
      <c r="I340">
        <f t="shared" si="2"/>
        <v>-4.7217040022440431</v>
      </c>
      <c r="J340">
        <v>0.20928449536456342</v>
      </c>
      <c r="K340" t="s">
        <v>31</v>
      </c>
      <c r="L340" t="s">
        <v>31</v>
      </c>
      <c r="M340" t="s">
        <v>31</v>
      </c>
      <c r="O340" s="124" t="s">
        <v>275</v>
      </c>
      <c r="P340" s="154">
        <v>8.8999999999999999E-3</v>
      </c>
    </row>
    <row r="341" spans="1:20" s="73" customFormat="1" ht="15.6">
      <c r="A341" s="76" t="s">
        <v>5</v>
      </c>
      <c r="B341" s="106" t="s">
        <v>1805</v>
      </c>
      <c r="P341" s="151"/>
    </row>
    <row r="342" spans="1:20">
      <c r="A342" s="70" t="s">
        <v>7</v>
      </c>
      <c r="B342" t="s">
        <v>1709</v>
      </c>
      <c r="C342" s="72"/>
    </row>
    <row r="343" spans="1:20">
      <c r="A343" s="113" t="s">
        <v>9</v>
      </c>
      <c r="B343" t="s">
        <v>1806</v>
      </c>
      <c r="C343" s="72"/>
    </row>
    <row r="344" spans="1:20" ht="15.75" customHeight="1">
      <c r="A344" s="70" t="s">
        <v>11</v>
      </c>
      <c r="B344" s="71" t="s">
        <v>841</v>
      </c>
    </row>
    <row r="345" spans="1:20">
      <c r="A345" s="70" t="s">
        <v>13</v>
      </c>
      <c r="B345" t="s">
        <v>14</v>
      </c>
    </row>
    <row r="346" spans="1:20">
      <c r="A346" s="70" t="s">
        <v>15</v>
      </c>
      <c r="B346" s="111">
        <f>B351</f>
        <v>1.7999999999999999E-2</v>
      </c>
    </row>
    <row r="347" spans="1:20">
      <c r="A347" s="70" t="s">
        <v>16</v>
      </c>
      <c r="B347" t="s">
        <v>17</v>
      </c>
    </row>
    <row r="348" spans="1:20">
      <c r="A348" s="70" t="s">
        <v>18</v>
      </c>
      <c r="B348" t="s">
        <v>853</v>
      </c>
    </row>
    <row r="349" spans="1:20" ht="15.6">
      <c r="A349" s="69" t="s">
        <v>19</v>
      </c>
    </row>
    <row r="350" spans="1:20" ht="15.6">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1"/>
    </row>
    <row r="351" spans="1:20" ht="15.6">
      <c r="A351" s="58" t="s">
        <v>1805</v>
      </c>
      <c r="B351" s="111">
        <f>P351</f>
        <v>1.7999999999999999E-2</v>
      </c>
      <c r="C351" t="s">
        <v>853</v>
      </c>
      <c r="D351" s="110" t="s">
        <v>2</v>
      </c>
      <c r="E351" t="s">
        <v>29</v>
      </c>
      <c r="F351" t="s">
        <v>14</v>
      </c>
      <c r="G351" t="s">
        <v>30</v>
      </c>
      <c r="H351">
        <v>1</v>
      </c>
      <c r="I351" s="111">
        <f>B351</f>
        <v>1.7999999999999999E-2</v>
      </c>
      <c r="J351" t="s">
        <v>31</v>
      </c>
      <c r="K351" t="s">
        <v>31</v>
      </c>
      <c r="L351" t="s">
        <v>31</v>
      </c>
      <c r="M351" t="s">
        <v>31</v>
      </c>
      <c r="O351" s="95" t="s">
        <v>873</v>
      </c>
      <c r="P351" s="151">
        <v>1.7999999999999999E-2</v>
      </c>
    </row>
    <row r="352" spans="1:20">
      <c r="A352" s="84" t="s">
        <v>898</v>
      </c>
      <c r="B352">
        <f>P352</f>
        <v>0.03</v>
      </c>
      <c r="C352" t="s">
        <v>37</v>
      </c>
      <c r="D352" t="s">
        <v>40</v>
      </c>
      <c r="E352" t="s">
        <v>29</v>
      </c>
      <c r="F352" t="s">
        <v>82</v>
      </c>
      <c r="G352" t="s">
        <v>33</v>
      </c>
      <c r="H352">
        <v>2</v>
      </c>
      <c r="I352">
        <f t="shared" ref="I352:I362" si="3">LN(B352)</f>
        <v>-3.5065578973199818</v>
      </c>
      <c r="J352" s="125">
        <v>0.22516660498395411</v>
      </c>
      <c r="K352" t="s">
        <v>31</v>
      </c>
      <c r="L352" t="s">
        <v>31</v>
      </c>
      <c r="M352" t="s">
        <v>31</v>
      </c>
      <c r="O352" s="97" t="s">
        <v>275</v>
      </c>
      <c r="P352" s="107">
        <v>0.03</v>
      </c>
    </row>
    <row r="353" spans="1:18" ht="15.6">
      <c r="A353" s="67" t="s">
        <v>38</v>
      </c>
      <c r="B353" s="115">
        <f>P353</f>
        <v>0.38</v>
      </c>
      <c r="C353" t="s">
        <v>39</v>
      </c>
      <c r="D353" s="17" t="s">
        <v>40</v>
      </c>
      <c r="E353" t="s">
        <v>29</v>
      </c>
      <c r="F353" s="68" t="s">
        <v>35</v>
      </c>
      <c r="G353" t="s">
        <v>33</v>
      </c>
      <c r="H353">
        <v>2</v>
      </c>
      <c r="I353">
        <f t="shared" si="3"/>
        <v>-0.96758402626170559</v>
      </c>
      <c r="J353" s="125">
        <v>0.22516660498395411</v>
      </c>
      <c r="K353" t="s">
        <v>31</v>
      </c>
      <c r="L353" t="s">
        <v>31</v>
      </c>
      <c r="M353" t="s">
        <v>31</v>
      </c>
      <c r="O353" s="97" t="s">
        <v>271</v>
      </c>
      <c r="P353" s="107">
        <v>0.38</v>
      </c>
    </row>
    <row r="354" spans="1:18" ht="15.6">
      <c r="A354" s="84" t="s">
        <v>1018</v>
      </c>
      <c r="B354" s="111">
        <f>R354</f>
        <v>6.3000000000000003E-4</v>
      </c>
      <c r="C354" t="s">
        <v>37</v>
      </c>
      <c r="D354" s="17" t="s">
        <v>40</v>
      </c>
      <c r="E354" t="s">
        <v>29</v>
      </c>
      <c r="F354" t="s">
        <v>35</v>
      </c>
      <c r="G354" t="s">
        <v>33</v>
      </c>
      <c r="H354">
        <v>2</v>
      </c>
      <c r="I354">
        <f t="shared" si="3"/>
        <v>-7.369790738578696</v>
      </c>
      <c r="J354" s="125">
        <v>0.22516660498395411</v>
      </c>
      <c r="K354" t="s">
        <v>31</v>
      </c>
      <c r="L354" t="s">
        <v>31</v>
      </c>
      <c r="M354" t="s">
        <v>31</v>
      </c>
      <c r="O354" s="97" t="s">
        <v>857</v>
      </c>
      <c r="P354" s="153">
        <v>0.63</v>
      </c>
      <c r="Q354" t="s">
        <v>275</v>
      </c>
      <c r="R354" s="111">
        <f>0.001*P354</f>
        <v>6.3000000000000003E-4</v>
      </c>
    </row>
    <row r="355" spans="1:18" ht="15.6">
      <c r="A355" s="84" t="s">
        <v>1019</v>
      </c>
      <c r="B355" s="111">
        <f>P355</f>
        <v>3.0000000000000001E-3</v>
      </c>
      <c r="C355" t="s">
        <v>37</v>
      </c>
      <c r="D355" s="17" t="s">
        <v>40</v>
      </c>
      <c r="E355" t="s">
        <v>29</v>
      </c>
      <c r="F355" t="s">
        <v>35</v>
      </c>
      <c r="G355" t="s">
        <v>33</v>
      </c>
      <c r="H355">
        <v>2</v>
      </c>
      <c r="I355">
        <f t="shared" si="3"/>
        <v>-5.8091429903140277</v>
      </c>
      <c r="J355" s="125">
        <v>0.22516660498395411</v>
      </c>
      <c r="K355" t="s">
        <v>31</v>
      </c>
      <c r="L355" t="s">
        <v>31</v>
      </c>
      <c r="M355" t="s">
        <v>31</v>
      </c>
      <c r="O355" s="97" t="s">
        <v>275</v>
      </c>
      <c r="P355" s="153">
        <v>3.0000000000000001E-3</v>
      </c>
    </row>
    <row r="356" spans="1:18" ht="15.6">
      <c r="A356" s="84" t="s">
        <v>1020</v>
      </c>
      <c r="B356" s="111">
        <f>P356</f>
        <v>2.5000000000000001E-3</v>
      </c>
      <c r="C356" t="s">
        <v>37</v>
      </c>
      <c r="D356" s="17" t="s">
        <v>40</v>
      </c>
      <c r="E356" t="s">
        <v>29</v>
      </c>
      <c r="F356" t="s">
        <v>35</v>
      </c>
      <c r="G356" t="s">
        <v>33</v>
      </c>
      <c r="H356">
        <v>2</v>
      </c>
      <c r="I356">
        <f t="shared" si="3"/>
        <v>-5.9914645471079817</v>
      </c>
      <c r="J356" s="125">
        <v>0.22516660498395411</v>
      </c>
      <c r="K356" t="s">
        <v>31</v>
      </c>
      <c r="L356" t="s">
        <v>31</v>
      </c>
      <c r="M356" t="s">
        <v>31</v>
      </c>
      <c r="O356" s="97" t="s">
        <v>275</v>
      </c>
      <c r="P356" s="153">
        <v>2.5000000000000001E-3</v>
      </c>
    </row>
    <row r="357" spans="1:18" ht="15.6">
      <c r="A357" s="84" t="s">
        <v>1021</v>
      </c>
      <c r="B357" s="111">
        <f>P357</f>
        <v>2.1999999999999999E-2</v>
      </c>
      <c r="C357" t="s">
        <v>37</v>
      </c>
      <c r="D357" s="17" t="s">
        <v>40</v>
      </c>
      <c r="E357" t="s">
        <v>29</v>
      </c>
      <c r="F357" t="s">
        <v>35</v>
      </c>
      <c r="G357" t="s">
        <v>33</v>
      </c>
      <c r="H357">
        <v>2</v>
      </c>
      <c r="I357">
        <f t="shared" si="3"/>
        <v>-3.8167128256238212</v>
      </c>
      <c r="J357" s="125">
        <v>0.22516660498395411</v>
      </c>
      <c r="K357" t="s">
        <v>31</v>
      </c>
      <c r="L357" t="s">
        <v>31</v>
      </c>
      <c r="M357" t="s">
        <v>31</v>
      </c>
      <c r="O357" s="97" t="s">
        <v>275</v>
      </c>
      <c r="P357" s="107">
        <v>2.1999999999999999E-2</v>
      </c>
    </row>
    <row r="358" spans="1:18" ht="15.6">
      <c r="A358" s="84" t="s">
        <v>1022</v>
      </c>
      <c r="B358" s="111">
        <f>R358</f>
        <v>1.3000000000000002E-4</v>
      </c>
      <c r="C358" t="s">
        <v>37</v>
      </c>
      <c r="D358" s="17" t="s">
        <v>43</v>
      </c>
      <c r="E358" t="s">
        <v>44</v>
      </c>
      <c r="F358" t="s">
        <v>29</v>
      </c>
      <c r="G358" t="s">
        <v>45</v>
      </c>
      <c r="H358">
        <v>2</v>
      </c>
      <c r="I358">
        <f t="shared" si="3"/>
        <v>-8.9479761075086923</v>
      </c>
      <c r="J358" s="125">
        <v>0.10344080432788608</v>
      </c>
      <c r="K358" t="s">
        <v>31</v>
      </c>
      <c r="L358" t="s">
        <v>31</v>
      </c>
      <c r="M358" t="s">
        <v>31</v>
      </c>
      <c r="O358" s="128" t="s">
        <v>857</v>
      </c>
      <c r="P358" s="127">
        <v>0.13</v>
      </c>
      <c r="Q358" t="s">
        <v>275</v>
      </c>
      <c r="R358" s="111">
        <f>0.001*P358</f>
        <v>1.3000000000000002E-4</v>
      </c>
    </row>
    <row r="359" spans="1:18" ht="15.6">
      <c r="A359" s="84" t="s">
        <v>77</v>
      </c>
      <c r="B359" s="111">
        <f>R359</f>
        <v>1E-3</v>
      </c>
      <c r="C359" t="s">
        <v>37</v>
      </c>
      <c r="D359" s="17" t="s">
        <v>43</v>
      </c>
      <c r="E359" t="s">
        <v>44</v>
      </c>
      <c r="F359" t="s">
        <v>29</v>
      </c>
      <c r="G359" t="s">
        <v>45</v>
      </c>
      <c r="H359">
        <v>2</v>
      </c>
      <c r="I359">
        <f t="shared" si="3"/>
        <v>-6.9077552789821368</v>
      </c>
      <c r="J359" s="125">
        <v>0.10344080432788608</v>
      </c>
      <c r="K359" t="s">
        <v>31</v>
      </c>
      <c r="L359" t="s">
        <v>31</v>
      </c>
      <c r="M359" t="s">
        <v>31</v>
      </c>
      <c r="O359" s="128" t="s">
        <v>857</v>
      </c>
      <c r="P359" s="127">
        <v>1</v>
      </c>
      <c r="Q359" t="s">
        <v>275</v>
      </c>
      <c r="R359" s="111">
        <f>0.001*P359</f>
        <v>1E-3</v>
      </c>
    </row>
    <row r="360" spans="1:18" ht="15.6">
      <c r="A360" s="84" t="s">
        <v>1023</v>
      </c>
      <c r="B360" s="111">
        <f>R360</f>
        <v>8.8000000000000003E-4</v>
      </c>
      <c r="C360" t="s">
        <v>37</v>
      </c>
      <c r="D360" s="17" t="s">
        <v>43</v>
      </c>
      <c r="E360" t="s">
        <v>44</v>
      </c>
      <c r="F360" t="s">
        <v>29</v>
      </c>
      <c r="G360" t="s">
        <v>45</v>
      </c>
      <c r="H360">
        <v>2</v>
      </c>
      <c r="I360">
        <f t="shared" si="3"/>
        <v>-7.0355886504920218</v>
      </c>
      <c r="J360" s="125">
        <v>0.10344080432788608</v>
      </c>
      <c r="K360" t="s">
        <v>31</v>
      </c>
      <c r="L360" t="s">
        <v>31</v>
      </c>
      <c r="M360" t="s">
        <v>31</v>
      </c>
      <c r="O360" s="128" t="s">
        <v>857</v>
      </c>
      <c r="P360" s="127">
        <v>0.88</v>
      </c>
      <c r="Q360" t="s">
        <v>275</v>
      </c>
      <c r="R360" s="111">
        <f>0.001*P360</f>
        <v>8.8000000000000003E-4</v>
      </c>
    </row>
    <row r="361" spans="1:18">
      <c r="A361" s="84" t="s">
        <v>807</v>
      </c>
      <c r="B361" s="111">
        <f>R361</f>
        <v>5.0000000000000001E-4</v>
      </c>
      <c r="C361" t="s">
        <v>37</v>
      </c>
      <c r="D361" t="s">
        <v>43</v>
      </c>
      <c r="E361" t="s">
        <v>44</v>
      </c>
      <c r="F361" t="s">
        <v>29</v>
      </c>
      <c r="G361" t="s">
        <v>45</v>
      </c>
      <c r="H361">
        <v>2</v>
      </c>
      <c r="I361">
        <f t="shared" si="3"/>
        <v>-7.6009024595420822</v>
      </c>
      <c r="J361" s="125">
        <v>0.10344080432788608</v>
      </c>
      <c r="K361" t="s">
        <v>31</v>
      </c>
      <c r="L361" t="s">
        <v>31</v>
      </c>
      <c r="M361" t="s">
        <v>31</v>
      </c>
      <c r="O361" s="128" t="s">
        <v>857</v>
      </c>
      <c r="P361" s="127">
        <v>0.5</v>
      </c>
      <c r="Q361" t="s">
        <v>275</v>
      </c>
      <c r="R361" s="111">
        <f>0.001*P361</f>
        <v>5.0000000000000001E-4</v>
      </c>
    </row>
    <row r="362" spans="1:18" ht="15.6">
      <c r="A362" s="17" t="s">
        <v>1714</v>
      </c>
      <c r="B362" s="111">
        <f>P362</f>
        <v>6.7999999999999996E-3</v>
      </c>
      <c r="C362" t="s">
        <v>37</v>
      </c>
      <c r="D362" s="110" t="s">
        <v>2</v>
      </c>
      <c r="E362" t="s">
        <v>29</v>
      </c>
      <c r="F362" s="68" t="s">
        <v>74</v>
      </c>
      <c r="G362" t="s">
        <v>33</v>
      </c>
      <c r="H362">
        <v>2</v>
      </c>
      <c r="I362">
        <f t="shared" si="3"/>
        <v>-4.9908326668000758</v>
      </c>
      <c r="J362">
        <v>0.11269427669584645</v>
      </c>
      <c r="K362" t="s">
        <v>31</v>
      </c>
      <c r="L362" t="s">
        <v>31</v>
      </c>
      <c r="M362" t="s">
        <v>31</v>
      </c>
      <c r="O362" s="124" t="s">
        <v>275</v>
      </c>
      <c r="P362" s="152">
        <v>6.7999999999999996E-3</v>
      </c>
    </row>
    <row r="363" spans="1:18">
      <c r="P363" s="151"/>
    </row>
  </sheetData>
  <pageMargins left="0.7" right="0.7" top="0.75" bottom="0.75" header="0.3" footer="0.3"/>
  <pageSetup paperSize="9" orientation="portrai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F9DB-6BC5-4D10-8841-1AF5CD501EB0}">
  <sheetPr>
    <tabColor theme="8" tint="0.79998168889431442"/>
  </sheetPr>
  <dimension ref="A1:AC41"/>
  <sheetViews>
    <sheetView zoomScale="55" zoomScaleNormal="55" workbookViewId="0">
      <selection activeCell="I13" sqref="I13:I30"/>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6">
      <c r="A1" t="s">
        <v>0</v>
      </c>
      <c r="B1">
        <v>13</v>
      </c>
      <c r="N1" s="17" t="str">
        <f ca="1">UPPER(CONCATENATE(DEC2HEX(RANDBETWEEN(0,POWER(16,8)),8),DEC2HEX(RANDBETWEEN(0,POWER(16,4)),4),"4",DEC2HEX(RANDBETWEEN(0,POWER(16,3)),3),DEC2HEX(RANDBETWEEN(8,11)),DEC2HEX(RANDBETWEEN(0,POWER(16,3)),3),DEC2HEX(RANDBETWEEN(0,POWER(16,8)),8),DEC2HEX(RANDBETWEEN(0,POWER(16,4)),4)))</f>
        <v>C0CFFF5F8836465CA61020D17C882F04</v>
      </c>
    </row>
    <row r="2" spans="1:26" ht="15.6">
      <c r="A2" s="76" t="s">
        <v>5</v>
      </c>
      <c r="B2" s="75" t="s">
        <v>1807</v>
      </c>
      <c r="C2" s="74"/>
      <c r="D2" s="73"/>
      <c r="E2" s="73"/>
      <c r="F2" s="73"/>
      <c r="G2" s="73"/>
      <c r="H2" s="73"/>
      <c r="I2" s="73"/>
      <c r="J2" s="73"/>
      <c r="K2" s="73"/>
      <c r="L2" s="73"/>
      <c r="M2" s="73"/>
    </row>
    <row r="3" spans="1:26">
      <c r="A3" s="70" t="s">
        <v>7</v>
      </c>
      <c r="B3" t="s">
        <v>1709</v>
      </c>
      <c r="C3" s="72"/>
    </row>
    <row r="4" spans="1:26">
      <c r="A4" s="70" t="s">
        <v>9</v>
      </c>
      <c r="B4" t="s">
        <v>1808</v>
      </c>
      <c r="C4" s="72"/>
    </row>
    <row r="5" spans="1:26" ht="29.1">
      <c r="A5" s="70" t="s">
        <v>11</v>
      </c>
      <c r="B5" s="71" t="s">
        <v>1729</v>
      </c>
    </row>
    <row r="6" spans="1:26">
      <c r="A6" s="70" t="s">
        <v>13</v>
      </c>
      <c r="B6" t="s">
        <v>14</v>
      </c>
    </row>
    <row r="7" spans="1:26">
      <c r="A7" s="70" t="s">
        <v>15</v>
      </c>
      <c r="B7">
        <v>1</v>
      </c>
    </row>
    <row r="8" spans="1:26">
      <c r="A8" s="70" t="s">
        <v>16</v>
      </c>
      <c r="B8" t="s">
        <v>17</v>
      </c>
    </row>
    <row r="9" spans="1:26">
      <c r="A9" s="70" t="s">
        <v>18</v>
      </c>
      <c r="B9" t="s">
        <v>18</v>
      </c>
    </row>
    <row r="10" spans="1:26" ht="15.6">
      <c r="A10" s="69" t="s">
        <v>19</v>
      </c>
    </row>
    <row r="11" spans="1:26"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6">
      <c r="A12" s="75" t="s">
        <v>1807</v>
      </c>
      <c r="B12">
        <v>1</v>
      </c>
      <c r="C12" t="s">
        <v>18</v>
      </c>
      <c r="D12" s="17" t="s">
        <v>2</v>
      </c>
      <c r="E12" t="s">
        <v>29</v>
      </c>
      <c r="F12" s="68" t="s">
        <v>14</v>
      </c>
      <c r="G12" t="s">
        <v>30</v>
      </c>
      <c r="H12">
        <v>1</v>
      </c>
      <c r="I12">
        <v>1</v>
      </c>
      <c r="J12" t="s">
        <v>31</v>
      </c>
      <c r="K12" t="s">
        <v>31</v>
      </c>
      <c r="L12" t="s">
        <v>31</v>
      </c>
      <c r="M12" t="s">
        <v>31</v>
      </c>
    </row>
    <row r="13" spans="1:26" ht="15.6">
      <c r="A13" s="99" t="s">
        <v>1716</v>
      </c>
      <c r="B13">
        <f t="shared" ref="B13:B23" si="0">Z13</f>
        <v>7.8E-2</v>
      </c>
      <c r="C13" t="s">
        <v>37</v>
      </c>
      <c r="D13" s="17" t="s">
        <v>2</v>
      </c>
      <c r="E13" t="s">
        <v>29</v>
      </c>
      <c r="F13" s="68" t="s">
        <v>14</v>
      </c>
      <c r="G13" t="s">
        <v>33</v>
      </c>
      <c r="H13">
        <v>1</v>
      </c>
      <c r="I13">
        <f>B13</f>
        <v>7.8E-2</v>
      </c>
      <c r="J13" t="s">
        <v>31</v>
      </c>
      <c r="K13" t="s">
        <v>31</v>
      </c>
      <c r="L13" t="s">
        <v>31</v>
      </c>
      <c r="M13" t="s">
        <v>31</v>
      </c>
      <c r="U13" s="95" t="s">
        <v>1025</v>
      </c>
      <c r="V13" s="95" t="s">
        <v>857</v>
      </c>
      <c r="W13" s="93">
        <v>78</v>
      </c>
      <c r="Y13" t="s">
        <v>275</v>
      </c>
      <c r="Z13">
        <f>0.001*W13</f>
        <v>7.8E-2</v>
      </c>
    </row>
    <row r="14" spans="1:26" ht="15.6">
      <c r="A14" s="99" t="s">
        <v>1721</v>
      </c>
      <c r="B14">
        <f t="shared" si="0"/>
        <v>9.8000000000000004E-2</v>
      </c>
      <c r="C14" t="s">
        <v>37</v>
      </c>
      <c r="D14" s="17" t="s">
        <v>2</v>
      </c>
      <c r="E14" t="s">
        <v>29</v>
      </c>
      <c r="F14" s="68" t="s">
        <v>14</v>
      </c>
      <c r="G14" t="s">
        <v>33</v>
      </c>
      <c r="H14">
        <v>1</v>
      </c>
      <c r="I14">
        <f t="shared" ref="I14:I30" si="1">B14</f>
        <v>9.8000000000000004E-2</v>
      </c>
      <c r="J14" t="s">
        <v>31</v>
      </c>
      <c r="K14" t="s">
        <v>31</v>
      </c>
      <c r="L14" t="s">
        <v>31</v>
      </c>
      <c r="M14" t="s">
        <v>31</v>
      </c>
      <c r="U14" s="95" t="s">
        <v>1026</v>
      </c>
      <c r="V14" s="95" t="s">
        <v>857</v>
      </c>
      <c r="W14" s="93">
        <v>98</v>
      </c>
      <c r="Y14" t="s">
        <v>275</v>
      </c>
      <c r="Z14">
        <f>0.001*W14</f>
        <v>9.8000000000000004E-2</v>
      </c>
    </row>
    <row r="15" spans="1:26" ht="15.6">
      <c r="A15" s="100" t="s">
        <v>885</v>
      </c>
      <c r="B15">
        <f t="shared" si="0"/>
        <v>1.55</v>
      </c>
      <c r="C15" t="s">
        <v>37</v>
      </c>
      <c r="D15" s="17" t="s">
        <v>416</v>
      </c>
      <c r="E15" t="s">
        <v>29</v>
      </c>
      <c r="F15" s="68" t="s">
        <v>59</v>
      </c>
      <c r="G15" t="s">
        <v>33</v>
      </c>
      <c r="H15">
        <v>1</v>
      </c>
      <c r="I15">
        <f t="shared" si="1"/>
        <v>1.55</v>
      </c>
      <c r="J15" t="s">
        <v>31</v>
      </c>
      <c r="K15" t="s">
        <v>31</v>
      </c>
      <c r="L15" t="s">
        <v>31</v>
      </c>
      <c r="M15" t="s">
        <v>31</v>
      </c>
      <c r="U15" s="95" t="s">
        <v>1027</v>
      </c>
      <c r="V15" s="95" t="s">
        <v>275</v>
      </c>
      <c r="W15" s="93">
        <v>1.55</v>
      </c>
      <c r="Y15" t="s">
        <v>275</v>
      </c>
      <c r="Z15">
        <f>W15</f>
        <v>1.55</v>
      </c>
    </row>
    <row r="16" spans="1:26" ht="15.6">
      <c r="A16" s="99" t="s">
        <v>1809</v>
      </c>
      <c r="B16">
        <f t="shared" si="0"/>
        <v>2.4</v>
      </c>
      <c r="C16" t="s">
        <v>37</v>
      </c>
      <c r="D16" s="17" t="s">
        <v>2</v>
      </c>
      <c r="E16" t="s">
        <v>29</v>
      </c>
      <c r="F16" s="68" t="s">
        <v>14</v>
      </c>
      <c r="G16" t="s">
        <v>33</v>
      </c>
      <c r="H16">
        <v>1</v>
      </c>
      <c r="I16">
        <f t="shared" si="1"/>
        <v>2.4</v>
      </c>
      <c r="J16" t="s">
        <v>31</v>
      </c>
      <c r="K16" t="s">
        <v>31</v>
      </c>
      <c r="L16" t="s">
        <v>31</v>
      </c>
      <c r="M16" t="s">
        <v>31</v>
      </c>
      <c r="U16" s="95" t="s">
        <v>1029</v>
      </c>
      <c r="V16" s="95" t="s">
        <v>275</v>
      </c>
      <c r="W16" s="93">
        <v>2.4</v>
      </c>
      <c r="Y16" t="s">
        <v>275</v>
      </c>
      <c r="Z16">
        <f>W16</f>
        <v>2.4</v>
      </c>
    </row>
    <row r="17" spans="1:29" ht="15.6">
      <c r="A17" s="104" t="s">
        <v>1810</v>
      </c>
      <c r="B17">
        <f t="shared" si="0"/>
        <v>4.2241379310344836E-2</v>
      </c>
      <c r="C17" t="s">
        <v>853</v>
      </c>
      <c r="D17" s="17" t="s">
        <v>2</v>
      </c>
      <c r="E17" t="s">
        <v>29</v>
      </c>
      <c r="F17" s="68" t="s">
        <v>14</v>
      </c>
      <c r="G17" t="s">
        <v>33</v>
      </c>
      <c r="H17">
        <v>1</v>
      </c>
      <c r="I17">
        <f t="shared" si="1"/>
        <v>4.2241379310344836E-2</v>
      </c>
      <c r="J17" t="s">
        <v>31</v>
      </c>
      <c r="K17" t="s">
        <v>31</v>
      </c>
      <c r="L17" t="s">
        <v>31</v>
      </c>
      <c r="M17" t="s">
        <v>31</v>
      </c>
      <c r="O17" t="s">
        <v>1031</v>
      </c>
      <c r="U17" s="101" t="s">
        <v>1032</v>
      </c>
      <c r="V17" s="101" t="s">
        <v>857</v>
      </c>
      <c r="W17" s="93">
        <v>245</v>
      </c>
      <c r="Y17" t="s">
        <v>855</v>
      </c>
      <c r="Z17">
        <f>W17*0.001/AB17</f>
        <v>4.2241379310344836E-2</v>
      </c>
      <c r="AB17">
        <f>B.Reused!O36</f>
        <v>5.7999999999999989</v>
      </c>
      <c r="AC17" t="s">
        <v>943</v>
      </c>
    </row>
    <row r="18" spans="1:29" ht="15.6">
      <c r="A18" s="99" t="s">
        <v>1811</v>
      </c>
      <c r="B18">
        <f t="shared" si="0"/>
        <v>0.40500000000000003</v>
      </c>
      <c r="C18" t="s">
        <v>37</v>
      </c>
      <c r="D18" s="17" t="s">
        <v>2</v>
      </c>
      <c r="E18" t="s">
        <v>29</v>
      </c>
      <c r="F18" s="68" t="s">
        <v>14</v>
      </c>
      <c r="G18" t="s">
        <v>33</v>
      </c>
      <c r="H18">
        <v>1</v>
      </c>
      <c r="I18">
        <f t="shared" si="1"/>
        <v>0.40500000000000003</v>
      </c>
      <c r="J18" t="s">
        <v>31</v>
      </c>
      <c r="K18" t="s">
        <v>31</v>
      </c>
      <c r="L18" t="s">
        <v>31</v>
      </c>
      <c r="M18" t="s">
        <v>31</v>
      </c>
      <c r="U18" s="101" t="s">
        <v>1034</v>
      </c>
      <c r="V18" s="95" t="s">
        <v>857</v>
      </c>
      <c r="W18" s="93">
        <v>405</v>
      </c>
      <c r="Y18" t="s">
        <v>275</v>
      </c>
      <c r="Z18">
        <f>0.001*W18</f>
        <v>0.40500000000000003</v>
      </c>
    </row>
    <row r="19" spans="1:29" ht="15.6">
      <c r="A19" s="103" t="s">
        <v>890</v>
      </c>
      <c r="B19">
        <f t="shared" si="0"/>
        <v>2E-3</v>
      </c>
      <c r="C19" t="s">
        <v>37</v>
      </c>
      <c r="D19" s="17" t="s">
        <v>416</v>
      </c>
      <c r="E19" t="s">
        <v>29</v>
      </c>
      <c r="F19" s="68" t="s">
        <v>35</v>
      </c>
      <c r="G19" t="s">
        <v>33</v>
      </c>
      <c r="H19">
        <v>1</v>
      </c>
      <c r="I19">
        <f t="shared" si="1"/>
        <v>2E-3</v>
      </c>
      <c r="J19" t="s">
        <v>31</v>
      </c>
      <c r="K19" t="s">
        <v>31</v>
      </c>
      <c r="L19" t="s">
        <v>31</v>
      </c>
      <c r="M19" t="s">
        <v>31</v>
      </c>
      <c r="N19" s="67" t="s">
        <v>891</v>
      </c>
      <c r="U19" s="95" t="s">
        <v>891</v>
      </c>
      <c r="V19" s="95" t="s">
        <v>857</v>
      </c>
      <c r="W19" s="93">
        <v>2</v>
      </c>
      <c r="Y19" t="s">
        <v>275</v>
      </c>
      <c r="Z19">
        <f>0.001*W19</f>
        <v>2E-3</v>
      </c>
    </row>
    <row r="20" spans="1:29" ht="15.6">
      <c r="A20" s="102" t="s">
        <v>179</v>
      </c>
      <c r="B20">
        <f t="shared" si="0"/>
        <v>1.3000000000000001E-2</v>
      </c>
      <c r="C20" t="s">
        <v>37</v>
      </c>
      <c r="D20" s="17" t="s">
        <v>416</v>
      </c>
      <c r="E20" t="s">
        <v>29</v>
      </c>
      <c r="F20" s="68" t="s">
        <v>35</v>
      </c>
      <c r="G20" t="s">
        <v>33</v>
      </c>
      <c r="H20">
        <v>1</v>
      </c>
      <c r="I20">
        <f t="shared" si="1"/>
        <v>1.3000000000000001E-2</v>
      </c>
      <c r="J20" t="s">
        <v>31</v>
      </c>
      <c r="K20" t="s">
        <v>31</v>
      </c>
      <c r="L20" t="s">
        <v>31</v>
      </c>
      <c r="M20" t="s">
        <v>31</v>
      </c>
      <c r="N20" s="67" t="s">
        <v>892</v>
      </c>
      <c r="U20" s="101" t="s">
        <v>892</v>
      </c>
      <c r="V20" s="95" t="s">
        <v>857</v>
      </c>
      <c r="W20" s="93">
        <v>13</v>
      </c>
      <c r="Y20" t="s">
        <v>275</v>
      </c>
      <c r="Z20">
        <f>0.001*W20</f>
        <v>1.3000000000000001E-2</v>
      </c>
    </row>
    <row r="21" spans="1:29" ht="15.6">
      <c r="A21" s="103" t="s">
        <v>890</v>
      </c>
      <c r="B21">
        <f t="shared" si="0"/>
        <v>2E-3</v>
      </c>
      <c r="C21" t="s">
        <v>37</v>
      </c>
      <c r="D21" s="17" t="s">
        <v>416</v>
      </c>
      <c r="E21" t="s">
        <v>29</v>
      </c>
      <c r="F21" s="68" t="s">
        <v>35</v>
      </c>
      <c r="G21" t="s">
        <v>33</v>
      </c>
      <c r="H21">
        <v>1</v>
      </c>
      <c r="I21">
        <f t="shared" si="1"/>
        <v>2E-3</v>
      </c>
      <c r="J21" t="s">
        <v>31</v>
      </c>
      <c r="K21" t="s">
        <v>31</v>
      </c>
      <c r="L21" t="s">
        <v>31</v>
      </c>
      <c r="M21" t="s">
        <v>31</v>
      </c>
      <c r="N21" s="67" t="s">
        <v>893</v>
      </c>
      <c r="U21" s="101" t="s">
        <v>893</v>
      </c>
      <c r="V21" s="95" t="s">
        <v>857</v>
      </c>
      <c r="W21" s="93">
        <v>2</v>
      </c>
      <c r="Y21" t="s">
        <v>275</v>
      </c>
      <c r="Z21">
        <f>0.001*W21</f>
        <v>2E-3</v>
      </c>
    </row>
    <row r="22" spans="1:29" ht="15.6">
      <c r="A22" s="102" t="s">
        <v>1035</v>
      </c>
      <c r="B22">
        <f t="shared" si="0"/>
        <v>2E-3</v>
      </c>
      <c r="C22" t="s">
        <v>37</v>
      </c>
      <c r="D22" s="17" t="s">
        <v>416</v>
      </c>
      <c r="E22" t="s">
        <v>29</v>
      </c>
      <c r="F22" s="68" t="s">
        <v>35</v>
      </c>
      <c r="G22" t="s">
        <v>33</v>
      </c>
      <c r="H22">
        <v>1</v>
      </c>
      <c r="I22">
        <f t="shared" si="1"/>
        <v>2E-3</v>
      </c>
      <c r="J22" t="s">
        <v>31</v>
      </c>
      <c r="K22" t="s">
        <v>31</v>
      </c>
      <c r="L22" t="s">
        <v>31</v>
      </c>
      <c r="M22" t="s">
        <v>31</v>
      </c>
      <c r="N22" s="67" t="s">
        <v>893</v>
      </c>
      <c r="U22" s="101" t="s">
        <v>893</v>
      </c>
      <c r="V22" s="95" t="s">
        <v>857</v>
      </c>
      <c r="W22" s="93">
        <v>2</v>
      </c>
      <c r="Y22" t="s">
        <v>275</v>
      </c>
      <c r="Z22">
        <f>0.001*W22</f>
        <v>2E-3</v>
      </c>
    </row>
    <row r="23" spans="1:29" ht="15.6">
      <c r="A23" s="100" t="s">
        <v>1812</v>
      </c>
      <c r="B23">
        <f t="shared" si="0"/>
        <v>1.99</v>
      </c>
      <c r="C23" t="s">
        <v>37</v>
      </c>
      <c r="D23" s="17" t="s">
        <v>2</v>
      </c>
      <c r="E23" t="s">
        <v>29</v>
      </c>
      <c r="F23" s="68" t="s">
        <v>14</v>
      </c>
      <c r="G23" t="s">
        <v>33</v>
      </c>
      <c r="H23">
        <v>1</v>
      </c>
      <c r="I23">
        <f t="shared" si="1"/>
        <v>1.99</v>
      </c>
      <c r="J23" t="s">
        <v>31</v>
      </c>
      <c r="K23" t="s">
        <v>31</v>
      </c>
      <c r="L23" t="s">
        <v>31</v>
      </c>
      <c r="M23" t="s">
        <v>31</v>
      </c>
      <c r="N23" s="67" t="s">
        <v>1812</v>
      </c>
      <c r="U23" s="95" t="s">
        <v>1812</v>
      </c>
      <c r="V23" s="95" t="s">
        <v>275</v>
      </c>
      <c r="W23" s="93">
        <v>1.99</v>
      </c>
      <c r="Y23" t="s">
        <v>275</v>
      </c>
      <c r="Z23">
        <f>W23</f>
        <v>1.99</v>
      </c>
    </row>
    <row r="24" spans="1:29" ht="15.6">
      <c r="A24" s="99" t="s">
        <v>1734</v>
      </c>
      <c r="B24" s="23">
        <f>'B. Machined casing'!B7</f>
        <v>6.65</v>
      </c>
      <c r="C24" t="s">
        <v>37</v>
      </c>
      <c r="D24" s="17" t="s">
        <v>2</v>
      </c>
      <c r="E24" t="s">
        <v>29</v>
      </c>
      <c r="F24" s="68" t="s">
        <v>14</v>
      </c>
      <c r="G24" t="s">
        <v>33</v>
      </c>
      <c r="H24">
        <v>1</v>
      </c>
      <c r="I24">
        <f t="shared" si="1"/>
        <v>6.65</v>
      </c>
      <c r="J24" t="s">
        <v>31</v>
      </c>
      <c r="K24" t="s">
        <v>31</v>
      </c>
      <c r="L24" t="s">
        <v>31</v>
      </c>
      <c r="M24" t="s">
        <v>31</v>
      </c>
      <c r="N24" s="67" t="s">
        <v>896</v>
      </c>
      <c r="U24" s="95" t="s">
        <v>1039</v>
      </c>
      <c r="V24" s="94" t="s">
        <v>275</v>
      </c>
      <c r="W24" s="93">
        <v>6.75</v>
      </c>
      <c r="Y24" t="s">
        <v>275</v>
      </c>
      <c r="Z24">
        <f>W24</f>
        <v>6.75</v>
      </c>
    </row>
    <row r="25" spans="1:29" ht="15.6">
      <c r="A25" s="98" t="s">
        <v>898</v>
      </c>
      <c r="B25">
        <f>Z25</f>
        <v>4.9000000000000002E-2</v>
      </c>
      <c r="C25" t="s">
        <v>37</v>
      </c>
      <c r="D25" s="17" t="s">
        <v>416</v>
      </c>
      <c r="E25" t="s">
        <v>29</v>
      </c>
      <c r="F25" s="68" t="s">
        <v>82</v>
      </c>
      <c r="G25" t="s">
        <v>33</v>
      </c>
      <c r="H25">
        <v>1</v>
      </c>
      <c r="I25">
        <f t="shared" si="1"/>
        <v>4.9000000000000002E-2</v>
      </c>
      <c r="J25" t="s">
        <v>31</v>
      </c>
      <c r="K25" t="s">
        <v>31</v>
      </c>
      <c r="L25" t="s">
        <v>31</v>
      </c>
      <c r="M25" t="s">
        <v>31</v>
      </c>
      <c r="N25" s="67" t="s">
        <v>899</v>
      </c>
      <c r="U25" s="97" t="s">
        <v>899</v>
      </c>
      <c r="V25" s="97" t="s">
        <v>857</v>
      </c>
      <c r="W25" s="96">
        <v>49</v>
      </c>
      <c r="Y25" t="s">
        <v>275</v>
      </c>
      <c r="Z25">
        <f>W25*0.001</f>
        <v>4.9000000000000002E-2</v>
      </c>
    </row>
    <row r="26" spans="1:29" ht="15.6">
      <c r="A26" s="98" t="s">
        <v>900</v>
      </c>
      <c r="B26">
        <f>Z26</f>
        <v>1.0999999999999999E-2</v>
      </c>
      <c r="C26" t="s">
        <v>37</v>
      </c>
      <c r="D26" s="17" t="s">
        <v>416</v>
      </c>
      <c r="E26" t="s">
        <v>29</v>
      </c>
      <c r="F26" s="68" t="s">
        <v>59</v>
      </c>
      <c r="G26" t="s">
        <v>33</v>
      </c>
      <c r="H26">
        <v>1</v>
      </c>
      <c r="I26">
        <f t="shared" si="1"/>
        <v>1.0999999999999999E-2</v>
      </c>
      <c r="J26" t="s">
        <v>31</v>
      </c>
      <c r="K26" t="s">
        <v>31</v>
      </c>
      <c r="L26" t="s">
        <v>31</v>
      </c>
      <c r="M26" t="s">
        <v>31</v>
      </c>
      <c r="N26" t="s">
        <v>901</v>
      </c>
      <c r="U26" s="97" t="s">
        <v>901</v>
      </c>
      <c r="V26" s="97" t="s">
        <v>857</v>
      </c>
      <c r="W26" s="96">
        <v>11</v>
      </c>
      <c r="Y26" t="s">
        <v>275</v>
      </c>
      <c r="Z26">
        <f>0.001*W26</f>
        <v>1.0999999999999999E-2</v>
      </c>
    </row>
    <row r="27" spans="1:29" ht="15.6">
      <c r="A27" s="98" t="s">
        <v>179</v>
      </c>
      <c r="B27">
        <f>Z27</f>
        <v>1.0999999999999999E-2</v>
      </c>
      <c r="C27" t="s">
        <v>37</v>
      </c>
      <c r="D27" s="17" t="s">
        <v>416</v>
      </c>
      <c r="E27" t="s">
        <v>29</v>
      </c>
      <c r="F27" s="68" t="s">
        <v>35</v>
      </c>
      <c r="G27" t="s">
        <v>33</v>
      </c>
      <c r="H27">
        <v>1</v>
      </c>
      <c r="I27">
        <f t="shared" si="1"/>
        <v>1.0999999999999999E-2</v>
      </c>
      <c r="J27" t="s">
        <v>31</v>
      </c>
      <c r="K27" t="s">
        <v>31</v>
      </c>
      <c r="L27" t="s">
        <v>31</v>
      </c>
      <c r="M27" t="s">
        <v>31</v>
      </c>
      <c r="N27" t="s">
        <v>902</v>
      </c>
      <c r="U27" s="97" t="s">
        <v>902</v>
      </c>
      <c r="V27" s="97" t="s">
        <v>857</v>
      </c>
      <c r="W27" s="96">
        <v>11</v>
      </c>
      <c r="Y27" t="s">
        <v>275</v>
      </c>
      <c r="Z27">
        <f>0.001*W27</f>
        <v>1.0999999999999999E-2</v>
      </c>
    </row>
    <row r="28" spans="1:29" ht="15.6">
      <c r="A28" s="92" t="s">
        <v>38</v>
      </c>
      <c r="B28">
        <v>1.6</v>
      </c>
      <c r="C28" t="s">
        <v>39</v>
      </c>
      <c r="D28" s="17" t="s">
        <v>416</v>
      </c>
      <c r="E28" t="s">
        <v>29</v>
      </c>
      <c r="F28" t="s">
        <v>14</v>
      </c>
      <c r="G28" t="s">
        <v>33</v>
      </c>
      <c r="H28">
        <v>1</v>
      </c>
      <c r="I28">
        <f t="shared" si="1"/>
        <v>1.6</v>
      </c>
      <c r="J28" t="s">
        <v>31</v>
      </c>
      <c r="K28" t="s">
        <v>31</v>
      </c>
      <c r="L28" t="s">
        <v>31</v>
      </c>
      <c r="M28" t="s">
        <v>31</v>
      </c>
      <c r="N28" t="s">
        <v>1040</v>
      </c>
      <c r="U28" s="95"/>
      <c r="V28" s="94"/>
      <c r="W28" s="93"/>
    </row>
    <row r="29" spans="1:29" ht="15.6">
      <c r="A29" s="92" t="s">
        <v>38</v>
      </c>
      <c r="B29">
        <v>3.7</v>
      </c>
      <c r="C29" t="s">
        <v>39</v>
      </c>
      <c r="D29" s="17" t="s">
        <v>416</v>
      </c>
      <c r="E29" t="s">
        <v>29</v>
      </c>
      <c r="F29" t="s">
        <v>14</v>
      </c>
      <c r="G29" t="s">
        <v>33</v>
      </c>
      <c r="H29">
        <v>1</v>
      </c>
      <c r="I29">
        <f t="shared" si="1"/>
        <v>3.7</v>
      </c>
      <c r="J29" t="s">
        <v>31</v>
      </c>
      <c r="K29" t="s">
        <v>31</v>
      </c>
      <c r="L29" t="s">
        <v>31</v>
      </c>
      <c r="M29" t="s">
        <v>31</v>
      </c>
      <c r="N29" t="s">
        <v>904</v>
      </c>
    </row>
    <row r="30" spans="1:29" ht="15.6">
      <c r="A30" s="92" t="s">
        <v>38</v>
      </c>
      <c r="B30">
        <v>1.5</v>
      </c>
      <c r="C30" t="s">
        <v>39</v>
      </c>
      <c r="D30" s="17" t="s">
        <v>416</v>
      </c>
      <c r="E30" t="s">
        <v>29</v>
      </c>
      <c r="F30" t="s">
        <v>14</v>
      </c>
      <c r="G30" t="s">
        <v>33</v>
      </c>
      <c r="H30">
        <v>1</v>
      </c>
      <c r="I30">
        <f t="shared" si="1"/>
        <v>1.5</v>
      </c>
      <c r="J30" t="s">
        <v>31</v>
      </c>
      <c r="K30" t="s">
        <v>31</v>
      </c>
      <c r="L30" t="s">
        <v>31</v>
      </c>
      <c r="M30" t="s">
        <v>31</v>
      </c>
      <c r="N30" t="s">
        <v>905</v>
      </c>
    </row>
    <row r="31" spans="1:29" ht="15.6">
      <c r="A31" s="76"/>
      <c r="B31" s="75"/>
      <c r="C31" s="74"/>
      <c r="D31" s="73"/>
      <c r="E31" s="73"/>
      <c r="F31" s="73"/>
      <c r="G31" s="73"/>
      <c r="H31" s="73"/>
      <c r="I31" s="73"/>
      <c r="J31" s="73"/>
      <c r="K31" s="73"/>
      <c r="L31" s="73"/>
      <c r="M31" s="73"/>
    </row>
    <row r="32" spans="1:29">
      <c r="A32" s="70"/>
      <c r="C32" s="72"/>
      <c r="N32" t="s">
        <v>1813</v>
      </c>
    </row>
    <row r="33" spans="1:14">
      <c r="A33" s="70"/>
      <c r="C33" s="72"/>
      <c r="N33" s="91">
        <f>SUM(B13:B27)-B17+0.245</f>
        <v>13.505999999999997</v>
      </c>
    </row>
    <row r="34" spans="1:14">
      <c r="A34" s="70"/>
      <c r="B34" s="71"/>
    </row>
    <row r="35" spans="1:14" ht="15.6">
      <c r="A35" s="67"/>
      <c r="D35" s="17"/>
      <c r="F35" s="68"/>
    </row>
    <row r="36" spans="1:14" ht="15.6">
      <c r="D36" s="17"/>
      <c r="F36" s="68"/>
    </row>
    <row r="37" spans="1:14" ht="15.6">
      <c r="A37" s="67"/>
      <c r="D37" s="17"/>
      <c r="F37" s="68"/>
    </row>
    <row r="38" spans="1:14" ht="15.6">
      <c r="A38" s="67"/>
      <c r="D38" s="17"/>
      <c r="F38" s="68"/>
    </row>
    <row r="39" spans="1:14" ht="15.6">
      <c r="A39" s="17"/>
      <c r="D39" s="17"/>
      <c r="F39" s="68"/>
    </row>
    <row r="40" spans="1:14" ht="15.6">
      <c r="A40" s="17"/>
      <c r="D40" s="17"/>
    </row>
    <row r="41" spans="1:14" ht="15.6">
      <c r="A41" s="67"/>
      <c r="D41" s="17"/>
    </row>
  </sheetData>
  <pageMargins left="0.7" right="0.7" top="0.75" bottom="0.75" header="0.3" footer="0.3"/>
  <pageSetup paperSize="9"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12FF4-2822-481D-AD95-1BD134122BF6}">
  <sheetPr>
    <tabColor theme="8" tint="0.79998168889431442"/>
  </sheetPr>
  <dimension ref="A1:U104"/>
  <sheetViews>
    <sheetView topLeftCell="A103" zoomScale="85" zoomScaleNormal="85" workbookViewId="0">
      <selection activeCell="A118" sqref="A118:L129"/>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6">
      <c r="A2" s="119" t="s">
        <v>5</v>
      </c>
      <c r="B2" s="126" t="s">
        <v>1810</v>
      </c>
      <c r="C2" s="74"/>
      <c r="D2" s="73"/>
      <c r="E2" s="73"/>
      <c r="F2" s="73"/>
      <c r="G2" s="73"/>
      <c r="H2" s="73"/>
      <c r="I2" s="73"/>
      <c r="J2" s="73"/>
      <c r="K2" s="73"/>
      <c r="L2" s="73"/>
      <c r="M2" s="73"/>
      <c r="N2" s="73"/>
      <c r="O2" s="73"/>
      <c r="P2" s="73"/>
      <c r="Q2" s="73"/>
      <c r="R2" s="73"/>
    </row>
    <row r="3" spans="1:21">
      <c r="A3" s="118" t="s">
        <v>7</v>
      </c>
      <c r="B3" t="s">
        <v>1709</v>
      </c>
      <c r="C3" s="72"/>
    </row>
    <row r="4" spans="1:21">
      <c r="A4" s="118" t="s">
        <v>9</v>
      </c>
      <c r="B4" t="s">
        <v>1814</v>
      </c>
      <c r="C4" s="72"/>
      <c r="U4" s="90"/>
    </row>
    <row r="5" spans="1:21" ht="12.75" customHeight="1">
      <c r="A5" s="118" t="s">
        <v>11</v>
      </c>
      <c r="B5" s="71" t="s">
        <v>841</v>
      </c>
    </row>
    <row r="6" spans="1:21">
      <c r="A6" s="118" t="s">
        <v>13</v>
      </c>
      <c r="B6" t="s">
        <v>14</v>
      </c>
    </row>
    <row r="7" spans="1:21">
      <c r="A7" s="118" t="s">
        <v>15</v>
      </c>
      <c r="B7">
        <f>B12</f>
        <v>1.0999999999999999E-2</v>
      </c>
    </row>
    <row r="8" spans="1:21">
      <c r="A8" s="118" t="s">
        <v>16</v>
      </c>
      <c r="B8" t="s">
        <v>17</v>
      </c>
    </row>
    <row r="9" spans="1:21">
      <c r="A9" s="118" t="s">
        <v>18</v>
      </c>
      <c r="B9" t="s">
        <v>853</v>
      </c>
    </row>
    <row r="10" spans="1:21" ht="15.6">
      <c r="A10" s="117" t="s">
        <v>19</v>
      </c>
    </row>
    <row r="11" spans="1:21" ht="15.6">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1810</v>
      </c>
      <c r="B12">
        <v>1.0999999999999999E-2</v>
      </c>
      <c r="C12" t="s">
        <v>853</v>
      </c>
      <c r="D12" s="110" t="s">
        <v>2</v>
      </c>
      <c r="E12" t="s">
        <v>29</v>
      </c>
      <c r="F12" s="68" t="s">
        <v>14</v>
      </c>
      <c r="G12" t="s">
        <v>30</v>
      </c>
      <c r="H12">
        <v>1</v>
      </c>
      <c r="I12">
        <f>B12</f>
        <v>1.0999999999999999E-2</v>
      </c>
      <c r="J12" t="s">
        <v>31</v>
      </c>
      <c r="K12" t="s">
        <v>31</v>
      </c>
      <c r="L12" t="s">
        <v>31</v>
      </c>
      <c r="M12" t="s">
        <v>31</v>
      </c>
      <c r="O12" s="130"/>
      <c r="P12" s="129"/>
    </row>
    <row r="13" spans="1:21" ht="15.6">
      <c r="A13" s="22" t="s">
        <v>1815</v>
      </c>
      <c r="B13">
        <f>R13</f>
        <v>6.3799999999999982E-2</v>
      </c>
      <c r="C13" t="s">
        <v>37</v>
      </c>
      <c r="D13" s="110" t="s">
        <v>2</v>
      </c>
      <c r="E13" t="s">
        <v>29</v>
      </c>
      <c r="F13" s="68" t="s">
        <v>14</v>
      </c>
      <c r="G13" t="s">
        <v>33</v>
      </c>
      <c r="H13">
        <v>1</v>
      </c>
      <c r="I13">
        <f>B13</f>
        <v>6.3799999999999982E-2</v>
      </c>
      <c r="J13" t="s">
        <v>31</v>
      </c>
      <c r="K13" t="s">
        <v>31</v>
      </c>
      <c r="L13" t="s">
        <v>31</v>
      </c>
      <c r="M13" t="s">
        <v>31</v>
      </c>
      <c r="O13" s="91" t="s">
        <v>1816</v>
      </c>
      <c r="P13">
        <f>0.29/0.05</f>
        <v>5.7999999999999989</v>
      </c>
      <c r="Q13" t="s">
        <v>943</v>
      </c>
      <c r="R13">
        <f>P13*B12</f>
        <v>6.3799999999999982E-2</v>
      </c>
    </row>
    <row r="14" spans="1:21" ht="15.6">
      <c r="A14" s="22" t="s">
        <v>1817</v>
      </c>
      <c r="B14">
        <f>B12</f>
        <v>1.0999999999999999E-2</v>
      </c>
      <c r="C14" t="s">
        <v>853</v>
      </c>
      <c r="D14" s="110" t="s">
        <v>2</v>
      </c>
      <c r="E14" t="s">
        <v>29</v>
      </c>
      <c r="F14" s="68" t="s">
        <v>14</v>
      </c>
      <c r="G14" t="s">
        <v>33</v>
      </c>
      <c r="H14">
        <v>1</v>
      </c>
      <c r="I14">
        <f>B14</f>
        <v>1.0999999999999999E-2</v>
      </c>
      <c r="J14" t="s">
        <v>31</v>
      </c>
      <c r="K14" t="s">
        <v>31</v>
      </c>
      <c r="L14" t="s">
        <v>31</v>
      </c>
      <c r="M14" t="s">
        <v>31</v>
      </c>
    </row>
    <row r="15" spans="1:21" ht="15.6">
      <c r="A15" s="116" t="s">
        <v>844</v>
      </c>
      <c r="B15">
        <f>P15</f>
        <v>0.09</v>
      </c>
      <c r="C15" t="s">
        <v>37</v>
      </c>
      <c r="D15" s="17" t="s">
        <v>416</v>
      </c>
      <c r="E15" t="s">
        <v>29</v>
      </c>
      <c r="F15" s="68" t="s">
        <v>74</v>
      </c>
      <c r="G15" t="s">
        <v>33</v>
      </c>
      <c r="H15">
        <v>2</v>
      </c>
      <c r="I15">
        <f>LN(B15)</f>
        <v>-2.4079456086518722</v>
      </c>
      <c r="J15" s="125">
        <v>0.11236102527122109</v>
      </c>
      <c r="K15" t="s">
        <v>31</v>
      </c>
      <c r="L15" t="s">
        <v>31</v>
      </c>
      <c r="M15" t="s">
        <v>31</v>
      </c>
      <c r="O15" s="97" t="s">
        <v>275</v>
      </c>
      <c r="P15" s="134">
        <v>0.09</v>
      </c>
    </row>
    <row r="16" spans="1:21" ht="15.6">
      <c r="A16" s="116" t="s">
        <v>912</v>
      </c>
      <c r="B16" s="111">
        <f>Q16</f>
        <v>4.4999999999999998E-9</v>
      </c>
      <c r="C16" t="s">
        <v>37</v>
      </c>
      <c r="D16" s="17" t="s">
        <v>416</v>
      </c>
      <c r="E16" t="s">
        <v>29</v>
      </c>
      <c r="F16" s="68" t="s">
        <v>59</v>
      </c>
      <c r="G16" t="s">
        <v>33</v>
      </c>
      <c r="H16">
        <v>2</v>
      </c>
      <c r="I16">
        <f>LN(B16)</f>
        <v>-19.219188440170136</v>
      </c>
      <c r="J16" s="125">
        <v>0.11236102527122109</v>
      </c>
      <c r="K16" t="s">
        <v>31</v>
      </c>
      <c r="L16" t="s">
        <v>31</v>
      </c>
      <c r="M16" t="s">
        <v>31</v>
      </c>
      <c r="O16" s="128" t="s">
        <v>862</v>
      </c>
      <c r="P16" s="176">
        <v>4.4999999999999997E-3</v>
      </c>
      <c r="Q16" s="111">
        <f>P16*10^(-6)</f>
        <v>4.4999999999999998E-9</v>
      </c>
      <c r="R16" t="s">
        <v>37</v>
      </c>
    </row>
    <row r="17" spans="1:18" ht="15.6">
      <c r="A17" s="116" t="s">
        <v>76</v>
      </c>
      <c r="B17">
        <f>Q17</f>
        <v>8.9999999999999992E-5</v>
      </c>
      <c r="C17" t="s">
        <v>42</v>
      </c>
      <c r="D17" s="17" t="s">
        <v>416</v>
      </c>
      <c r="E17" t="s">
        <v>29</v>
      </c>
      <c r="F17" s="68" t="s">
        <v>74</v>
      </c>
      <c r="G17" t="s">
        <v>33</v>
      </c>
      <c r="H17">
        <v>2</v>
      </c>
      <c r="I17">
        <f>LN(B17)</f>
        <v>-9.3157008876340086</v>
      </c>
      <c r="J17" s="125">
        <v>0.11236102527122109</v>
      </c>
      <c r="K17" t="s">
        <v>31</v>
      </c>
      <c r="L17" t="s">
        <v>31</v>
      </c>
      <c r="M17" t="s">
        <v>31</v>
      </c>
      <c r="O17" s="124" t="s">
        <v>913</v>
      </c>
      <c r="P17" s="133">
        <v>0.09</v>
      </c>
      <c r="Q17">
        <f>P17/1000</f>
        <v>8.9999999999999992E-5</v>
      </c>
      <c r="R17" t="s">
        <v>914</v>
      </c>
    </row>
    <row r="18" spans="1:18" ht="15.6">
      <c r="A18" s="119" t="s">
        <v>5</v>
      </c>
      <c r="B18" s="126" t="s">
        <v>1815</v>
      </c>
      <c r="C18" s="74"/>
      <c r="D18" s="73"/>
      <c r="E18" s="73"/>
      <c r="F18" s="73"/>
      <c r="G18" s="73"/>
      <c r="H18" s="73"/>
      <c r="I18" s="73"/>
      <c r="J18" s="73"/>
      <c r="K18" s="73"/>
      <c r="L18" s="73"/>
      <c r="M18" s="73"/>
      <c r="N18" s="73"/>
      <c r="O18" s="73"/>
      <c r="P18" s="73"/>
      <c r="Q18" s="73"/>
      <c r="R18" s="73"/>
    </row>
    <row r="19" spans="1:18">
      <c r="A19" s="118" t="s">
        <v>7</v>
      </c>
      <c r="B19" t="s">
        <v>1709</v>
      </c>
      <c r="C19" s="72"/>
    </row>
    <row r="20" spans="1:18">
      <c r="A20" s="118" t="s">
        <v>9</v>
      </c>
      <c r="B20" t="s">
        <v>1818</v>
      </c>
      <c r="C20" s="72"/>
    </row>
    <row r="21" spans="1:18" ht="10.5" customHeight="1">
      <c r="A21" s="118" t="s">
        <v>11</v>
      </c>
      <c r="B21" s="71" t="s">
        <v>841</v>
      </c>
      <c r="P21" s="114"/>
    </row>
    <row r="22" spans="1:18">
      <c r="A22" s="118" t="s">
        <v>13</v>
      </c>
      <c r="B22" t="s">
        <v>14</v>
      </c>
      <c r="P22" s="114"/>
    </row>
    <row r="23" spans="1:18">
      <c r="A23" s="118" t="s">
        <v>15</v>
      </c>
      <c r="B23">
        <f>B28</f>
        <v>6.0000000000000001E-3</v>
      </c>
      <c r="P23" s="114"/>
    </row>
    <row r="24" spans="1:18">
      <c r="A24" s="118" t="s">
        <v>16</v>
      </c>
      <c r="B24" t="s">
        <v>17</v>
      </c>
    </row>
    <row r="25" spans="1:18">
      <c r="A25" s="118" t="s">
        <v>18</v>
      </c>
      <c r="B25" t="s">
        <v>37</v>
      </c>
    </row>
    <row r="26" spans="1:18" ht="15.6">
      <c r="A26" s="117" t="s">
        <v>19</v>
      </c>
    </row>
    <row r="27" spans="1:18" ht="15.6">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1815</v>
      </c>
      <c r="B28">
        <v>6.0000000000000001E-3</v>
      </c>
      <c r="C28" t="s">
        <v>37</v>
      </c>
      <c r="D28" s="110" t="s">
        <v>2</v>
      </c>
      <c r="E28" t="s">
        <v>29</v>
      </c>
      <c r="F28" s="68" t="s">
        <v>14</v>
      </c>
      <c r="G28" t="s">
        <v>30</v>
      </c>
      <c r="H28">
        <v>1</v>
      </c>
      <c r="I28">
        <f>B28</f>
        <v>6.0000000000000001E-3</v>
      </c>
      <c r="J28" t="s">
        <v>31</v>
      </c>
      <c r="K28" t="s">
        <v>31</v>
      </c>
      <c r="L28" t="s">
        <v>31</v>
      </c>
      <c r="M28" t="s">
        <v>31</v>
      </c>
    </row>
    <row r="29" spans="1:18" ht="15.6">
      <c r="A29" s="116" t="s">
        <v>912</v>
      </c>
      <c r="B29" s="111">
        <f>R29</f>
        <v>6.5000000000000006E-3</v>
      </c>
      <c r="C29" t="s">
        <v>37</v>
      </c>
      <c r="D29" s="17" t="s">
        <v>416</v>
      </c>
      <c r="E29" t="s">
        <v>29</v>
      </c>
      <c r="F29" s="68" t="s">
        <v>59</v>
      </c>
      <c r="G29" t="s">
        <v>33</v>
      </c>
      <c r="H29">
        <v>2</v>
      </c>
      <c r="I29">
        <f>LN(B29)</f>
        <v>-5.0359531020805459</v>
      </c>
      <c r="J29" s="125">
        <v>0.11236102527122109</v>
      </c>
      <c r="K29" t="s">
        <v>31</v>
      </c>
      <c r="L29" t="s">
        <v>31</v>
      </c>
      <c r="M29" t="s">
        <v>31</v>
      </c>
      <c r="O29" s="97" t="s">
        <v>857</v>
      </c>
      <c r="P29" s="107">
        <v>6.5</v>
      </c>
      <c r="Q29" t="s">
        <v>275</v>
      </c>
      <c r="R29">
        <f>P29*0.001</f>
        <v>6.5000000000000006E-3</v>
      </c>
    </row>
    <row r="30" spans="1:18" ht="15.6">
      <c r="A30" s="121" t="s">
        <v>38</v>
      </c>
      <c r="B30" s="115">
        <f>P30</f>
        <v>0.03</v>
      </c>
      <c r="C30" t="s">
        <v>39</v>
      </c>
      <c r="D30" s="17" t="s">
        <v>416</v>
      </c>
      <c r="E30" t="s">
        <v>29</v>
      </c>
      <c r="F30" s="68" t="s">
        <v>35</v>
      </c>
      <c r="G30" t="s">
        <v>33</v>
      </c>
      <c r="H30">
        <v>2</v>
      </c>
      <c r="I30">
        <f>LN(B30)</f>
        <v>-3.5065578973199818</v>
      </c>
      <c r="J30" s="125">
        <v>0.11236102527122109</v>
      </c>
      <c r="K30" t="s">
        <v>31</v>
      </c>
      <c r="L30" t="s">
        <v>31</v>
      </c>
      <c r="M30" t="s">
        <v>31</v>
      </c>
      <c r="O30" s="97" t="s">
        <v>271</v>
      </c>
      <c r="P30" s="107">
        <v>0.03</v>
      </c>
    </row>
    <row r="31" spans="1:18" ht="15.6">
      <c r="A31" s="116" t="s">
        <v>916</v>
      </c>
      <c r="B31">
        <f>R31</f>
        <v>2.9999999999999997E-4</v>
      </c>
      <c r="C31" t="s">
        <v>37</v>
      </c>
      <c r="D31" s="17" t="s">
        <v>43</v>
      </c>
      <c r="E31" t="s">
        <v>917</v>
      </c>
      <c r="F31" s="68" t="s">
        <v>29</v>
      </c>
      <c r="G31" t="s">
        <v>45</v>
      </c>
      <c r="H31">
        <v>2</v>
      </c>
      <c r="I31">
        <f>LN(B31)</f>
        <v>-8.1117280833080727</v>
      </c>
      <c r="J31" s="125">
        <v>0.11236102527122109</v>
      </c>
      <c r="K31" t="s">
        <v>31</v>
      </c>
      <c r="L31" t="s">
        <v>31</v>
      </c>
      <c r="M31" t="s">
        <v>31</v>
      </c>
      <c r="O31" s="124" t="s">
        <v>857</v>
      </c>
      <c r="P31" s="123">
        <v>0.3</v>
      </c>
      <c r="Q31" t="s">
        <v>275</v>
      </c>
      <c r="R31">
        <f>P31*0.001</f>
        <v>2.9999999999999997E-4</v>
      </c>
    </row>
    <row r="32" spans="1:18" ht="15.6">
      <c r="A32" s="119" t="s">
        <v>5</v>
      </c>
      <c r="B32" s="106" t="s">
        <v>1817</v>
      </c>
      <c r="C32" s="74"/>
      <c r="D32" s="73"/>
      <c r="E32" s="73"/>
      <c r="F32" s="73"/>
      <c r="G32" s="73"/>
      <c r="H32" s="73"/>
      <c r="I32" s="73"/>
      <c r="J32" s="73"/>
      <c r="K32" s="73"/>
      <c r="L32" s="73"/>
      <c r="M32" s="73"/>
      <c r="N32" s="73"/>
      <c r="O32" s="73"/>
      <c r="P32" s="73"/>
      <c r="Q32" s="73"/>
      <c r="R32" s="73"/>
    </row>
    <row r="33" spans="1:20">
      <c r="A33" s="118" t="s">
        <v>7</v>
      </c>
      <c r="B33" t="s">
        <v>1709</v>
      </c>
      <c r="C33" s="72"/>
    </row>
    <row r="34" spans="1:20">
      <c r="A34" s="118" t="s">
        <v>9</v>
      </c>
      <c r="B34" t="s">
        <v>1819</v>
      </c>
      <c r="C34" s="72"/>
    </row>
    <row r="35" spans="1:20" ht="15.75" customHeight="1">
      <c r="A35" s="118" t="s">
        <v>11</v>
      </c>
      <c r="B35" s="71" t="s">
        <v>841</v>
      </c>
      <c r="O35" s="90" t="s">
        <v>1820</v>
      </c>
      <c r="T35" s="90"/>
    </row>
    <row r="36" spans="1:20">
      <c r="A36" s="118" t="s">
        <v>13</v>
      </c>
      <c r="B36" t="s">
        <v>14</v>
      </c>
      <c r="O36">
        <f>0.29/0.05</f>
        <v>5.7999999999999989</v>
      </c>
      <c r="P36" t="s">
        <v>943</v>
      </c>
    </row>
    <row r="37" spans="1:20">
      <c r="A37" s="118" t="s">
        <v>15</v>
      </c>
      <c r="B37">
        <v>0.22</v>
      </c>
    </row>
    <row r="38" spans="1:20">
      <c r="A38" s="118" t="s">
        <v>16</v>
      </c>
      <c r="B38" t="s">
        <v>17</v>
      </c>
    </row>
    <row r="39" spans="1:20">
      <c r="A39" s="118" t="s">
        <v>18</v>
      </c>
      <c r="B39" t="s">
        <v>853</v>
      </c>
    </row>
    <row r="40" spans="1:20" ht="15.6">
      <c r="A40" s="117" t="s">
        <v>19</v>
      </c>
    </row>
    <row r="41" spans="1:20" ht="15.6">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6">
      <c r="A42" s="22" t="s">
        <v>1817</v>
      </c>
      <c r="B42">
        <v>0.05</v>
      </c>
      <c r="C42" t="s">
        <v>853</v>
      </c>
      <c r="D42" s="110" t="s">
        <v>2</v>
      </c>
      <c r="E42" t="s">
        <v>29</v>
      </c>
      <c r="F42" s="68" t="s">
        <v>14</v>
      </c>
      <c r="G42" t="s">
        <v>30</v>
      </c>
      <c r="H42">
        <v>1</v>
      </c>
      <c r="I42">
        <f>B42</f>
        <v>0.05</v>
      </c>
      <c r="J42" t="s">
        <v>31</v>
      </c>
      <c r="K42" t="s">
        <v>31</v>
      </c>
      <c r="L42" t="s">
        <v>31</v>
      </c>
      <c r="M42" t="s">
        <v>31</v>
      </c>
    </row>
    <row r="43" spans="1:20" ht="15.6">
      <c r="A43" s="22" t="s">
        <v>1821</v>
      </c>
      <c r="B43" s="111">
        <v>0.28999999999999998</v>
      </c>
      <c r="C43" t="s">
        <v>37</v>
      </c>
      <c r="D43" s="110" t="s">
        <v>2</v>
      </c>
      <c r="E43" t="s">
        <v>29</v>
      </c>
      <c r="F43" s="68" t="s">
        <v>14</v>
      </c>
      <c r="G43" t="s">
        <v>33</v>
      </c>
      <c r="H43">
        <v>1</v>
      </c>
      <c r="I43">
        <f>B43</f>
        <v>0.28999999999999998</v>
      </c>
      <c r="J43" t="s">
        <v>31</v>
      </c>
      <c r="K43" t="s">
        <v>31</v>
      </c>
      <c r="L43" t="s">
        <v>31</v>
      </c>
      <c r="M43" t="s">
        <v>31</v>
      </c>
      <c r="O43" s="97"/>
      <c r="P43" s="107"/>
    </row>
    <row r="44" spans="1:20" ht="15.6">
      <c r="A44" s="121" t="s">
        <v>38</v>
      </c>
      <c r="B44" s="115">
        <f>P44</f>
        <v>0.31</v>
      </c>
      <c r="C44" t="s">
        <v>39</v>
      </c>
      <c r="D44" s="17" t="s">
        <v>416</v>
      </c>
      <c r="E44" t="s">
        <v>29</v>
      </c>
      <c r="F44" s="68" t="s">
        <v>35</v>
      </c>
      <c r="G44" t="s">
        <v>33</v>
      </c>
      <c r="H44">
        <v>2</v>
      </c>
      <c r="I44">
        <f>LN(B44)</f>
        <v>-1.1711829815029451</v>
      </c>
      <c r="J44" s="125">
        <v>7.2284161474004766E-2</v>
      </c>
      <c r="K44" t="s">
        <v>31</v>
      </c>
      <c r="L44" t="s">
        <v>31</v>
      </c>
      <c r="M44" t="s">
        <v>31</v>
      </c>
      <c r="O44" s="97" t="s">
        <v>271</v>
      </c>
      <c r="P44" s="134">
        <v>0.31</v>
      </c>
    </row>
    <row r="45" spans="1:20" ht="15.6">
      <c r="A45" s="116" t="s">
        <v>491</v>
      </c>
      <c r="B45">
        <f>R45</f>
        <v>7.0000000000000001E-3</v>
      </c>
      <c r="C45" t="s">
        <v>37</v>
      </c>
      <c r="D45" s="17" t="s">
        <v>416</v>
      </c>
      <c r="E45" t="s">
        <v>29</v>
      </c>
      <c r="F45" s="68" t="s">
        <v>59</v>
      </c>
      <c r="G45" t="s">
        <v>33</v>
      </c>
      <c r="H45">
        <v>2</v>
      </c>
      <c r="I45">
        <f>LN(B45)</f>
        <v>-4.9618451299268234</v>
      </c>
      <c r="J45" s="125">
        <v>7.2284161474004766E-2</v>
      </c>
      <c r="K45" t="s">
        <v>31</v>
      </c>
      <c r="L45" t="s">
        <v>31</v>
      </c>
      <c r="M45" t="s">
        <v>31</v>
      </c>
      <c r="O45" s="97" t="s">
        <v>857</v>
      </c>
      <c r="P45" s="134">
        <v>7</v>
      </c>
      <c r="Q45" t="s">
        <v>275</v>
      </c>
      <c r="R45">
        <f>P45*0.001</f>
        <v>7.0000000000000001E-3</v>
      </c>
    </row>
    <row r="46" spans="1:20" ht="15.6">
      <c r="A46" s="116" t="s">
        <v>921</v>
      </c>
      <c r="B46">
        <f>R46</f>
        <v>1.3000000000000001E-2</v>
      </c>
      <c r="C46" t="s">
        <v>37</v>
      </c>
      <c r="D46" s="17" t="s">
        <v>416</v>
      </c>
      <c r="E46" t="s">
        <v>29</v>
      </c>
      <c r="F46" s="68" t="s">
        <v>35</v>
      </c>
      <c r="G46" t="s">
        <v>33</v>
      </c>
      <c r="H46">
        <v>2</v>
      </c>
      <c r="I46">
        <f>LN(B46)</f>
        <v>-4.3428059215206005</v>
      </c>
      <c r="J46" s="125">
        <v>7.2284161474004766E-2</v>
      </c>
      <c r="K46" t="s">
        <v>31</v>
      </c>
      <c r="L46" t="s">
        <v>31</v>
      </c>
      <c r="M46" t="s">
        <v>31</v>
      </c>
      <c r="O46" s="97" t="s">
        <v>857</v>
      </c>
      <c r="P46" s="134">
        <v>13</v>
      </c>
      <c r="Q46" t="s">
        <v>275</v>
      </c>
      <c r="R46">
        <f>P46*0.001</f>
        <v>1.3000000000000001E-2</v>
      </c>
    </row>
    <row r="47" spans="1:20" ht="15.6">
      <c r="A47" s="116" t="s">
        <v>844</v>
      </c>
      <c r="B47">
        <f>P47</f>
        <v>11.7</v>
      </c>
      <c r="C47" t="s">
        <v>37</v>
      </c>
      <c r="D47" s="17" t="s">
        <v>416</v>
      </c>
      <c r="E47" t="s">
        <v>29</v>
      </c>
      <c r="F47" s="68" t="s">
        <v>74</v>
      </c>
      <c r="G47" t="s">
        <v>33</v>
      </c>
      <c r="H47">
        <v>2</v>
      </c>
      <c r="I47">
        <f>LN(B47)</f>
        <v>2.4595888418037104</v>
      </c>
      <c r="J47" s="125">
        <v>7.2284161474004766E-2</v>
      </c>
      <c r="K47" t="s">
        <v>31</v>
      </c>
      <c r="L47" t="s">
        <v>31</v>
      </c>
      <c r="M47" t="s">
        <v>31</v>
      </c>
      <c r="O47" s="97" t="s">
        <v>275</v>
      </c>
      <c r="P47" s="134">
        <v>11.7</v>
      </c>
    </row>
    <row r="48" spans="1:20" ht="15.6">
      <c r="A48" s="116" t="s">
        <v>76</v>
      </c>
      <c r="B48">
        <f>R48</f>
        <v>1.1699999999999999E-2</v>
      </c>
      <c r="C48" t="s">
        <v>42</v>
      </c>
      <c r="D48" s="17" t="s">
        <v>416</v>
      </c>
      <c r="E48" t="s">
        <v>29</v>
      </c>
      <c r="F48" s="68" t="s">
        <v>74</v>
      </c>
      <c r="G48" t="s">
        <v>33</v>
      </c>
      <c r="H48">
        <v>2</v>
      </c>
      <c r="I48">
        <f>LN(B48)</f>
        <v>-4.4481664371784264</v>
      </c>
      <c r="J48" s="125">
        <v>7.2284161474004766E-2</v>
      </c>
      <c r="K48" t="s">
        <v>31</v>
      </c>
      <c r="L48" t="s">
        <v>31</v>
      </c>
      <c r="M48" t="s">
        <v>31</v>
      </c>
      <c r="O48" s="124" t="s">
        <v>913</v>
      </c>
      <c r="P48" s="133">
        <v>11.7</v>
      </c>
      <c r="Q48" t="s">
        <v>274</v>
      </c>
      <c r="R48">
        <f>P48/1000</f>
        <v>1.1699999999999999E-2</v>
      </c>
    </row>
    <row r="49" spans="1:18" ht="15.6">
      <c r="A49" s="119" t="s">
        <v>5</v>
      </c>
      <c r="B49" s="106" t="s">
        <v>1822</v>
      </c>
      <c r="C49" s="74"/>
      <c r="D49" s="73"/>
      <c r="E49" s="73"/>
      <c r="F49" s="73"/>
      <c r="G49" s="73"/>
      <c r="H49" s="73"/>
      <c r="I49" s="73"/>
      <c r="J49" s="73"/>
      <c r="K49" s="73"/>
      <c r="L49" s="73"/>
      <c r="M49" s="73"/>
      <c r="N49" s="73"/>
      <c r="O49" s="73"/>
      <c r="P49" s="73"/>
      <c r="Q49" s="73"/>
      <c r="R49" s="73"/>
    </row>
    <row r="50" spans="1:18">
      <c r="A50" s="118" t="s">
        <v>7</v>
      </c>
      <c r="B50" t="s">
        <v>1709</v>
      </c>
      <c r="C50" s="72"/>
    </row>
    <row r="51" spans="1:18">
      <c r="A51" s="118" t="s">
        <v>9</v>
      </c>
      <c r="B51" t="s">
        <v>1823</v>
      </c>
      <c r="C51" s="72"/>
    </row>
    <row r="52" spans="1:18" ht="10.5" customHeight="1">
      <c r="A52" s="118" t="s">
        <v>11</v>
      </c>
      <c r="B52" s="71" t="s">
        <v>841</v>
      </c>
    </row>
    <row r="53" spans="1:18">
      <c r="A53" s="118" t="s">
        <v>13</v>
      </c>
      <c r="B53" t="s">
        <v>14</v>
      </c>
    </row>
    <row r="54" spans="1:18">
      <c r="A54" s="118" t="s">
        <v>15</v>
      </c>
      <c r="B54" s="122">
        <f>B59</f>
        <v>1.4999999999999999E-2</v>
      </c>
    </row>
    <row r="55" spans="1:18">
      <c r="A55" s="118" t="s">
        <v>16</v>
      </c>
      <c r="B55" t="s">
        <v>17</v>
      </c>
    </row>
    <row r="56" spans="1:18">
      <c r="A56" s="118" t="s">
        <v>18</v>
      </c>
      <c r="B56" t="s">
        <v>37</v>
      </c>
    </row>
    <row r="57" spans="1:18" ht="15.6">
      <c r="A57" s="117" t="s">
        <v>19</v>
      </c>
    </row>
    <row r="58" spans="1:18" ht="15.6">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1822</v>
      </c>
      <c r="B59" s="122">
        <v>1.4999999999999999E-2</v>
      </c>
      <c r="C59" t="s">
        <v>37</v>
      </c>
      <c r="D59" s="110" t="s">
        <v>2</v>
      </c>
      <c r="E59" t="s">
        <v>29</v>
      </c>
      <c r="F59" s="68" t="s">
        <v>14</v>
      </c>
      <c r="G59" t="s">
        <v>30</v>
      </c>
      <c r="H59">
        <v>1</v>
      </c>
      <c r="I59" s="122">
        <f>B59</f>
        <v>1.4999999999999999E-2</v>
      </c>
      <c r="J59" t="s">
        <v>31</v>
      </c>
      <c r="K59" t="s">
        <v>31</v>
      </c>
      <c r="L59" t="s">
        <v>31</v>
      </c>
      <c r="M59" t="s">
        <v>31</v>
      </c>
      <c r="O59" s="58"/>
      <c r="P59" s="114"/>
    </row>
    <row r="60" spans="1:18" ht="15.6">
      <c r="A60" s="116" t="s">
        <v>924</v>
      </c>
      <c r="B60" s="115">
        <f>R60</f>
        <v>1.6E-2</v>
      </c>
      <c r="C60" t="s">
        <v>37</v>
      </c>
      <c r="D60" s="17" t="s">
        <v>416</v>
      </c>
      <c r="E60" t="s">
        <v>29</v>
      </c>
      <c r="F60" s="68" t="s">
        <v>59</v>
      </c>
      <c r="G60" t="s">
        <v>33</v>
      </c>
      <c r="H60">
        <v>2</v>
      </c>
      <c r="I60">
        <f>LN(B60)</f>
        <v>-4.1351665567423561</v>
      </c>
      <c r="J60">
        <v>7.2284161474004766E-2</v>
      </c>
      <c r="K60" t="s">
        <v>31</v>
      </c>
      <c r="L60" t="s">
        <v>31</v>
      </c>
      <c r="M60" t="s">
        <v>31</v>
      </c>
      <c r="O60" s="97" t="s">
        <v>857</v>
      </c>
      <c r="P60" s="134">
        <v>16</v>
      </c>
      <c r="Q60" t="s">
        <v>275</v>
      </c>
      <c r="R60">
        <f>P60*0.001</f>
        <v>1.6E-2</v>
      </c>
    </row>
    <row r="61" spans="1:18" ht="15.6">
      <c r="A61" s="121" t="s">
        <v>38</v>
      </c>
      <c r="B61" s="115">
        <f>P61</f>
        <v>7.0000000000000007E-2</v>
      </c>
      <c r="C61" t="s">
        <v>39</v>
      </c>
      <c r="D61" s="17" t="s">
        <v>416</v>
      </c>
      <c r="E61" t="s">
        <v>29</v>
      </c>
      <c r="F61" s="68" t="s">
        <v>35</v>
      </c>
      <c r="G61" t="s">
        <v>33</v>
      </c>
      <c r="H61">
        <v>2</v>
      </c>
      <c r="I61">
        <f>LN(B61)</f>
        <v>-2.6592600369327779</v>
      </c>
      <c r="J61">
        <v>7.2284161474004766E-2</v>
      </c>
      <c r="K61" t="s">
        <v>31</v>
      </c>
      <c r="L61" t="s">
        <v>31</v>
      </c>
      <c r="M61" t="s">
        <v>31</v>
      </c>
      <c r="O61" s="97" t="s">
        <v>271</v>
      </c>
      <c r="P61" s="134">
        <v>7.0000000000000007E-2</v>
      </c>
    </row>
    <row r="62" spans="1:18" ht="15.6">
      <c r="A62" s="120" t="s">
        <v>1714</v>
      </c>
      <c r="B62">
        <v>1.4999999999999999E-2</v>
      </c>
      <c r="C62" t="s">
        <v>37</v>
      </c>
      <c r="D62" s="110" t="s">
        <v>2</v>
      </c>
      <c r="E62" t="s">
        <v>29</v>
      </c>
      <c r="F62" s="68" t="s">
        <v>74</v>
      </c>
      <c r="G62" t="s">
        <v>33</v>
      </c>
      <c r="H62">
        <v>2</v>
      </c>
      <c r="I62">
        <f>LN(B62)</f>
        <v>-4.1997050778799272</v>
      </c>
      <c r="J62">
        <v>7.2284161474004766E-2</v>
      </c>
      <c r="K62" t="s">
        <v>31</v>
      </c>
      <c r="L62" t="s">
        <v>31</v>
      </c>
      <c r="M62" t="s">
        <v>31</v>
      </c>
    </row>
    <row r="63" spans="1:18" ht="15.6">
      <c r="A63" s="119" t="s">
        <v>5</v>
      </c>
      <c r="B63" s="106" t="s">
        <v>1821</v>
      </c>
      <c r="C63" s="74"/>
      <c r="D63" s="73"/>
      <c r="E63" s="73"/>
      <c r="F63" s="73"/>
      <c r="G63" s="73"/>
      <c r="H63" s="73"/>
      <c r="I63" s="73"/>
      <c r="J63" s="73"/>
      <c r="K63" s="73"/>
      <c r="L63" s="73"/>
      <c r="M63" s="73"/>
      <c r="N63" s="73"/>
      <c r="O63" s="73"/>
      <c r="P63" s="73"/>
      <c r="Q63" s="73"/>
      <c r="R63" s="73"/>
    </row>
    <row r="64" spans="1:18">
      <c r="A64" s="118" t="s">
        <v>7</v>
      </c>
      <c r="B64" t="s">
        <v>1709</v>
      </c>
      <c r="C64" s="72"/>
      <c r="O64" s="175" t="s">
        <v>1824</v>
      </c>
    </row>
    <row r="65" spans="1:16">
      <c r="A65" s="118" t="s">
        <v>9</v>
      </c>
      <c r="B65" t="s">
        <v>1825</v>
      </c>
      <c r="C65" s="72"/>
    </row>
    <row r="66" spans="1:16" ht="10.5" customHeight="1">
      <c r="A66" s="118" t="s">
        <v>11</v>
      </c>
      <c r="B66" s="71" t="s">
        <v>841</v>
      </c>
    </row>
    <row r="67" spans="1:16">
      <c r="A67" s="118" t="s">
        <v>13</v>
      </c>
      <c r="B67" t="s">
        <v>14</v>
      </c>
    </row>
    <row r="68" spans="1:16">
      <c r="A68" s="118" t="s">
        <v>15</v>
      </c>
      <c r="B68" s="23">
        <f>B73</f>
        <v>0.28000000000000003</v>
      </c>
    </row>
    <row r="69" spans="1:16">
      <c r="A69" s="118" t="s">
        <v>16</v>
      </c>
      <c r="B69" t="s">
        <v>17</v>
      </c>
    </row>
    <row r="70" spans="1:16">
      <c r="A70" s="118" t="s">
        <v>18</v>
      </c>
      <c r="B70" t="s">
        <v>37</v>
      </c>
    </row>
    <row r="71" spans="1:16" ht="15.6">
      <c r="A71" s="117" t="s">
        <v>19</v>
      </c>
    </row>
    <row r="72" spans="1:16" ht="15.6">
      <c r="A72" s="117"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6">
      <c r="A73" s="22" t="s">
        <v>1821</v>
      </c>
      <c r="B73" s="23">
        <v>0.28000000000000003</v>
      </c>
      <c r="C73" t="s">
        <v>37</v>
      </c>
      <c r="D73" s="110" t="s">
        <v>2</v>
      </c>
      <c r="E73" t="s">
        <v>29</v>
      </c>
      <c r="F73" s="68" t="s">
        <v>14</v>
      </c>
      <c r="G73" t="s">
        <v>30</v>
      </c>
      <c r="H73">
        <v>1</v>
      </c>
      <c r="I73" s="23">
        <f>B73</f>
        <v>0.28000000000000003</v>
      </c>
      <c r="J73" t="s">
        <v>31</v>
      </c>
      <c r="K73" t="s">
        <v>31</v>
      </c>
      <c r="L73" t="s">
        <v>31</v>
      </c>
      <c r="M73" t="s">
        <v>31</v>
      </c>
      <c r="O73" s="58"/>
      <c r="P73" s="114"/>
    </row>
    <row r="74" spans="1:16" ht="15.6">
      <c r="A74" s="116" t="s">
        <v>237</v>
      </c>
      <c r="B74" s="115">
        <v>0.28000000000000003</v>
      </c>
      <c r="C74" t="s">
        <v>37</v>
      </c>
      <c r="D74" s="17" t="s">
        <v>416</v>
      </c>
      <c r="E74" t="s">
        <v>29</v>
      </c>
      <c r="F74" s="68" t="s">
        <v>59</v>
      </c>
      <c r="G74" t="s">
        <v>33</v>
      </c>
      <c r="H74">
        <v>1</v>
      </c>
      <c r="I74" s="23">
        <f>B74</f>
        <v>0.28000000000000003</v>
      </c>
      <c r="J74" t="s">
        <v>31</v>
      </c>
      <c r="K74" t="s">
        <v>31</v>
      </c>
      <c r="L74" t="s">
        <v>31</v>
      </c>
      <c r="M74" t="s">
        <v>31</v>
      </c>
      <c r="O74" s="58"/>
      <c r="P74" s="114"/>
    </row>
    <row r="75" spans="1:16" ht="15.6">
      <c r="A75" s="116" t="s">
        <v>926</v>
      </c>
      <c r="B75" s="115">
        <f>B74</f>
        <v>0.28000000000000003</v>
      </c>
      <c r="C75" t="s">
        <v>37</v>
      </c>
      <c r="D75" s="17" t="s">
        <v>416</v>
      </c>
      <c r="E75" t="s">
        <v>29</v>
      </c>
      <c r="F75" s="68" t="s">
        <v>59</v>
      </c>
      <c r="G75" t="s">
        <v>33</v>
      </c>
      <c r="H75">
        <v>1</v>
      </c>
      <c r="I75" s="23">
        <f>B75</f>
        <v>0.28000000000000003</v>
      </c>
      <c r="J75" t="s">
        <v>31</v>
      </c>
      <c r="K75" t="s">
        <v>31</v>
      </c>
      <c r="L75" t="s">
        <v>31</v>
      </c>
      <c r="M75" t="s">
        <v>31</v>
      </c>
      <c r="O75" s="58"/>
      <c r="P75" s="114"/>
    </row>
    <row r="76" spans="1:16" s="73" customFormat="1" ht="15.6">
      <c r="A76" s="76" t="s">
        <v>5</v>
      </c>
      <c r="B76" s="106" t="s">
        <v>1826</v>
      </c>
      <c r="C76" s="74"/>
    </row>
    <row r="77" spans="1:16">
      <c r="A77" s="70" t="s">
        <v>7</v>
      </c>
      <c r="B77" t="s">
        <v>1709</v>
      </c>
      <c r="C77" s="72"/>
    </row>
    <row r="78" spans="1:16">
      <c r="A78" s="113" t="s">
        <v>9</v>
      </c>
      <c r="B78" t="s">
        <v>1827</v>
      </c>
      <c r="C78" s="72"/>
    </row>
    <row r="79" spans="1:16" ht="15.75" customHeight="1">
      <c r="A79" s="70" t="s">
        <v>11</v>
      </c>
      <c r="B79" s="71" t="s">
        <v>841</v>
      </c>
      <c r="O79" s="175" t="s">
        <v>1824</v>
      </c>
    </row>
    <row r="80" spans="1:16">
      <c r="A80" s="70" t="s">
        <v>13</v>
      </c>
      <c r="B80" t="s">
        <v>14</v>
      </c>
    </row>
    <row r="81" spans="1:19">
      <c r="A81" s="70" t="s">
        <v>15</v>
      </c>
      <c r="B81" s="112">
        <f>B86</f>
        <v>3.54</v>
      </c>
    </row>
    <row r="82" spans="1:19">
      <c r="A82" s="70" t="s">
        <v>16</v>
      </c>
      <c r="B82" t="s">
        <v>17</v>
      </c>
    </row>
    <row r="83" spans="1:19">
      <c r="A83" s="70" t="s">
        <v>18</v>
      </c>
      <c r="B83" t="s">
        <v>37</v>
      </c>
      <c r="S83" s="111"/>
    </row>
    <row r="84" spans="1:19" ht="15.6">
      <c r="A84" s="69" t="s">
        <v>19</v>
      </c>
    </row>
    <row r="85" spans="1:19" ht="15.6">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6">
      <c r="A86" t="s">
        <v>1826</v>
      </c>
      <c r="B86" s="23">
        <v>3.54</v>
      </c>
      <c r="C86" t="s">
        <v>37</v>
      </c>
      <c r="D86" s="110" t="s">
        <v>2</v>
      </c>
      <c r="E86" t="s">
        <v>29</v>
      </c>
      <c r="F86" t="s">
        <v>14</v>
      </c>
      <c r="G86" t="s">
        <v>929</v>
      </c>
      <c r="H86">
        <v>1</v>
      </c>
      <c r="I86" s="23">
        <f>B86</f>
        <v>3.54</v>
      </c>
      <c r="J86" t="s">
        <v>31</v>
      </c>
      <c r="K86" t="s">
        <v>31</v>
      </c>
      <c r="L86" t="s">
        <v>31</v>
      </c>
      <c r="M86" t="s">
        <v>31</v>
      </c>
      <c r="O86" s="109"/>
      <c r="P86" s="108"/>
    </row>
    <row r="87" spans="1:19" ht="15.6">
      <c r="A87" s="84" t="s">
        <v>755</v>
      </c>
      <c r="B87" s="23">
        <v>3.54</v>
      </c>
      <c r="C87" t="s">
        <v>37</v>
      </c>
      <c r="D87" s="17" t="s">
        <v>416</v>
      </c>
      <c r="E87" t="s">
        <v>29</v>
      </c>
      <c r="F87" s="68" t="s">
        <v>59</v>
      </c>
      <c r="G87" t="s">
        <v>33</v>
      </c>
      <c r="H87">
        <v>1</v>
      </c>
      <c r="I87" s="23">
        <f>B87</f>
        <v>3.54</v>
      </c>
      <c r="J87" t="s">
        <v>31</v>
      </c>
      <c r="K87" t="s">
        <v>31</v>
      </c>
      <c r="L87" t="s">
        <v>31</v>
      </c>
      <c r="M87" t="s">
        <v>31</v>
      </c>
      <c r="O87" s="97"/>
      <c r="P87" s="107"/>
    </row>
    <row r="88" spans="1:19" ht="15.6">
      <c r="A88" s="84" t="s">
        <v>930</v>
      </c>
      <c r="B88" s="23">
        <v>3.54</v>
      </c>
      <c r="C88" t="s">
        <v>37</v>
      </c>
      <c r="D88" s="17" t="s">
        <v>416</v>
      </c>
      <c r="E88" t="s">
        <v>29</v>
      </c>
      <c r="F88" s="68" t="s">
        <v>59</v>
      </c>
      <c r="G88" t="s">
        <v>33</v>
      </c>
      <c r="H88">
        <v>1</v>
      </c>
      <c r="I88" s="23">
        <f>B88</f>
        <v>3.54</v>
      </c>
      <c r="J88" t="s">
        <v>31</v>
      </c>
      <c r="K88" t="s">
        <v>31</v>
      </c>
      <c r="L88" t="s">
        <v>31</v>
      </c>
      <c r="M88" t="s">
        <v>31</v>
      </c>
      <c r="O88" s="97"/>
      <c r="P88" s="107"/>
    </row>
    <row r="89" spans="1:19" ht="15.6">
      <c r="A89" s="84" t="s">
        <v>931</v>
      </c>
      <c r="B89" s="23">
        <v>3.54</v>
      </c>
      <c r="C89" t="s">
        <v>37</v>
      </c>
      <c r="D89" s="17" t="s">
        <v>416</v>
      </c>
      <c r="E89" t="s">
        <v>29</v>
      </c>
      <c r="F89" s="68" t="s">
        <v>35</v>
      </c>
      <c r="G89" t="s">
        <v>33</v>
      </c>
      <c r="H89">
        <v>1</v>
      </c>
      <c r="I89" s="23">
        <f>B89</f>
        <v>3.54</v>
      </c>
      <c r="J89" t="s">
        <v>31</v>
      </c>
      <c r="K89" t="s">
        <v>31</v>
      </c>
      <c r="L89" t="s">
        <v>31</v>
      </c>
      <c r="M89" t="s">
        <v>31</v>
      </c>
      <c r="O89" s="97"/>
      <c r="P89" s="107"/>
    </row>
    <row r="90" spans="1:19" ht="15.6">
      <c r="A90" s="76" t="s">
        <v>5</v>
      </c>
      <c r="B90" s="106" t="s">
        <v>1812</v>
      </c>
      <c r="C90" s="74"/>
      <c r="D90" s="73"/>
      <c r="E90" s="73"/>
      <c r="F90" s="73"/>
      <c r="G90" s="73"/>
      <c r="H90" s="73"/>
      <c r="I90" s="73"/>
      <c r="J90" s="73"/>
      <c r="K90" s="73"/>
      <c r="L90" s="73"/>
      <c r="M90" s="73"/>
    </row>
    <row r="91" spans="1:19">
      <c r="A91" s="70" t="s">
        <v>7</v>
      </c>
      <c r="B91" t="s">
        <v>1709</v>
      </c>
      <c r="C91" s="72"/>
    </row>
    <row r="92" spans="1:19">
      <c r="A92" s="70" t="s">
        <v>9</v>
      </c>
      <c r="B92" s="22" t="s">
        <v>1828</v>
      </c>
      <c r="C92" s="72"/>
    </row>
    <row r="93" spans="1:19">
      <c r="A93" s="70" t="s">
        <v>11</v>
      </c>
      <c r="B93" s="71" t="s">
        <v>833</v>
      </c>
    </row>
    <row r="94" spans="1:19">
      <c r="A94" s="70" t="s">
        <v>13</v>
      </c>
      <c r="B94" s="68" t="s">
        <v>14</v>
      </c>
      <c r="O94" s="175" t="s">
        <v>1829</v>
      </c>
    </row>
    <row r="95" spans="1:19">
      <c r="A95" s="70" t="s">
        <v>15</v>
      </c>
      <c r="B95">
        <v>0.25</v>
      </c>
    </row>
    <row r="96" spans="1:19">
      <c r="A96" s="70" t="s">
        <v>16</v>
      </c>
      <c r="B96" t="s">
        <v>17</v>
      </c>
    </row>
    <row r="97" spans="1:14">
      <c r="A97" s="70" t="s">
        <v>18</v>
      </c>
      <c r="B97" t="s">
        <v>37</v>
      </c>
    </row>
    <row r="98" spans="1:14" ht="15.6">
      <c r="A98" s="69" t="s">
        <v>19</v>
      </c>
    </row>
    <row r="99" spans="1:14" ht="15.6">
      <c r="A99" s="69"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4" ht="15.6">
      <c r="A100" s="58" t="s">
        <v>1812</v>
      </c>
      <c r="B100" s="58">
        <v>0.25</v>
      </c>
      <c r="C100" t="s">
        <v>37</v>
      </c>
      <c r="D100" s="17" t="s">
        <v>2</v>
      </c>
      <c r="E100" t="s">
        <v>29</v>
      </c>
      <c r="F100" s="68" t="s">
        <v>14</v>
      </c>
      <c r="G100" t="s">
        <v>30</v>
      </c>
      <c r="H100">
        <v>1</v>
      </c>
      <c r="I100">
        <f>B100</f>
        <v>0.25</v>
      </c>
      <c r="J100" t="s">
        <v>31</v>
      </c>
      <c r="K100" t="s">
        <v>31</v>
      </c>
      <c r="L100" t="s">
        <v>31</v>
      </c>
      <c r="M100" t="s">
        <v>31</v>
      </c>
    </row>
    <row r="101" spans="1:14" ht="15.6">
      <c r="A101" s="58" t="s">
        <v>1826</v>
      </c>
      <c r="B101" s="58">
        <v>0.25</v>
      </c>
      <c r="C101" t="s">
        <v>37</v>
      </c>
      <c r="D101" s="17" t="s">
        <v>2</v>
      </c>
      <c r="E101" t="s">
        <v>29</v>
      </c>
      <c r="F101" s="68" t="s">
        <v>14</v>
      </c>
      <c r="G101" t="s">
        <v>33</v>
      </c>
      <c r="H101">
        <v>1</v>
      </c>
      <c r="I101">
        <f>B101</f>
        <v>0.25</v>
      </c>
      <c r="J101" t="s">
        <v>31</v>
      </c>
      <c r="K101" t="s">
        <v>31</v>
      </c>
      <c r="L101" t="s">
        <v>31</v>
      </c>
      <c r="M101" t="s">
        <v>31</v>
      </c>
    </row>
    <row r="102" spans="1:14" ht="15.6">
      <c r="A102" s="105" t="s">
        <v>933</v>
      </c>
      <c r="B102">
        <v>0.02</v>
      </c>
      <c r="C102" t="s">
        <v>37</v>
      </c>
      <c r="D102" s="17" t="s">
        <v>416</v>
      </c>
      <c r="E102" t="s">
        <v>29</v>
      </c>
      <c r="F102" s="68" t="s">
        <v>82</v>
      </c>
      <c r="G102" t="s">
        <v>33</v>
      </c>
      <c r="H102">
        <v>1</v>
      </c>
      <c r="I102">
        <f>B102</f>
        <v>0.02</v>
      </c>
      <c r="J102" t="s">
        <v>31</v>
      </c>
      <c r="K102" t="s">
        <v>31</v>
      </c>
      <c r="L102" t="s">
        <v>31</v>
      </c>
      <c r="M102" t="s">
        <v>31</v>
      </c>
    </row>
    <row r="103" spans="1:14" ht="15.6">
      <c r="A103" s="105" t="s">
        <v>934</v>
      </c>
      <c r="B103">
        <v>0.47</v>
      </c>
      <c r="C103" t="s">
        <v>853</v>
      </c>
      <c r="D103" s="17" t="s">
        <v>416</v>
      </c>
      <c r="E103" t="s">
        <v>29</v>
      </c>
      <c r="F103" s="68" t="s">
        <v>59</v>
      </c>
      <c r="G103" t="s">
        <v>33</v>
      </c>
      <c r="H103">
        <v>1</v>
      </c>
      <c r="I103">
        <f>B103</f>
        <v>0.47</v>
      </c>
      <c r="J103" t="s">
        <v>31</v>
      </c>
      <c r="K103" t="s">
        <v>31</v>
      </c>
      <c r="L103" t="s">
        <v>31</v>
      </c>
      <c r="M103" t="s">
        <v>31</v>
      </c>
    </row>
    <row r="104" spans="1:14" ht="15.6">
      <c r="A104" s="105" t="s">
        <v>935</v>
      </c>
      <c r="B104">
        <v>0.02</v>
      </c>
      <c r="C104" t="s">
        <v>37</v>
      </c>
      <c r="D104" s="17" t="s">
        <v>416</v>
      </c>
      <c r="E104" t="s">
        <v>29</v>
      </c>
      <c r="F104" s="68" t="s">
        <v>59</v>
      </c>
      <c r="G104" t="s">
        <v>33</v>
      </c>
      <c r="H104">
        <v>1</v>
      </c>
      <c r="I104">
        <f>B104</f>
        <v>0.02</v>
      </c>
      <c r="J104" t="s">
        <v>31</v>
      </c>
      <c r="K104" t="s">
        <v>31</v>
      </c>
      <c r="L104" t="s">
        <v>31</v>
      </c>
      <c r="M104" t="s">
        <v>31</v>
      </c>
    </row>
  </sheetData>
  <pageMargins left="0.7" right="0.7" top="0.75" bottom="0.75" header="0.3" footer="0.3"/>
  <pageSetup paperSize="9"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20F1A-CF8B-4E60-9EEF-4F470DCA168A}">
  <sheetPr>
    <tabColor theme="8" tint="0.79998168889431442"/>
  </sheetPr>
  <dimension ref="A1:V47"/>
  <sheetViews>
    <sheetView topLeftCell="A103" zoomScale="85" zoomScaleNormal="85" workbookViewId="0">
      <selection activeCell="A118" sqref="A118:J127"/>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73" customFormat="1" ht="15.6">
      <c r="A2" s="76" t="s">
        <v>5</v>
      </c>
      <c r="B2" s="106" t="s">
        <v>1811</v>
      </c>
    </row>
    <row r="3" spans="1:22">
      <c r="A3" s="70" t="s">
        <v>7</v>
      </c>
      <c r="B3" t="s">
        <v>1709</v>
      </c>
      <c r="C3" s="72"/>
    </row>
    <row r="4" spans="1:22">
      <c r="A4" s="113" t="s">
        <v>9</v>
      </c>
      <c r="B4" t="s">
        <v>1830</v>
      </c>
      <c r="C4" s="72"/>
    </row>
    <row r="5" spans="1:22" ht="15.75" customHeight="1">
      <c r="A5" s="70" t="s">
        <v>11</v>
      </c>
      <c r="B5" s="71" t="s">
        <v>841</v>
      </c>
    </row>
    <row r="6" spans="1:22">
      <c r="A6" s="70" t="s">
        <v>13</v>
      </c>
      <c r="B6" t="s">
        <v>14</v>
      </c>
    </row>
    <row r="7" spans="1:22">
      <c r="A7" s="70" t="s">
        <v>15</v>
      </c>
      <c r="B7" s="111">
        <f>B12</f>
        <v>0.03</v>
      </c>
    </row>
    <row r="8" spans="1:22">
      <c r="A8" s="70" t="s">
        <v>16</v>
      </c>
      <c r="B8" t="s">
        <v>17</v>
      </c>
    </row>
    <row r="9" spans="1:22">
      <c r="A9" s="70" t="s">
        <v>18</v>
      </c>
      <c r="B9" t="s">
        <v>37</v>
      </c>
      <c r="S9" s="143" t="s">
        <v>937</v>
      </c>
    </row>
    <row r="10" spans="1:22" ht="15.6">
      <c r="A10" s="69" t="s">
        <v>19</v>
      </c>
      <c r="S10" t="s">
        <v>938</v>
      </c>
      <c r="T10">
        <v>8900</v>
      </c>
      <c r="U10" t="s">
        <v>939</v>
      </c>
    </row>
    <row r="11" spans="1:22" ht="15.6">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940</v>
      </c>
      <c r="T11">
        <f>5*10^-6</f>
        <v>4.9999999999999996E-6</v>
      </c>
      <c r="U11" t="s">
        <v>941</v>
      </c>
    </row>
    <row r="12" spans="1:22" ht="15.6">
      <c r="A12" t="s">
        <v>1811</v>
      </c>
      <c r="B12" s="138">
        <v>0.03</v>
      </c>
      <c r="C12" t="s">
        <v>37</v>
      </c>
      <c r="D12" s="110" t="s">
        <v>2</v>
      </c>
      <c r="E12" t="s">
        <v>29</v>
      </c>
      <c r="F12" t="s">
        <v>14</v>
      </c>
      <c r="G12" t="s">
        <v>30</v>
      </c>
      <c r="H12">
        <v>1</v>
      </c>
      <c r="I12">
        <v>1</v>
      </c>
      <c r="J12" t="s">
        <v>31</v>
      </c>
      <c r="K12" t="s">
        <v>31</v>
      </c>
      <c r="L12" t="s">
        <v>31</v>
      </c>
      <c r="M12" t="s">
        <v>31</v>
      </c>
      <c r="O12" s="90" t="s">
        <v>1295</v>
      </c>
      <c r="P12" s="142"/>
      <c r="Q12" t="s">
        <v>268</v>
      </c>
      <c r="S12" s="141" t="s">
        <v>942</v>
      </c>
      <c r="T12" s="140">
        <v>0.46</v>
      </c>
      <c r="U12" s="139" t="s">
        <v>943</v>
      </c>
    </row>
    <row r="13" spans="1:22" ht="15.6">
      <c r="A13" t="s">
        <v>1831</v>
      </c>
      <c r="B13" s="138">
        <f>B28</f>
        <v>0.03</v>
      </c>
      <c r="C13" t="s">
        <v>853</v>
      </c>
      <c r="D13" s="110" t="s">
        <v>2</v>
      </c>
      <c r="E13" t="s">
        <v>29</v>
      </c>
      <c r="F13" t="s">
        <v>14</v>
      </c>
      <c r="G13" t="s">
        <v>33</v>
      </c>
      <c r="H13">
        <v>1</v>
      </c>
      <c r="I13" s="111">
        <f>B13</f>
        <v>0.03</v>
      </c>
      <c r="J13">
        <v>7.2284161474004793E-2</v>
      </c>
      <c r="K13" t="s">
        <v>31</v>
      </c>
      <c r="L13" t="s">
        <v>31</v>
      </c>
      <c r="M13" t="s">
        <v>31</v>
      </c>
      <c r="O13" s="97" t="s">
        <v>944</v>
      </c>
      <c r="P13" s="131">
        <f>B13*100</f>
        <v>3</v>
      </c>
    </row>
    <row r="14" spans="1:22" ht="15.6">
      <c r="A14" s="58" t="s">
        <v>1822</v>
      </c>
      <c r="B14" s="122">
        <f>U15</f>
        <v>0.31740000000000002</v>
      </c>
      <c r="C14" t="s">
        <v>37</v>
      </c>
      <c r="D14" s="110" t="s">
        <v>2</v>
      </c>
      <c r="E14" t="s">
        <v>29</v>
      </c>
      <c r="F14" s="68" t="s">
        <v>14</v>
      </c>
      <c r="G14" t="s">
        <v>33</v>
      </c>
      <c r="H14">
        <v>1</v>
      </c>
      <c r="I14" s="111">
        <f>B14</f>
        <v>0.31740000000000002</v>
      </c>
      <c r="J14">
        <v>7.2284161474004766E-2</v>
      </c>
      <c r="K14" t="s">
        <v>31</v>
      </c>
      <c r="L14" t="s">
        <v>31</v>
      </c>
      <c r="M14" t="s">
        <v>31</v>
      </c>
      <c r="O14" s="109"/>
      <c r="P14" s="108"/>
      <c r="S14" t="s">
        <v>945</v>
      </c>
      <c r="V14" s="129"/>
    </row>
    <row r="15" spans="1:22" ht="15.6">
      <c r="A15" s="67" t="s">
        <v>844</v>
      </c>
      <c r="B15">
        <f>Q15</f>
        <v>5.5</v>
      </c>
      <c r="C15" t="s">
        <v>37</v>
      </c>
      <c r="D15" s="17" t="s">
        <v>416</v>
      </c>
      <c r="E15" t="s">
        <v>29</v>
      </c>
      <c r="F15" s="68" t="s">
        <v>74</v>
      </c>
      <c r="G15" t="s">
        <v>33</v>
      </c>
      <c r="H15">
        <v>2</v>
      </c>
      <c r="I15">
        <f>LN(B15)</f>
        <v>1.7047480922384253</v>
      </c>
      <c r="J15">
        <v>7.2284161474004766E-2</v>
      </c>
      <c r="K15" t="s">
        <v>31</v>
      </c>
      <c r="L15" t="s">
        <v>31</v>
      </c>
      <c r="M15" t="s">
        <v>31</v>
      </c>
      <c r="O15" s="97" t="s">
        <v>275</v>
      </c>
      <c r="P15" s="107">
        <v>5.5</v>
      </c>
      <c r="Q15">
        <f>P15</f>
        <v>5.5</v>
      </c>
      <c r="S15" s="137">
        <v>0.69</v>
      </c>
      <c r="T15" s="136" t="s">
        <v>855</v>
      </c>
      <c r="U15" s="137">
        <f>S15*T12</f>
        <v>0.31740000000000002</v>
      </c>
      <c r="V15" s="136" t="s">
        <v>275</v>
      </c>
    </row>
    <row r="16" spans="1:22" ht="15.6">
      <c r="A16" s="84" t="s">
        <v>924</v>
      </c>
      <c r="B16">
        <f>Q16</f>
        <v>2.9999999999999999E-7</v>
      </c>
      <c r="C16" t="s">
        <v>37</v>
      </c>
      <c r="D16" s="17" t="s">
        <v>416</v>
      </c>
      <c r="E16" t="s">
        <v>29</v>
      </c>
      <c r="F16" s="68" t="s">
        <v>59</v>
      </c>
      <c r="G16" t="s">
        <v>33</v>
      </c>
      <c r="H16">
        <v>2</v>
      </c>
      <c r="I16">
        <f>LN(B16)</f>
        <v>-15.01948336229021</v>
      </c>
      <c r="J16">
        <v>7.2284161474004766E-2</v>
      </c>
      <c r="K16" t="s">
        <v>31</v>
      </c>
      <c r="L16" t="s">
        <v>31</v>
      </c>
      <c r="M16" t="s">
        <v>31</v>
      </c>
      <c r="O16" s="128" t="s">
        <v>862</v>
      </c>
      <c r="P16" s="145">
        <v>0.3</v>
      </c>
      <c r="Q16">
        <f>0.000001*P16</f>
        <v>2.9999999999999999E-7</v>
      </c>
    </row>
    <row r="17" spans="1:20" ht="15.6">
      <c r="A17" s="84" t="s">
        <v>76</v>
      </c>
      <c r="B17">
        <f>Q17</f>
        <v>5.4999999999999997E-3</v>
      </c>
      <c r="C17" t="s">
        <v>42</v>
      </c>
      <c r="D17" s="17" t="s">
        <v>416</v>
      </c>
      <c r="E17" t="s">
        <v>29</v>
      </c>
      <c r="F17" s="68" t="s">
        <v>74</v>
      </c>
      <c r="G17" t="s">
        <v>33</v>
      </c>
      <c r="H17">
        <v>2</v>
      </c>
      <c r="I17">
        <f>LN(B17)</f>
        <v>-5.2030071867437115</v>
      </c>
      <c r="J17">
        <v>7.2284161474004766E-2</v>
      </c>
      <c r="K17" t="s">
        <v>31</v>
      </c>
      <c r="L17" t="s">
        <v>31</v>
      </c>
      <c r="M17" t="s">
        <v>31</v>
      </c>
      <c r="O17" s="124" t="s">
        <v>913</v>
      </c>
      <c r="P17" s="123">
        <v>5.5</v>
      </c>
      <c r="Q17">
        <f>0.001*P17</f>
        <v>5.4999999999999997E-3</v>
      </c>
    </row>
    <row r="18" spans="1:20" s="73" customFormat="1" ht="15.6">
      <c r="A18" s="76" t="s">
        <v>5</v>
      </c>
      <c r="B18" s="106" t="s">
        <v>1831</v>
      </c>
    </row>
    <row r="19" spans="1:20">
      <c r="A19" s="70" t="s">
        <v>7</v>
      </c>
      <c r="B19" t="s">
        <v>1709</v>
      </c>
      <c r="C19" s="72"/>
    </row>
    <row r="20" spans="1:20">
      <c r="A20" s="113" t="s">
        <v>9</v>
      </c>
      <c r="B20" s="22" t="s">
        <v>1832</v>
      </c>
      <c r="C20" s="72"/>
    </row>
    <row r="21" spans="1:20" ht="15.75" customHeight="1">
      <c r="A21" s="70" t="s">
        <v>11</v>
      </c>
      <c r="B21" s="71" t="s">
        <v>841</v>
      </c>
    </row>
    <row r="22" spans="1:20">
      <c r="A22" s="70" t="s">
        <v>13</v>
      </c>
      <c r="B22" t="s">
        <v>14</v>
      </c>
    </row>
    <row r="23" spans="1:20">
      <c r="A23" s="70" t="s">
        <v>15</v>
      </c>
      <c r="B23" s="111">
        <f>B28</f>
        <v>0.03</v>
      </c>
    </row>
    <row r="24" spans="1:20">
      <c r="A24" s="70" t="s">
        <v>16</v>
      </c>
      <c r="B24" t="s">
        <v>17</v>
      </c>
    </row>
    <row r="25" spans="1:20">
      <c r="A25" s="70" t="s">
        <v>18</v>
      </c>
      <c r="B25" t="s">
        <v>853</v>
      </c>
    </row>
    <row r="26" spans="1:20" ht="15.6">
      <c r="A26" s="69" t="s">
        <v>19</v>
      </c>
    </row>
    <row r="27" spans="1:20" ht="15.6">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1"/>
    </row>
    <row r="28" spans="1:20" ht="15.6">
      <c r="A28" t="s">
        <v>1831</v>
      </c>
      <c r="B28" s="111">
        <v>0.03</v>
      </c>
      <c r="C28" t="s">
        <v>853</v>
      </c>
      <c r="D28" s="110" t="s">
        <v>2</v>
      </c>
      <c r="E28" t="s">
        <v>29</v>
      </c>
      <c r="F28" t="s">
        <v>14</v>
      </c>
      <c r="G28" t="s">
        <v>30</v>
      </c>
      <c r="H28">
        <v>1</v>
      </c>
      <c r="I28" s="111">
        <f>B28</f>
        <v>0.03</v>
      </c>
      <c r="J28">
        <v>7.2284161474004766E-2</v>
      </c>
      <c r="K28" t="s">
        <v>31</v>
      </c>
      <c r="L28" t="s">
        <v>31</v>
      </c>
      <c r="M28" t="s">
        <v>31</v>
      </c>
      <c r="O28" s="97" t="s">
        <v>944</v>
      </c>
      <c r="P28" s="107">
        <f>B28*100</f>
        <v>3</v>
      </c>
    </row>
    <row r="29" spans="1:20">
      <c r="A29" t="s">
        <v>1833</v>
      </c>
      <c r="B29" s="111">
        <v>0.03</v>
      </c>
      <c r="C29" t="s">
        <v>853</v>
      </c>
      <c r="D29" s="132" t="s">
        <v>2</v>
      </c>
      <c r="E29" t="s">
        <v>29</v>
      </c>
      <c r="F29" t="s">
        <v>14</v>
      </c>
      <c r="G29" t="s">
        <v>33</v>
      </c>
      <c r="H29">
        <v>1</v>
      </c>
      <c r="I29" s="111">
        <f>B29</f>
        <v>0.03</v>
      </c>
      <c r="J29">
        <v>7.2284161474004766E-2</v>
      </c>
      <c r="K29" t="s">
        <v>31</v>
      </c>
      <c r="L29" t="s">
        <v>31</v>
      </c>
      <c r="M29" t="s">
        <v>31</v>
      </c>
    </row>
    <row r="30" spans="1:20" ht="15.6">
      <c r="A30" s="67" t="s">
        <v>38</v>
      </c>
      <c r="B30" s="115">
        <f>P30</f>
        <v>0.31</v>
      </c>
      <c r="C30" t="s">
        <v>39</v>
      </c>
      <c r="D30" s="17" t="s">
        <v>416</v>
      </c>
      <c r="E30" t="s">
        <v>29</v>
      </c>
      <c r="F30" s="68" t="s">
        <v>35</v>
      </c>
      <c r="G30" t="s">
        <v>33</v>
      </c>
      <c r="H30">
        <v>2</v>
      </c>
      <c r="I30">
        <f>LN(B30)</f>
        <v>-1.1711829815029451</v>
      </c>
      <c r="J30">
        <v>7.2284161474004766E-2</v>
      </c>
      <c r="K30" t="s">
        <v>31</v>
      </c>
      <c r="L30" t="s">
        <v>31</v>
      </c>
      <c r="M30" t="s">
        <v>31</v>
      </c>
      <c r="O30" s="97" t="s">
        <v>271</v>
      </c>
      <c r="P30" s="107">
        <v>0.31</v>
      </c>
    </row>
    <row r="31" spans="1:20" ht="15.6">
      <c r="A31" s="84" t="s">
        <v>491</v>
      </c>
      <c r="B31">
        <f>R31</f>
        <v>7.0000000000000001E-3</v>
      </c>
      <c r="C31" s="111" t="s">
        <v>37</v>
      </c>
      <c r="D31" s="17" t="s">
        <v>416</v>
      </c>
      <c r="E31" t="s">
        <v>29</v>
      </c>
      <c r="F31" t="s">
        <v>59</v>
      </c>
      <c r="G31" t="s">
        <v>33</v>
      </c>
      <c r="H31">
        <v>2</v>
      </c>
      <c r="I31">
        <f>LN(B31)</f>
        <v>-4.9618451299268234</v>
      </c>
      <c r="J31">
        <v>7.2284161474004766E-2</v>
      </c>
      <c r="K31" t="s">
        <v>31</v>
      </c>
      <c r="L31" t="s">
        <v>31</v>
      </c>
      <c r="M31" t="s">
        <v>31</v>
      </c>
      <c r="O31" s="97" t="s">
        <v>857</v>
      </c>
      <c r="P31" s="107">
        <v>7</v>
      </c>
      <c r="Q31" t="s">
        <v>275</v>
      </c>
      <c r="R31">
        <f>P31*0.001</f>
        <v>7.0000000000000001E-3</v>
      </c>
    </row>
    <row r="32" spans="1:20" ht="15.6">
      <c r="A32" s="116" t="s">
        <v>921</v>
      </c>
      <c r="B32">
        <f>R32</f>
        <v>1.3000000000000001E-2</v>
      </c>
      <c r="C32" t="s">
        <v>37</v>
      </c>
      <c r="D32" s="17" t="s">
        <v>416</v>
      </c>
      <c r="E32" t="s">
        <v>29</v>
      </c>
      <c r="F32" s="68" t="s">
        <v>35</v>
      </c>
      <c r="G32" t="s">
        <v>33</v>
      </c>
      <c r="H32">
        <v>2</v>
      </c>
      <c r="I32">
        <f>LN(B32)</f>
        <v>-4.3428059215206005</v>
      </c>
      <c r="J32">
        <v>7.2284161474004766E-2</v>
      </c>
      <c r="K32" t="s">
        <v>31</v>
      </c>
      <c r="L32" t="s">
        <v>31</v>
      </c>
      <c r="M32" t="s">
        <v>31</v>
      </c>
      <c r="O32" s="97" t="s">
        <v>857</v>
      </c>
      <c r="P32" s="107">
        <v>13</v>
      </c>
      <c r="Q32" t="s">
        <v>275</v>
      </c>
      <c r="R32">
        <f>P32*0.001</f>
        <v>1.3000000000000001E-2</v>
      </c>
    </row>
    <row r="33" spans="1:20" ht="15.6">
      <c r="A33" s="67" t="s">
        <v>844</v>
      </c>
      <c r="B33">
        <f>R33</f>
        <v>11.7</v>
      </c>
      <c r="C33" t="s">
        <v>37</v>
      </c>
      <c r="D33" s="17" t="s">
        <v>416</v>
      </c>
      <c r="E33" t="s">
        <v>29</v>
      </c>
      <c r="F33" s="68" t="s">
        <v>74</v>
      </c>
      <c r="G33" t="s">
        <v>33</v>
      </c>
      <c r="H33">
        <v>2</v>
      </c>
      <c r="I33">
        <f>LN(B33)</f>
        <v>2.4595888418037104</v>
      </c>
      <c r="J33">
        <v>7.2284161474004766E-2</v>
      </c>
      <c r="K33" t="s">
        <v>31</v>
      </c>
      <c r="L33" t="s">
        <v>31</v>
      </c>
      <c r="M33" t="s">
        <v>31</v>
      </c>
      <c r="O33" s="97" t="s">
        <v>275</v>
      </c>
      <c r="P33" s="107">
        <v>11.7</v>
      </c>
      <c r="Q33" t="s">
        <v>275</v>
      </c>
      <c r="R33">
        <f>P33</f>
        <v>11.7</v>
      </c>
    </row>
    <row r="34" spans="1:20" ht="15.6">
      <c r="A34" s="84" t="s">
        <v>76</v>
      </c>
      <c r="B34">
        <f>R34</f>
        <v>1.17E-2</v>
      </c>
      <c r="C34" t="s">
        <v>42</v>
      </c>
      <c r="D34" s="17" t="s">
        <v>416</v>
      </c>
      <c r="E34" t="s">
        <v>29</v>
      </c>
      <c r="F34" s="68" t="s">
        <v>74</v>
      </c>
      <c r="G34" t="s">
        <v>33</v>
      </c>
      <c r="H34">
        <v>2</v>
      </c>
      <c r="I34">
        <f>LN(B34)</f>
        <v>-4.4481664371784264</v>
      </c>
      <c r="J34">
        <v>7.2284161474004766E-2</v>
      </c>
      <c r="K34" t="s">
        <v>31</v>
      </c>
      <c r="L34" t="s">
        <v>31</v>
      </c>
      <c r="M34" t="s">
        <v>31</v>
      </c>
      <c r="O34" s="124" t="s">
        <v>913</v>
      </c>
      <c r="P34" s="123">
        <v>11.7</v>
      </c>
      <c r="Q34" t="s">
        <v>274</v>
      </c>
      <c r="R34">
        <f>0.001*P34</f>
        <v>1.17E-2</v>
      </c>
    </row>
    <row r="35" spans="1:20" s="73" customFormat="1" ht="15.6">
      <c r="A35" s="76" t="s">
        <v>5</v>
      </c>
      <c r="B35" s="106" t="s">
        <v>1833</v>
      </c>
    </row>
    <row r="36" spans="1:20">
      <c r="A36" s="70" t="s">
        <v>7</v>
      </c>
      <c r="B36" t="s">
        <v>1709</v>
      </c>
      <c r="C36" s="72"/>
    </row>
    <row r="37" spans="1:20">
      <c r="A37" s="113" t="s">
        <v>9</v>
      </c>
      <c r="B37" s="22" t="s">
        <v>1834</v>
      </c>
      <c r="C37" s="72"/>
    </row>
    <row r="38" spans="1:20" ht="15.75" customHeight="1">
      <c r="A38" s="70" t="s">
        <v>11</v>
      </c>
      <c r="B38" s="71" t="s">
        <v>841</v>
      </c>
    </row>
    <row r="39" spans="1:20">
      <c r="A39" s="70" t="s">
        <v>13</v>
      </c>
      <c r="B39" t="s">
        <v>14</v>
      </c>
    </row>
    <row r="40" spans="1:20">
      <c r="A40" s="70" t="s">
        <v>15</v>
      </c>
      <c r="B40" s="111">
        <f>B45</f>
        <v>0.03</v>
      </c>
    </row>
    <row r="41" spans="1:20">
      <c r="A41" s="70" t="s">
        <v>16</v>
      </c>
      <c r="B41" t="s">
        <v>17</v>
      </c>
    </row>
    <row r="42" spans="1:20">
      <c r="A42" s="70" t="s">
        <v>18</v>
      </c>
      <c r="B42" t="s">
        <v>853</v>
      </c>
    </row>
    <row r="43" spans="1:20" ht="15.6">
      <c r="A43" s="69" t="s">
        <v>19</v>
      </c>
    </row>
    <row r="44" spans="1:20" ht="15.6">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1"/>
    </row>
    <row r="45" spans="1:20">
      <c r="A45" t="s">
        <v>1833</v>
      </c>
      <c r="B45" s="111">
        <f>B29</f>
        <v>0.03</v>
      </c>
      <c r="C45" t="s">
        <v>853</v>
      </c>
      <c r="D45" s="132" t="s">
        <v>2</v>
      </c>
      <c r="E45" t="s">
        <v>29</v>
      </c>
      <c r="F45" t="s">
        <v>14</v>
      </c>
      <c r="G45" t="s">
        <v>30</v>
      </c>
      <c r="H45">
        <v>1</v>
      </c>
      <c r="I45" s="111">
        <f>B45</f>
        <v>0.03</v>
      </c>
      <c r="J45" t="s">
        <v>31</v>
      </c>
      <c r="K45" t="s">
        <v>31</v>
      </c>
      <c r="L45" t="s">
        <v>31</v>
      </c>
      <c r="M45" t="s">
        <v>31</v>
      </c>
    </row>
    <row r="46" spans="1:20">
      <c r="A46" s="84" t="s">
        <v>950</v>
      </c>
      <c r="B46" s="131">
        <v>0.4</v>
      </c>
      <c r="C46" t="s">
        <v>37</v>
      </c>
      <c r="D46" t="s">
        <v>416</v>
      </c>
      <c r="E46" t="s">
        <v>29</v>
      </c>
      <c r="F46" t="s">
        <v>82</v>
      </c>
      <c r="G46" t="s">
        <v>33</v>
      </c>
      <c r="H46">
        <v>1</v>
      </c>
      <c r="I46" s="111">
        <f>B46</f>
        <v>0.4</v>
      </c>
      <c r="J46" t="s">
        <v>31</v>
      </c>
      <c r="K46" t="s">
        <v>31</v>
      </c>
      <c r="L46" t="s">
        <v>31</v>
      </c>
      <c r="M46" t="s">
        <v>31</v>
      </c>
    </row>
    <row r="47" spans="1:20">
      <c r="A47" s="84" t="s">
        <v>951</v>
      </c>
      <c r="B47" s="131">
        <v>0.4</v>
      </c>
      <c r="C47" t="s">
        <v>37</v>
      </c>
      <c r="D47" t="s">
        <v>416</v>
      </c>
      <c r="E47" t="s">
        <v>29</v>
      </c>
      <c r="F47" t="s">
        <v>59</v>
      </c>
      <c r="G47" t="s">
        <v>33</v>
      </c>
      <c r="H47">
        <v>1</v>
      </c>
      <c r="I47" s="111">
        <f>B47</f>
        <v>0.4</v>
      </c>
      <c r="J47" t="s">
        <v>31</v>
      </c>
      <c r="K47" t="s">
        <v>31</v>
      </c>
      <c r="L47" t="s">
        <v>31</v>
      </c>
      <c r="M47" t="s">
        <v>31</v>
      </c>
    </row>
  </sheetData>
  <pageMargins left="0.7" right="0.7" top="0.75" bottom="0.75" header="0.3" footer="0.3"/>
  <pageSetup paperSize="9" orientation="portrai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4C663-B64B-4226-AB4F-9DB765E54EB6}">
  <sheetPr>
    <tabColor theme="8" tint="0.79998168889431442"/>
  </sheetPr>
  <dimension ref="A1:Y57"/>
  <sheetViews>
    <sheetView topLeftCell="A103" zoomScale="85" zoomScaleNormal="85" workbookViewId="0">
      <selection activeCell="A119" sqref="A119:I130"/>
    </sheetView>
  </sheetViews>
  <sheetFormatPr defaultRowHeight="14.45"/>
  <cols>
    <col min="1" max="1" width="74" customWidth="1"/>
    <col min="5" max="5" width="34.28515625" customWidth="1"/>
    <col min="6" max="6" width="16.7109375" customWidth="1"/>
    <col min="8" max="8" width="14.28515625" customWidth="1"/>
  </cols>
  <sheetData>
    <row r="1" spans="1:21">
      <c r="A1" t="s">
        <v>0</v>
      </c>
      <c r="B1">
        <v>14</v>
      </c>
      <c r="R1" s="58"/>
      <c r="S1" s="114"/>
    </row>
    <row r="2" spans="1:21" s="73" customFormat="1" ht="15.6">
      <c r="A2" s="76" t="s">
        <v>5</v>
      </c>
      <c r="B2" s="106" t="s">
        <v>1734</v>
      </c>
      <c r="C2" s="106"/>
      <c r="R2" s="150"/>
      <c r="S2" s="149"/>
    </row>
    <row r="3" spans="1:21">
      <c r="A3" s="70" t="s">
        <v>7</v>
      </c>
      <c r="B3" t="s">
        <v>1709</v>
      </c>
      <c r="D3" s="72"/>
      <c r="R3" s="58"/>
      <c r="S3" s="114"/>
    </row>
    <row r="4" spans="1:21">
      <c r="A4" s="113" t="s">
        <v>9</v>
      </c>
      <c r="B4" t="s">
        <v>1835</v>
      </c>
      <c r="D4" s="72"/>
    </row>
    <row r="5" spans="1:21" ht="15.75" customHeight="1">
      <c r="A5" s="70" t="s">
        <v>11</v>
      </c>
      <c r="B5" s="71" t="s">
        <v>841</v>
      </c>
      <c r="C5" s="71"/>
    </row>
    <row r="6" spans="1:21">
      <c r="A6" s="70" t="s">
        <v>13</v>
      </c>
      <c r="B6" t="s">
        <v>14</v>
      </c>
    </row>
    <row r="7" spans="1:21">
      <c r="A7" s="70" t="s">
        <v>15</v>
      </c>
      <c r="B7" s="23">
        <f>B12</f>
        <v>6.65</v>
      </c>
      <c r="C7" s="23"/>
    </row>
    <row r="8" spans="1:21">
      <c r="A8" s="70" t="s">
        <v>16</v>
      </c>
      <c r="B8" t="s">
        <v>17</v>
      </c>
    </row>
    <row r="9" spans="1:21">
      <c r="A9" s="70" t="s">
        <v>18</v>
      </c>
      <c r="B9" t="s">
        <v>37</v>
      </c>
    </row>
    <row r="10" spans="1:21" ht="15.6">
      <c r="A10" s="69" t="s">
        <v>19</v>
      </c>
    </row>
    <row r="11" spans="1:21" ht="15.6">
      <c r="A11" s="16"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c r="U11" s="111"/>
    </row>
    <row r="12" spans="1:21" ht="15.6">
      <c r="A12" t="s">
        <v>1734</v>
      </c>
      <c r="B12">
        <f>B48</f>
        <v>6.65</v>
      </c>
      <c r="D12" t="s">
        <v>37</v>
      </c>
      <c r="E12" s="110" t="s">
        <v>2</v>
      </c>
      <c r="F12" t="s">
        <v>29</v>
      </c>
      <c r="G12" t="s">
        <v>14</v>
      </c>
      <c r="H12" t="s">
        <v>30</v>
      </c>
      <c r="I12">
        <v>1</v>
      </c>
      <c r="J12">
        <f>B12</f>
        <v>6.65</v>
      </c>
      <c r="K12" t="s">
        <v>31</v>
      </c>
      <c r="L12" t="s">
        <v>31</v>
      </c>
      <c r="M12" t="s">
        <v>31</v>
      </c>
      <c r="N12" t="s">
        <v>31</v>
      </c>
      <c r="P12" s="58"/>
      <c r="Q12" s="114"/>
    </row>
    <row r="13" spans="1:21" ht="15.6">
      <c r="A13" t="s">
        <v>1836</v>
      </c>
      <c r="B13">
        <v>1</v>
      </c>
      <c r="D13" t="s">
        <v>18</v>
      </c>
      <c r="E13" s="110" t="s">
        <v>2</v>
      </c>
      <c r="F13" t="s">
        <v>29</v>
      </c>
      <c r="G13" t="s">
        <v>14</v>
      </c>
      <c r="H13" t="s">
        <v>33</v>
      </c>
      <c r="I13">
        <v>1</v>
      </c>
      <c r="J13">
        <v>1</v>
      </c>
      <c r="K13" t="s">
        <v>31</v>
      </c>
      <c r="L13" t="s">
        <v>31</v>
      </c>
      <c r="M13" t="s">
        <v>31</v>
      </c>
      <c r="N13" t="s">
        <v>31</v>
      </c>
    </row>
    <row r="14" spans="1:21" ht="15.6">
      <c r="A14" s="67" t="s">
        <v>38</v>
      </c>
      <c r="B14" s="115">
        <f>Q14</f>
        <v>0.25</v>
      </c>
      <c r="C14" s="115"/>
      <c r="D14" t="s">
        <v>39</v>
      </c>
      <c r="E14" s="17" t="s">
        <v>416</v>
      </c>
      <c r="F14" t="s">
        <v>29</v>
      </c>
      <c r="G14" s="68" t="s">
        <v>35</v>
      </c>
      <c r="H14" t="s">
        <v>33</v>
      </c>
      <c r="I14">
        <v>2</v>
      </c>
      <c r="J14">
        <f>LN(B14)</f>
        <v>-1.3862943611198906</v>
      </c>
      <c r="K14" s="125">
        <v>9.6046863561492793E-2</v>
      </c>
      <c r="L14" t="s">
        <v>31</v>
      </c>
      <c r="M14" t="s">
        <v>31</v>
      </c>
      <c r="N14" t="s">
        <v>31</v>
      </c>
      <c r="P14" s="97" t="s">
        <v>271</v>
      </c>
      <c r="Q14" s="107">
        <v>0.25</v>
      </c>
    </row>
    <row r="15" spans="1:21" ht="15.6">
      <c r="A15" s="67" t="s">
        <v>38</v>
      </c>
      <c r="B15" s="115">
        <f>Q15</f>
        <v>0.5</v>
      </c>
      <c r="C15" s="115"/>
      <c r="D15" t="s">
        <v>39</v>
      </c>
      <c r="E15" s="17" t="s">
        <v>416</v>
      </c>
      <c r="F15" t="s">
        <v>29</v>
      </c>
      <c r="G15" s="68" t="s">
        <v>59</v>
      </c>
      <c r="H15" t="s">
        <v>33</v>
      </c>
      <c r="I15">
        <v>2</v>
      </c>
      <c r="J15">
        <f>LN(B15)</f>
        <v>-0.69314718055994529</v>
      </c>
      <c r="K15" s="125">
        <v>9.6046863561492793E-2</v>
      </c>
      <c r="L15" t="s">
        <v>31</v>
      </c>
      <c r="M15" t="s">
        <v>31</v>
      </c>
      <c r="N15" t="s">
        <v>31</v>
      </c>
      <c r="P15" s="97" t="s">
        <v>271</v>
      </c>
      <c r="Q15" s="107">
        <v>0.5</v>
      </c>
    </row>
    <row r="16" spans="1:21" ht="15.6">
      <c r="A16" s="84" t="s">
        <v>954</v>
      </c>
      <c r="B16">
        <f>S16</f>
        <v>6.5000000000000002E-2</v>
      </c>
      <c r="D16" t="s">
        <v>37</v>
      </c>
      <c r="E16" s="17" t="s">
        <v>416</v>
      </c>
      <c r="F16" t="s">
        <v>29</v>
      </c>
      <c r="G16" t="s">
        <v>35</v>
      </c>
      <c r="H16" t="s">
        <v>33</v>
      </c>
      <c r="I16">
        <v>2</v>
      </c>
      <c r="J16">
        <f>LN(B16)</f>
        <v>-2.7333680090865</v>
      </c>
      <c r="K16" s="125">
        <v>9.6046863561492793E-2</v>
      </c>
      <c r="L16" t="s">
        <v>31</v>
      </c>
      <c r="M16" t="s">
        <v>31</v>
      </c>
      <c r="N16" t="s">
        <v>31</v>
      </c>
      <c r="P16" s="97" t="s">
        <v>857</v>
      </c>
      <c r="Q16" s="107">
        <v>65</v>
      </c>
      <c r="R16" s="97" t="s">
        <v>275</v>
      </c>
      <c r="S16" s="107">
        <f>0.001*Q16</f>
        <v>6.5000000000000002E-2</v>
      </c>
    </row>
    <row r="17" spans="1:21" ht="15.6">
      <c r="A17" s="84" t="s">
        <v>955</v>
      </c>
      <c r="B17">
        <f>Q17</f>
        <v>1.2</v>
      </c>
      <c r="D17" t="s">
        <v>37</v>
      </c>
      <c r="E17" s="17" t="s">
        <v>416</v>
      </c>
      <c r="F17" t="s">
        <v>29</v>
      </c>
      <c r="G17" s="68" t="s">
        <v>74</v>
      </c>
      <c r="H17" t="s">
        <v>33</v>
      </c>
      <c r="I17">
        <v>2</v>
      </c>
      <c r="J17">
        <f>LN(B17)</f>
        <v>0.18232155679395459</v>
      </c>
      <c r="K17" s="125">
        <v>9.6046863561492793E-2</v>
      </c>
      <c r="L17" t="s">
        <v>31</v>
      </c>
      <c r="M17" t="s">
        <v>31</v>
      </c>
      <c r="N17" t="s">
        <v>31</v>
      </c>
      <c r="P17" s="97" t="s">
        <v>275</v>
      </c>
      <c r="Q17" s="107">
        <v>1.2</v>
      </c>
    </row>
    <row r="18" spans="1:21" ht="15.6">
      <c r="A18" s="84" t="s">
        <v>838</v>
      </c>
      <c r="B18">
        <f>S18</f>
        <v>6.5000000000000002E-2</v>
      </c>
      <c r="D18" t="s">
        <v>37</v>
      </c>
      <c r="E18" s="17" t="s">
        <v>416</v>
      </c>
      <c r="F18" t="s">
        <v>29</v>
      </c>
      <c r="G18" s="68" t="s">
        <v>74</v>
      </c>
      <c r="H18" t="s">
        <v>33</v>
      </c>
      <c r="I18">
        <v>2</v>
      </c>
      <c r="J18">
        <f>LN(B18)</f>
        <v>-2.7333680090865</v>
      </c>
      <c r="K18" s="125">
        <v>9.6046863561492793E-2</v>
      </c>
      <c r="L18" t="s">
        <v>31</v>
      </c>
      <c r="M18" t="s">
        <v>31</v>
      </c>
      <c r="N18" t="s">
        <v>31</v>
      </c>
      <c r="P18" s="97" t="s">
        <v>857</v>
      </c>
      <c r="Q18" s="123">
        <v>65</v>
      </c>
      <c r="R18" s="97" t="s">
        <v>275</v>
      </c>
      <c r="S18" s="107">
        <f>0.001*Q18</f>
        <v>6.5000000000000002E-2</v>
      </c>
    </row>
    <row r="19" spans="1:21" s="73" customFormat="1" ht="15.6">
      <c r="A19" s="76" t="s">
        <v>5</v>
      </c>
      <c r="B19" s="106" t="str">
        <f>A29</f>
        <v>production of machined casing, mass scaled activities, DCDC power module, battery charging, long-term</v>
      </c>
      <c r="C19" s="106"/>
    </row>
    <row r="20" spans="1:21">
      <c r="A20" s="70" t="s">
        <v>7</v>
      </c>
      <c r="B20" t="s">
        <v>1709</v>
      </c>
      <c r="D20" s="72"/>
    </row>
    <row r="21" spans="1:21">
      <c r="A21" s="113" t="s">
        <v>9</v>
      </c>
      <c r="B21" t="s">
        <v>1837</v>
      </c>
      <c r="D21" s="72"/>
    </row>
    <row r="22" spans="1:21" ht="15.75" customHeight="1">
      <c r="A22" s="70" t="s">
        <v>11</v>
      </c>
      <c r="B22" s="71" t="s">
        <v>841</v>
      </c>
      <c r="C22" s="71"/>
    </row>
    <row r="23" spans="1:21">
      <c r="A23" s="70" t="s">
        <v>13</v>
      </c>
      <c r="B23" t="s">
        <v>14</v>
      </c>
    </row>
    <row r="24" spans="1:21">
      <c r="A24" s="70" t="s">
        <v>15</v>
      </c>
      <c r="B24" s="23">
        <v>1</v>
      </c>
      <c r="C24" s="23"/>
    </row>
    <row r="25" spans="1:21">
      <c r="A25" s="70" t="s">
        <v>16</v>
      </c>
      <c r="B25" t="s">
        <v>17</v>
      </c>
    </row>
    <row r="26" spans="1:21">
      <c r="A26" s="70" t="s">
        <v>18</v>
      </c>
      <c r="B26" t="s">
        <v>18</v>
      </c>
    </row>
    <row r="27" spans="1:21" ht="15.6">
      <c r="A27" s="69" t="s">
        <v>19</v>
      </c>
    </row>
    <row r="28" spans="1:21" ht="15.6">
      <c r="A28" s="16" t="s">
        <v>20</v>
      </c>
      <c r="B28" s="16" t="s">
        <v>21</v>
      </c>
      <c r="C28" s="83" t="s">
        <v>186</v>
      </c>
      <c r="D28" s="16" t="s">
        <v>18</v>
      </c>
      <c r="E28" s="16" t="s">
        <v>22</v>
      </c>
      <c r="F28" s="16" t="s">
        <v>7</v>
      </c>
      <c r="G28" s="16" t="s">
        <v>13</v>
      </c>
      <c r="H28" s="16" t="s">
        <v>16</v>
      </c>
      <c r="I28" s="16" t="s">
        <v>23</v>
      </c>
      <c r="J28" s="16" t="s">
        <v>24</v>
      </c>
      <c r="K28" s="16" t="s">
        <v>25</v>
      </c>
      <c r="L28" s="16" t="s">
        <v>26</v>
      </c>
      <c r="M28" s="16" t="s">
        <v>27</v>
      </c>
      <c r="N28" s="16" t="s">
        <v>28</v>
      </c>
      <c r="O28" s="16" t="s">
        <v>11</v>
      </c>
      <c r="U28" s="111"/>
    </row>
    <row r="29" spans="1:21" ht="15.6">
      <c r="A29" t="s">
        <v>1836</v>
      </c>
      <c r="B29">
        <v>1</v>
      </c>
      <c r="D29" t="s">
        <v>18</v>
      </c>
      <c r="E29" s="110" t="s">
        <v>2</v>
      </c>
      <c r="F29" t="s">
        <v>29</v>
      </c>
      <c r="G29" t="s">
        <v>14</v>
      </c>
      <c r="H29" t="s">
        <v>30</v>
      </c>
      <c r="I29">
        <v>1</v>
      </c>
      <c r="J29">
        <v>1</v>
      </c>
      <c r="K29" t="s">
        <v>31</v>
      </c>
      <c r="L29" t="s">
        <v>31</v>
      </c>
      <c r="M29" t="s">
        <v>31</v>
      </c>
      <c r="N29" t="s">
        <v>31</v>
      </c>
      <c r="Q29" s="131">
        <v>6.33</v>
      </c>
    </row>
    <row r="30" spans="1:21">
      <c r="A30" t="s">
        <v>1838</v>
      </c>
      <c r="B30" s="23">
        <f>B43</f>
        <v>6.65</v>
      </c>
      <c r="D30" t="s">
        <v>37</v>
      </c>
      <c r="E30" s="132" t="s">
        <v>2</v>
      </c>
      <c r="F30" t="s">
        <v>29</v>
      </c>
      <c r="G30" t="s">
        <v>14</v>
      </c>
      <c r="H30" t="s">
        <v>33</v>
      </c>
      <c r="I30">
        <v>2</v>
      </c>
      <c r="J30">
        <f t="shared" ref="J30:J37" si="0">LN(B30)</f>
        <v>1.8946168546677629</v>
      </c>
      <c r="K30">
        <v>0.10307764064044142</v>
      </c>
      <c r="L30" t="s">
        <v>31</v>
      </c>
      <c r="M30" t="s">
        <v>31</v>
      </c>
      <c r="N30" t="s">
        <v>31</v>
      </c>
    </row>
    <row r="31" spans="1:21" ht="15.6">
      <c r="A31" s="67" t="s">
        <v>38</v>
      </c>
      <c r="B31" s="115">
        <f>Q31</f>
        <v>0.38</v>
      </c>
      <c r="C31" s="115"/>
      <c r="D31" t="s">
        <v>39</v>
      </c>
      <c r="E31" s="17" t="s">
        <v>416</v>
      </c>
      <c r="F31" t="s">
        <v>29</v>
      </c>
      <c r="G31" s="68" t="s">
        <v>59</v>
      </c>
      <c r="H31" t="s">
        <v>33</v>
      </c>
      <c r="I31">
        <v>2</v>
      </c>
      <c r="J31">
        <f t="shared" si="0"/>
        <v>-0.96758402626170559</v>
      </c>
      <c r="K31">
        <v>9.6046863561492793E-2</v>
      </c>
      <c r="L31" t="s">
        <v>31</v>
      </c>
      <c r="M31" t="s">
        <v>31</v>
      </c>
      <c r="N31" t="s">
        <v>31</v>
      </c>
      <c r="P31" s="97" t="s">
        <v>271</v>
      </c>
      <c r="Q31" s="107">
        <v>0.38</v>
      </c>
    </row>
    <row r="32" spans="1:21" ht="15.6">
      <c r="A32" s="84" t="s">
        <v>954</v>
      </c>
      <c r="B32">
        <f>S32</f>
        <v>8.8999999999999996E-2</v>
      </c>
      <c r="D32" t="s">
        <v>37</v>
      </c>
      <c r="E32" s="17" t="s">
        <v>416</v>
      </c>
      <c r="F32" t="s">
        <v>29</v>
      </c>
      <c r="G32" t="s">
        <v>35</v>
      </c>
      <c r="H32" t="s">
        <v>33</v>
      </c>
      <c r="I32">
        <v>2</v>
      </c>
      <c r="J32">
        <f t="shared" si="0"/>
        <v>-2.4191189092499972</v>
      </c>
      <c r="K32">
        <v>9.6046863561492793E-2</v>
      </c>
      <c r="L32" t="s">
        <v>31</v>
      </c>
      <c r="M32" t="s">
        <v>31</v>
      </c>
      <c r="N32" t="s">
        <v>31</v>
      </c>
      <c r="P32" s="97" t="s">
        <v>857</v>
      </c>
      <c r="Q32" s="107">
        <v>89</v>
      </c>
      <c r="R32" s="97" t="s">
        <v>275</v>
      </c>
      <c r="S32" s="107">
        <f>0.001*Q32</f>
        <v>8.8999999999999996E-2</v>
      </c>
    </row>
    <row r="33" spans="1:21" ht="15.6">
      <c r="A33" s="84" t="s">
        <v>955</v>
      </c>
      <c r="B33">
        <f>Q33</f>
        <v>1.6</v>
      </c>
      <c r="D33" t="s">
        <v>37</v>
      </c>
      <c r="E33" s="17" t="s">
        <v>416</v>
      </c>
      <c r="F33" t="s">
        <v>29</v>
      </c>
      <c r="G33" s="68" t="s">
        <v>74</v>
      </c>
      <c r="H33" t="s">
        <v>33</v>
      </c>
      <c r="I33">
        <v>2</v>
      </c>
      <c r="J33">
        <f t="shared" si="0"/>
        <v>0.47000362924573563</v>
      </c>
      <c r="K33">
        <v>9.6046863561492793E-2</v>
      </c>
      <c r="L33" t="s">
        <v>31</v>
      </c>
      <c r="M33" t="s">
        <v>31</v>
      </c>
      <c r="N33" t="s">
        <v>31</v>
      </c>
      <c r="P33" s="97" t="s">
        <v>275</v>
      </c>
      <c r="Q33" s="107">
        <v>1.6</v>
      </c>
    </row>
    <row r="34" spans="1:21" ht="15.6">
      <c r="A34" s="144" t="s">
        <v>202</v>
      </c>
      <c r="B34">
        <f>S35</f>
        <v>8.8999999999999996E-2</v>
      </c>
      <c r="C34" s="58" t="s">
        <v>203</v>
      </c>
      <c r="D34" t="s">
        <v>37</v>
      </c>
      <c r="E34" s="17" t="s">
        <v>416</v>
      </c>
      <c r="F34" t="s">
        <v>29</v>
      </c>
      <c r="G34" s="68" t="s">
        <v>35</v>
      </c>
      <c r="H34" t="s">
        <v>33</v>
      </c>
      <c r="I34">
        <v>2</v>
      </c>
      <c r="J34">
        <f t="shared" si="0"/>
        <v>-2.4191189092499972</v>
      </c>
      <c r="K34">
        <v>9.6046863561492793E-2</v>
      </c>
      <c r="L34" t="s">
        <v>31</v>
      </c>
      <c r="M34" t="s">
        <v>31</v>
      </c>
      <c r="N34" t="s">
        <v>31</v>
      </c>
      <c r="P34" s="97"/>
      <c r="Q34" s="123">
        <v>335</v>
      </c>
    </row>
    <row r="35" spans="1:21" ht="15.6">
      <c r="A35" s="58" t="s">
        <v>201</v>
      </c>
      <c r="B35">
        <f>S35</f>
        <v>8.8999999999999996E-2</v>
      </c>
      <c r="D35" t="s">
        <v>37</v>
      </c>
      <c r="E35" s="17" t="s">
        <v>416</v>
      </c>
      <c r="F35" t="s">
        <v>29</v>
      </c>
      <c r="G35" t="s">
        <v>35</v>
      </c>
      <c r="H35" t="s">
        <v>33</v>
      </c>
      <c r="I35">
        <v>2</v>
      </c>
      <c r="J35">
        <f t="shared" si="0"/>
        <v>-2.4191189092499972</v>
      </c>
      <c r="K35">
        <v>9.6046863561492793E-2</v>
      </c>
      <c r="L35" t="s">
        <v>31</v>
      </c>
      <c r="M35" t="s">
        <v>31</v>
      </c>
      <c r="N35" t="s">
        <v>31</v>
      </c>
      <c r="P35" s="124" t="s">
        <v>857</v>
      </c>
      <c r="Q35" s="123">
        <v>335</v>
      </c>
      <c r="R35" s="97" t="s">
        <v>275</v>
      </c>
      <c r="S35" s="107">
        <f>0.001*Q37</f>
        <v>8.8999999999999996E-2</v>
      </c>
    </row>
    <row r="36" spans="1:21" ht="15.6">
      <c r="A36" s="84" t="s">
        <v>958</v>
      </c>
      <c r="B36">
        <f>S35</f>
        <v>8.8999999999999996E-2</v>
      </c>
      <c r="D36" t="s">
        <v>37</v>
      </c>
      <c r="E36" s="17" t="s">
        <v>416</v>
      </c>
      <c r="F36" t="s">
        <v>29</v>
      </c>
      <c r="G36" t="s">
        <v>59</v>
      </c>
      <c r="H36" t="s">
        <v>136</v>
      </c>
      <c r="I36">
        <v>2</v>
      </c>
      <c r="J36">
        <f t="shared" si="0"/>
        <v>-2.4191189092499972</v>
      </c>
      <c r="K36">
        <v>9.6046863561492793E-2</v>
      </c>
      <c r="L36" t="s">
        <v>31</v>
      </c>
      <c r="M36" t="s">
        <v>31</v>
      </c>
      <c r="N36" t="s">
        <v>31</v>
      </c>
      <c r="P36" s="124" t="s">
        <v>857</v>
      </c>
      <c r="Q36" s="123">
        <v>335</v>
      </c>
      <c r="R36" s="97" t="s">
        <v>275</v>
      </c>
      <c r="S36" s="107">
        <f>0.001*Q36</f>
        <v>0.33500000000000002</v>
      </c>
    </row>
    <row r="37" spans="1:21" ht="15.6">
      <c r="A37" s="84" t="s">
        <v>838</v>
      </c>
      <c r="B37">
        <f>S37</f>
        <v>8.8999999999999996E-2</v>
      </c>
      <c r="D37" t="s">
        <v>37</v>
      </c>
      <c r="E37" s="17" t="s">
        <v>416</v>
      </c>
      <c r="F37" t="s">
        <v>29</v>
      </c>
      <c r="G37" s="68" t="s">
        <v>74</v>
      </c>
      <c r="H37" t="s">
        <v>33</v>
      </c>
      <c r="I37">
        <v>2</v>
      </c>
      <c r="J37">
        <f t="shared" si="0"/>
        <v>-2.4191189092499972</v>
      </c>
      <c r="K37">
        <v>9.6046863561492793E-2</v>
      </c>
      <c r="L37" t="s">
        <v>31</v>
      </c>
      <c r="M37" t="s">
        <v>31</v>
      </c>
      <c r="N37" t="s">
        <v>31</v>
      </c>
      <c r="P37" s="124" t="s">
        <v>857</v>
      </c>
      <c r="Q37" s="123">
        <v>89</v>
      </c>
      <c r="R37" s="97" t="s">
        <v>275</v>
      </c>
      <c r="S37" s="107">
        <f>0.001*Q37</f>
        <v>8.8999999999999996E-2</v>
      </c>
    </row>
    <row r="38" spans="1:21" s="73" customFormat="1" ht="15.6">
      <c r="A38" s="76" t="s">
        <v>5</v>
      </c>
      <c r="B38" s="106" t="s">
        <v>1838</v>
      </c>
      <c r="C38" s="106"/>
    </row>
    <row r="39" spans="1:21">
      <c r="A39" s="70" t="s">
        <v>7</v>
      </c>
      <c r="B39" t="s">
        <v>1709</v>
      </c>
      <c r="D39" s="72"/>
    </row>
    <row r="40" spans="1:21">
      <c r="A40" s="113" t="s">
        <v>9</v>
      </c>
      <c r="B40" t="s">
        <v>1839</v>
      </c>
      <c r="D40" s="72"/>
    </row>
    <row r="41" spans="1:21" ht="15.75" customHeight="1">
      <c r="A41" s="70" t="s">
        <v>11</v>
      </c>
      <c r="B41" s="71" t="s">
        <v>841</v>
      </c>
      <c r="C41" s="71"/>
    </row>
    <row r="42" spans="1:21">
      <c r="A42" s="70" t="s">
        <v>13</v>
      </c>
      <c r="B42" t="s">
        <v>14</v>
      </c>
    </row>
    <row r="43" spans="1:21">
      <c r="A43" s="70" t="s">
        <v>15</v>
      </c>
      <c r="B43" s="23">
        <f>B48</f>
        <v>6.65</v>
      </c>
      <c r="C43" s="23"/>
    </row>
    <row r="44" spans="1:21">
      <c r="A44" s="70" t="s">
        <v>16</v>
      </c>
      <c r="B44" t="s">
        <v>17</v>
      </c>
    </row>
    <row r="45" spans="1:21">
      <c r="A45" s="70" t="s">
        <v>18</v>
      </c>
      <c r="B45" t="s">
        <v>37</v>
      </c>
    </row>
    <row r="46" spans="1:21" ht="15.6">
      <c r="A46" s="69" t="s">
        <v>19</v>
      </c>
    </row>
    <row r="47" spans="1:21" ht="15.6">
      <c r="A47" s="16" t="s">
        <v>20</v>
      </c>
      <c r="B47" s="16" t="s">
        <v>21</v>
      </c>
      <c r="C47" s="83" t="s">
        <v>186</v>
      </c>
      <c r="D47" s="16" t="s">
        <v>18</v>
      </c>
      <c r="E47" s="16" t="s">
        <v>22</v>
      </c>
      <c r="F47" s="16" t="s">
        <v>7</v>
      </c>
      <c r="G47" s="16" t="s">
        <v>13</v>
      </c>
      <c r="H47" s="16" t="s">
        <v>16</v>
      </c>
      <c r="I47" s="16" t="s">
        <v>23</v>
      </c>
      <c r="J47" s="16" t="s">
        <v>24</v>
      </c>
      <c r="K47" s="16" t="s">
        <v>25</v>
      </c>
      <c r="L47" s="16" t="s">
        <v>26</v>
      </c>
      <c r="M47" s="16" t="s">
        <v>27</v>
      </c>
      <c r="N47" s="16" t="s">
        <v>28</v>
      </c>
      <c r="O47" s="16" t="s">
        <v>11</v>
      </c>
      <c r="U47" s="111"/>
    </row>
    <row r="48" spans="1:21">
      <c r="A48" t="s">
        <v>1838</v>
      </c>
      <c r="B48">
        <f>Q48</f>
        <v>6.65</v>
      </c>
      <c r="D48" t="s">
        <v>37</v>
      </c>
      <c r="E48" s="132" t="s">
        <v>2</v>
      </c>
      <c r="F48" t="s">
        <v>29</v>
      </c>
      <c r="G48" t="s">
        <v>14</v>
      </c>
      <c r="H48" t="s">
        <v>30</v>
      </c>
      <c r="I48">
        <v>2</v>
      </c>
      <c r="J48">
        <f t="shared" ref="J48:J57" si="1">LN(B48)</f>
        <v>1.8946168546677629</v>
      </c>
      <c r="K48">
        <v>0.10307764064044142</v>
      </c>
      <c r="L48" t="s">
        <v>31</v>
      </c>
      <c r="M48" t="s">
        <v>31</v>
      </c>
      <c r="N48" t="s">
        <v>31</v>
      </c>
      <c r="Q48" s="148">
        <v>6.65</v>
      </c>
    </row>
    <row r="49" spans="1:25" ht="15.6">
      <c r="A49" s="84" t="s">
        <v>958</v>
      </c>
      <c r="B49">
        <f>Q49</f>
        <v>7.05</v>
      </c>
      <c r="D49" t="s">
        <v>37</v>
      </c>
      <c r="E49" s="17" t="s">
        <v>416</v>
      </c>
      <c r="F49" t="s">
        <v>29</v>
      </c>
      <c r="G49" t="s">
        <v>59</v>
      </c>
      <c r="H49" t="s">
        <v>33</v>
      </c>
      <c r="I49">
        <v>2</v>
      </c>
      <c r="J49">
        <f t="shared" si="1"/>
        <v>1.9530276168241774</v>
      </c>
      <c r="K49">
        <v>4.9999999999998969E-3</v>
      </c>
      <c r="L49" t="s">
        <v>31</v>
      </c>
      <c r="M49" t="s">
        <v>31</v>
      </c>
      <c r="N49" t="s">
        <v>31</v>
      </c>
      <c r="P49" s="97" t="s">
        <v>275</v>
      </c>
      <c r="Q49" s="107">
        <v>7.05</v>
      </c>
    </row>
    <row r="50" spans="1:25" ht="15.6">
      <c r="A50" s="24" t="s">
        <v>69</v>
      </c>
      <c r="B50">
        <f>S50</f>
        <v>1.8746736292428199</v>
      </c>
      <c r="D50" t="s">
        <v>42</v>
      </c>
      <c r="E50" s="17" t="s">
        <v>416</v>
      </c>
      <c r="F50" t="s">
        <v>29</v>
      </c>
      <c r="G50" t="s">
        <v>272</v>
      </c>
      <c r="H50" t="s">
        <v>33</v>
      </c>
      <c r="I50">
        <v>2</v>
      </c>
      <c r="J50">
        <f t="shared" si="1"/>
        <v>0.62843457986757822</v>
      </c>
      <c r="K50">
        <v>4.9999999999998969E-3</v>
      </c>
      <c r="L50" t="s">
        <v>31</v>
      </c>
      <c r="M50" t="s">
        <v>31</v>
      </c>
      <c r="N50" t="s">
        <v>31</v>
      </c>
      <c r="P50" s="97" t="s">
        <v>270</v>
      </c>
      <c r="Q50" s="107">
        <v>71.8</v>
      </c>
      <c r="R50" t="s">
        <v>274</v>
      </c>
      <c r="S50">
        <f>Q50/38.3</f>
        <v>1.8746736292428199</v>
      </c>
      <c r="T50" s="147"/>
      <c r="U50" s="146"/>
      <c r="V50" s="146"/>
      <c r="W50" s="146"/>
      <c r="X50" s="146"/>
      <c r="Y50" s="146"/>
    </row>
    <row r="51" spans="1:25" ht="15.6">
      <c r="A51" s="67" t="s">
        <v>38</v>
      </c>
      <c r="B51" s="115">
        <f>Q51</f>
        <v>17.3</v>
      </c>
      <c r="C51" s="115"/>
      <c r="D51" t="s">
        <v>39</v>
      </c>
      <c r="E51" s="17" t="s">
        <v>416</v>
      </c>
      <c r="F51" t="s">
        <v>29</v>
      </c>
      <c r="G51" s="68" t="s">
        <v>59</v>
      </c>
      <c r="H51" t="s">
        <v>33</v>
      </c>
      <c r="I51">
        <v>2</v>
      </c>
      <c r="J51">
        <f t="shared" si="1"/>
        <v>2.8507065015037334</v>
      </c>
      <c r="K51">
        <v>4.9999999999998969E-3</v>
      </c>
      <c r="L51" t="s">
        <v>31</v>
      </c>
      <c r="M51" t="s">
        <v>31</v>
      </c>
      <c r="N51" t="s">
        <v>31</v>
      </c>
      <c r="P51" s="97" t="s">
        <v>271</v>
      </c>
      <c r="Q51" s="107">
        <v>17.3</v>
      </c>
    </row>
    <row r="52" spans="1:25" ht="15.6">
      <c r="A52" s="84" t="s">
        <v>960</v>
      </c>
      <c r="B52">
        <f>S52</f>
        <v>0.13</v>
      </c>
      <c r="D52" t="s">
        <v>37</v>
      </c>
      <c r="E52" s="17" t="s">
        <v>416</v>
      </c>
      <c r="F52" t="s">
        <v>29</v>
      </c>
      <c r="G52" t="s">
        <v>35</v>
      </c>
      <c r="H52" t="s">
        <v>33</v>
      </c>
      <c r="I52">
        <v>2</v>
      </c>
      <c r="J52">
        <f t="shared" si="1"/>
        <v>-2.0402208285265546</v>
      </c>
      <c r="K52">
        <v>0.10049875621120885</v>
      </c>
      <c r="L52" t="s">
        <v>31</v>
      </c>
      <c r="M52" t="s">
        <v>31</v>
      </c>
      <c r="N52" t="s">
        <v>31</v>
      </c>
      <c r="P52" s="97" t="s">
        <v>857</v>
      </c>
      <c r="Q52" s="107">
        <v>130</v>
      </c>
      <c r="R52" s="97" t="s">
        <v>275</v>
      </c>
      <c r="S52" s="107">
        <f>0.001*Q52</f>
        <v>0.13</v>
      </c>
    </row>
    <row r="53" spans="1:25">
      <c r="A53" s="84" t="s">
        <v>961</v>
      </c>
      <c r="B53">
        <f>S53</f>
        <v>2.7000000000000001E-3</v>
      </c>
      <c r="D53" t="s">
        <v>37</v>
      </c>
      <c r="E53" t="s">
        <v>43</v>
      </c>
      <c r="F53" t="s">
        <v>44</v>
      </c>
      <c r="G53" t="s">
        <v>29</v>
      </c>
      <c r="H53" t="s">
        <v>45</v>
      </c>
      <c r="I53">
        <v>2</v>
      </c>
      <c r="J53">
        <f t="shared" si="1"/>
        <v>-5.9145035059718536</v>
      </c>
      <c r="K53">
        <v>4.9999999999998969E-3</v>
      </c>
      <c r="L53" t="s">
        <v>31</v>
      </c>
      <c r="M53" t="s">
        <v>31</v>
      </c>
      <c r="N53" t="s">
        <v>31</v>
      </c>
      <c r="P53" s="128" t="s">
        <v>857</v>
      </c>
      <c r="Q53" s="145">
        <v>2.7</v>
      </c>
      <c r="R53" s="97" t="s">
        <v>275</v>
      </c>
      <c r="S53" s="107">
        <f>0.001*Q53</f>
        <v>2.7000000000000001E-3</v>
      </c>
    </row>
    <row r="54" spans="1:25" ht="15.6">
      <c r="A54" s="67" t="s">
        <v>807</v>
      </c>
      <c r="B54">
        <f>S54</f>
        <v>6.7000000000000002E-3</v>
      </c>
      <c r="D54" t="s">
        <v>37</v>
      </c>
      <c r="E54" s="17" t="s">
        <v>43</v>
      </c>
      <c r="F54" t="s">
        <v>44</v>
      </c>
      <c r="G54" s="68" t="s">
        <v>29</v>
      </c>
      <c r="H54" t="s">
        <v>45</v>
      </c>
      <c r="I54">
        <v>2</v>
      </c>
      <c r="J54">
        <f t="shared" si="1"/>
        <v>-5.005647752585217</v>
      </c>
      <c r="K54">
        <v>8.9582364335844641E-2</v>
      </c>
      <c r="L54" t="s">
        <v>31</v>
      </c>
      <c r="M54" t="s">
        <v>31</v>
      </c>
      <c r="N54" t="s">
        <v>31</v>
      </c>
      <c r="P54" s="128" t="s">
        <v>857</v>
      </c>
      <c r="Q54" s="145">
        <v>6.7</v>
      </c>
      <c r="R54" s="97" t="s">
        <v>275</v>
      </c>
      <c r="S54" s="107">
        <f>0.001*Q54</f>
        <v>6.7000000000000002E-3</v>
      </c>
    </row>
    <row r="55" spans="1:25" ht="15.6">
      <c r="A55" s="144" t="s">
        <v>202</v>
      </c>
      <c r="B55">
        <f>Q56</f>
        <v>0.4</v>
      </c>
      <c r="C55" s="58" t="s">
        <v>203</v>
      </c>
      <c r="D55" t="s">
        <v>37</v>
      </c>
      <c r="E55" s="17" t="s">
        <v>416</v>
      </c>
      <c r="F55" t="s">
        <v>29</v>
      </c>
      <c r="G55" s="68" t="s">
        <v>35</v>
      </c>
      <c r="H55" t="s">
        <v>33</v>
      </c>
      <c r="I55">
        <v>2</v>
      </c>
      <c r="J55">
        <f t="shared" si="1"/>
        <v>-0.916290731874155</v>
      </c>
      <c r="K55">
        <v>9.6046863561492793E-2</v>
      </c>
      <c r="L55" t="s">
        <v>31</v>
      </c>
      <c r="M55" t="s">
        <v>31</v>
      </c>
      <c r="N55" t="s">
        <v>31</v>
      </c>
      <c r="P55" s="124" t="s">
        <v>275</v>
      </c>
      <c r="Q55" s="123">
        <v>0.4</v>
      </c>
      <c r="R55" s="109"/>
      <c r="S55" s="108"/>
    </row>
    <row r="56" spans="1:25" ht="15.6">
      <c r="A56" s="58" t="s">
        <v>201</v>
      </c>
      <c r="B56">
        <f>Q56</f>
        <v>0.4</v>
      </c>
      <c r="D56" t="s">
        <v>37</v>
      </c>
      <c r="E56" s="17" t="s">
        <v>416</v>
      </c>
      <c r="F56" t="s">
        <v>29</v>
      </c>
      <c r="G56" t="s">
        <v>35</v>
      </c>
      <c r="H56" t="s">
        <v>33</v>
      </c>
      <c r="I56">
        <v>2</v>
      </c>
      <c r="J56">
        <f t="shared" si="1"/>
        <v>-0.916290731874155</v>
      </c>
      <c r="K56">
        <v>4.9999999999998969E-3</v>
      </c>
      <c r="L56" t="s">
        <v>31</v>
      </c>
      <c r="M56" t="s">
        <v>31</v>
      </c>
      <c r="N56" t="s">
        <v>31</v>
      </c>
      <c r="P56" s="124" t="s">
        <v>275</v>
      </c>
      <c r="Q56" s="123">
        <v>0.4</v>
      </c>
    </row>
    <row r="57" spans="1:25" ht="15.6">
      <c r="A57" s="84" t="s">
        <v>958</v>
      </c>
      <c r="B57">
        <f>Q56</f>
        <v>0.4</v>
      </c>
      <c r="D57" t="s">
        <v>37</v>
      </c>
      <c r="E57" s="17" t="s">
        <v>416</v>
      </c>
      <c r="F57" t="s">
        <v>29</v>
      </c>
      <c r="G57" t="s">
        <v>59</v>
      </c>
      <c r="H57" t="s">
        <v>136</v>
      </c>
      <c r="I57">
        <v>2</v>
      </c>
      <c r="J57">
        <f t="shared" si="1"/>
        <v>-0.916290731874155</v>
      </c>
      <c r="K57">
        <v>4.9999999999998969E-3</v>
      </c>
      <c r="L57" t="s">
        <v>31</v>
      </c>
      <c r="M57" t="s">
        <v>31</v>
      </c>
      <c r="N57" t="s">
        <v>31</v>
      </c>
      <c r="P57" s="124" t="s">
        <v>275</v>
      </c>
      <c r="Q57" s="123">
        <v>0.4</v>
      </c>
    </row>
  </sheetData>
  <pageMargins left="0.7" right="0.7" top="0.75" bottom="0.75" header="0.3" footer="0.3"/>
  <pageSetup paperSize="9"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128D-EE11-4C02-AD80-1915950C9699}">
  <sheetPr>
    <tabColor theme="8" tint="0.79998168889431442"/>
  </sheetPr>
  <dimension ref="A1:U363"/>
  <sheetViews>
    <sheetView topLeftCell="A3" zoomScale="85" zoomScaleNormal="85" workbookViewId="0">
      <selection activeCell="D37" sqref="D37"/>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6">
      <c r="A2" s="76" t="s">
        <v>5</v>
      </c>
      <c r="B2" s="75" t="s">
        <v>1809</v>
      </c>
      <c r="C2" s="74"/>
      <c r="D2" s="73"/>
      <c r="E2" s="73"/>
      <c r="F2" s="73"/>
      <c r="G2" s="73"/>
      <c r="H2" s="73"/>
      <c r="I2" s="73"/>
      <c r="J2" s="73"/>
      <c r="K2" s="73"/>
      <c r="L2" s="73"/>
      <c r="M2" s="73"/>
    </row>
    <row r="3" spans="1:18">
      <c r="A3" s="70" t="s">
        <v>7</v>
      </c>
      <c r="B3" t="s">
        <v>1709</v>
      </c>
      <c r="C3" s="72"/>
    </row>
    <row r="4" spans="1:18">
      <c r="A4" s="70" t="s">
        <v>9</v>
      </c>
      <c r="B4" t="s">
        <v>1840</v>
      </c>
      <c r="C4" s="72"/>
    </row>
    <row r="5" spans="1:18" ht="16.5" customHeight="1">
      <c r="A5" s="70" t="s">
        <v>11</v>
      </c>
      <c r="B5" s="71" t="s">
        <v>841</v>
      </c>
    </row>
    <row r="6" spans="1:18">
      <c r="A6" s="70" t="s">
        <v>13</v>
      </c>
      <c r="B6" t="s">
        <v>14</v>
      </c>
    </row>
    <row r="7" spans="1:18">
      <c r="A7" s="70" t="s">
        <v>15</v>
      </c>
      <c r="B7">
        <f>B12</f>
        <v>1</v>
      </c>
      <c r="O7" t="s">
        <v>1307</v>
      </c>
    </row>
    <row r="8" spans="1:18">
      <c r="A8" s="70" t="s">
        <v>16</v>
      </c>
      <c r="B8" t="s">
        <v>17</v>
      </c>
    </row>
    <row r="9" spans="1:18">
      <c r="A9" s="70" t="s">
        <v>18</v>
      </c>
      <c r="B9" t="s">
        <v>37</v>
      </c>
    </row>
    <row r="10" spans="1:18" ht="15.6">
      <c r="A10" s="69" t="s">
        <v>19</v>
      </c>
    </row>
    <row r="11" spans="1:18"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6">
      <c r="A12" s="67" t="s">
        <v>1809</v>
      </c>
      <c r="B12">
        <v>1</v>
      </c>
      <c r="C12" t="s">
        <v>37</v>
      </c>
      <c r="D12" s="110" t="s">
        <v>2</v>
      </c>
      <c r="E12" t="s">
        <v>29</v>
      </c>
      <c r="F12" s="68" t="s">
        <v>14</v>
      </c>
      <c r="G12" t="s">
        <v>30</v>
      </c>
      <c r="H12">
        <v>1</v>
      </c>
      <c r="I12">
        <v>2.8722813232690055E-2</v>
      </c>
      <c r="J12" t="s">
        <v>31</v>
      </c>
      <c r="K12" t="s">
        <v>31</v>
      </c>
      <c r="L12" t="s">
        <v>31</v>
      </c>
      <c r="M12" t="s">
        <v>31</v>
      </c>
    </row>
    <row r="13" spans="1:18" ht="15.6">
      <c r="A13" t="s">
        <v>1841</v>
      </c>
      <c r="B13">
        <v>1</v>
      </c>
      <c r="C13" t="s">
        <v>18</v>
      </c>
      <c r="D13" s="110" t="s">
        <v>2</v>
      </c>
      <c r="E13" t="s">
        <v>29</v>
      </c>
      <c r="F13" s="68" t="s">
        <v>14</v>
      </c>
      <c r="G13" t="s">
        <v>33</v>
      </c>
      <c r="H13">
        <v>1</v>
      </c>
      <c r="I13">
        <v>1</v>
      </c>
      <c r="J13" t="s">
        <v>31</v>
      </c>
      <c r="K13" t="s">
        <v>31</v>
      </c>
      <c r="L13" t="s">
        <v>31</v>
      </c>
      <c r="M13" t="s">
        <v>31</v>
      </c>
    </row>
    <row r="14" spans="1:18" ht="15.6">
      <c r="A14" t="s">
        <v>1842</v>
      </c>
      <c r="B14">
        <v>1</v>
      </c>
      <c r="C14" t="s">
        <v>18</v>
      </c>
      <c r="D14" s="110" t="s">
        <v>2</v>
      </c>
      <c r="E14" t="s">
        <v>29</v>
      </c>
      <c r="F14" s="68" t="s">
        <v>14</v>
      </c>
      <c r="G14" t="s">
        <v>33</v>
      </c>
      <c r="H14">
        <v>1</v>
      </c>
      <c r="I14">
        <v>1</v>
      </c>
      <c r="J14" t="s">
        <v>31</v>
      </c>
      <c r="K14" t="s">
        <v>31</v>
      </c>
      <c r="L14" t="s">
        <v>31</v>
      </c>
      <c r="M14" t="s">
        <v>31</v>
      </c>
    </row>
    <row r="15" spans="1:18" ht="15.6">
      <c r="A15" s="84" t="s">
        <v>179</v>
      </c>
      <c r="B15" s="85">
        <f>R15</f>
        <v>2.3000000000000001E-4</v>
      </c>
      <c r="C15" t="s">
        <v>37</v>
      </c>
      <c r="D15" s="17" t="s">
        <v>416</v>
      </c>
      <c r="E15" t="s">
        <v>29</v>
      </c>
      <c r="F15" s="68" t="s">
        <v>35</v>
      </c>
      <c r="G15" t="s">
        <v>33</v>
      </c>
      <c r="H15">
        <v>2</v>
      </c>
      <c r="I15">
        <f>LN(B15)</f>
        <v>-8.3774312490410789</v>
      </c>
      <c r="J15">
        <v>2.8722813232690055E-2</v>
      </c>
      <c r="K15" t="s">
        <v>31</v>
      </c>
      <c r="L15" t="s">
        <v>31</v>
      </c>
      <c r="M15" t="s">
        <v>31</v>
      </c>
      <c r="O15" s="80" t="s">
        <v>857</v>
      </c>
      <c r="P15" s="153">
        <v>0.23</v>
      </c>
      <c r="Q15" t="s">
        <v>275</v>
      </c>
      <c r="R15" s="85">
        <f>P15*0.001</f>
        <v>2.3000000000000001E-4</v>
      </c>
    </row>
    <row r="16" spans="1:18" ht="15.6">
      <c r="A16" s="76" t="s">
        <v>5</v>
      </c>
      <c r="B16" s="75" t="s">
        <v>1842</v>
      </c>
      <c r="C16" s="74"/>
      <c r="D16" s="73"/>
      <c r="E16" s="73"/>
      <c r="F16" s="73"/>
      <c r="G16" s="73"/>
      <c r="H16" s="73"/>
      <c r="I16" s="73"/>
      <c r="J16" s="73"/>
      <c r="K16" s="73"/>
      <c r="L16" s="73"/>
      <c r="M16" s="73"/>
    </row>
    <row r="17" spans="1:18">
      <c r="A17" s="70" t="s">
        <v>7</v>
      </c>
      <c r="B17" t="s">
        <v>1709</v>
      </c>
      <c r="C17" s="72"/>
    </row>
    <row r="18" spans="1:18">
      <c r="A18" s="70" t="s">
        <v>9</v>
      </c>
      <c r="B18" t="s">
        <v>1843</v>
      </c>
      <c r="C18" s="72"/>
    </row>
    <row r="19" spans="1:18" ht="16.5" customHeight="1">
      <c r="A19" s="70" t="s">
        <v>11</v>
      </c>
      <c r="B19" s="71" t="s">
        <v>841</v>
      </c>
    </row>
    <row r="20" spans="1:18">
      <c r="A20" s="70" t="s">
        <v>13</v>
      </c>
      <c r="B20" t="s">
        <v>14</v>
      </c>
    </row>
    <row r="21" spans="1:18">
      <c r="A21" s="70" t="s">
        <v>15</v>
      </c>
      <c r="B21">
        <v>1</v>
      </c>
    </row>
    <row r="22" spans="1:18">
      <c r="A22" s="70" t="s">
        <v>16</v>
      </c>
      <c r="B22" t="s">
        <v>17</v>
      </c>
    </row>
    <row r="23" spans="1:18">
      <c r="A23" s="70" t="s">
        <v>18</v>
      </c>
      <c r="B23" t="s">
        <v>18</v>
      </c>
    </row>
    <row r="24" spans="1:18" ht="15.6">
      <c r="A24" s="69" t="s">
        <v>19</v>
      </c>
    </row>
    <row r="25" spans="1:18" ht="15.6">
      <c r="A25" s="69"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6">
      <c r="A26" t="s">
        <v>1842</v>
      </c>
      <c r="B26">
        <v>1</v>
      </c>
      <c r="C26" t="s">
        <v>18</v>
      </c>
      <c r="D26" s="110" t="s">
        <v>2</v>
      </c>
      <c r="E26" t="s">
        <v>29</v>
      </c>
      <c r="F26" s="68" t="s">
        <v>14</v>
      </c>
      <c r="G26" t="s">
        <v>30</v>
      </c>
      <c r="H26">
        <v>1</v>
      </c>
      <c r="I26">
        <v>1</v>
      </c>
      <c r="J26" t="s">
        <v>31</v>
      </c>
      <c r="K26" t="s">
        <v>31</v>
      </c>
      <c r="L26" t="s">
        <v>31</v>
      </c>
      <c r="M26" t="s">
        <v>31</v>
      </c>
    </row>
    <row r="27" spans="1:18" ht="15.6">
      <c r="A27" s="84" t="s">
        <v>966</v>
      </c>
      <c r="B27">
        <f>P27</f>
        <v>0.45</v>
      </c>
      <c r="C27" t="s">
        <v>37</v>
      </c>
      <c r="D27" s="17" t="s">
        <v>416</v>
      </c>
      <c r="E27" t="s">
        <v>29</v>
      </c>
      <c r="F27" t="s">
        <v>59</v>
      </c>
      <c r="G27" t="s">
        <v>33</v>
      </c>
      <c r="H27">
        <v>1</v>
      </c>
      <c r="I27">
        <f>B27</f>
        <v>0.45</v>
      </c>
      <c r="J27" t="s">
        <v>31</v>
      </c>
      <c r="K27" t="s">
        <v>31</v>
      </c>
      <c r="L27" t="s">
        <v>31</v>
      </c>
      <c r="M27" t="s">
        <v>31</v>
      </c>
      <c r="O27" t="s">
        <v>275</v>
      </c>
      <c r="P27">
        <v>0.45</v>
      </c>
    </row>
    <row r="28" spans="1:18">
      <c r="A28" s="84" t="s">
        <v>967</v>
      </c>
      <c r="B28">
        <f>R28</f>
        <v>0.29899999999999999</v>
      </c>
      <c r="C28" t="s">
        <v>37</v>
      </c>
      <c r="D28" t="s">
        <v>416</v>
      </c>
      <c r="E28" t="s">
        <v>29</v>
      </c>
      <c r="F28" t="s">
        <v>59</v>
      </c>
      <c r="G28" t="s">
        <v>33</v>
      </c>
      <c r="H28">
        <v>2</v>
      </c>
      <c r="I28">
        <f>LN(B28)</f>
        <v>-1.2073117055914506</v>
      </c>
      <c r="J28">
        <v>3.7749172176353707E-2</v>
      </c>
      <c r="K28" t="s">
        <v>31</v>
      </c>
      <c r="L28" t="s">
        <v>31</v>
      </c>
      <c r="M28" t="s">
        <v>31</v>
      </c>
      <c r="O28" s="97" t="s">
        <v>857</v>
      </c>
      <c r="P28" s="134">
        <v>299</v>
      </c>
      <c r="Q28" t="s">
        <v>275</v>
      </c>
      <c r="R28">
        <f>P28*0.001</f>
        <v>0.29899999999999999</v>
      </c>
    </row>
    <row r="29" spans="1:18">
      <c r="A29" s="84" t="s">
        <v>968</v>
      </c>
      <c r="B29">
        <f>R29</f>
        <v>1.7899999999999999E-2</v>
      </c>
      <c r="C29" t="s">
        <v>37</v>
      </c>
      <c r="D29" t="s">
        <v>416</v>
      </c>
      <c r="E29" t="s">
        <v>29</v>
      </c>
      <c r="F29" t="s">
        <v>59</v>
      </c>
      <c r="G29" t="s">
        <v>33</v>
      </c>
      <c r="H29">
        <v>2</v>
      </c>
      <c r="I29">
        <f>LN(B29)</f>
        <v>-4.0229545661354278</v>
      </c>
      <c r="J29">
        <v>3.7749172176353707E-2</v>
      </c>
      <c r="K29" t="s">
        <v>31</v>
      </c>
      <c r="L29" t="s">
        <v>31</v>
      </c>
      <c r="M29" t="s">
        <v>31</v>
      </c>
      <c r="O29" s="97" t="s">
        <v>857</v>
      </c>
      <c r="P29" s="134">
        <v>17.899999999999999</v>
      </c>
      <c r="Q29" t="s">
        <v>275</v>
      </c>
      <c r="R29">
        <f>P29*0.001</f>
        <v>1.7899999999999999E-2</v>
      </c>
    </row>
    <row r="30" spans="1:18">
      <c r="A30" s="84" t="s">
        <v>969</v>
      </c>
      <c r="B30">
        <f>R30</f>
        <v>0.13500000000000001</v>
      </c>
      <c r="C30" t="s">
        <v>37</v>
      </c>
      <c r="D30" t="s">
        <v>416</v>
      </c>
      <c r="E30" t="s">
        <v>29</v>
      </c>
      <c r="F30" t="s">
        <v>59</v>
      </c>
      <c r="G30" t="s">
        <v>33</v>
      </c>
      <c r="H30">
        <v>2</v>
      </c>
      <c r="I30">
        <f>LN(B30)</f>
        <v>-2.0024805005437076</v>
      </c>
      <c r="J30">
        <v>3.7749172176353707E-2</v>
      </c>
      <c r="K30" t="s">
        <v>31</v>
      </c>
      <c r="L30" t="s">
        <v>31</v>
      </c>
      <c r="M30" t="s">
        <v>31</v>
      </c>
      <c r="O30" s="97" t="s">
        <v>857</v>
      </c>
      <c r="P30" s="134">
        <v>135</v>
      </c>
      <c r="Q30" t="s">
        <v>275</v>
      </c>
      <c r="R30">
        <f>P30*0.001</f>
        <v>0.13500000000000001</v>
      </c>
    </row>
    <row r="31" spans="1:18" ht="15.6">
      <c r="A31" s="76" t="s">
        <v>5</v>
      </c>
      <c r="B31" s="75" t="s">
        <v>1841</v>
      </c>
      <c r="C31" s="74"/>
      <c r="D31" s="73"/>
      <c r="E31" s="73"/>
      <c r="F31" s="73"/>
      <c r="G31" s="73"/>
      <c r="H31" s="73"/>
      <c r="I31" s="73"/>
      <c r="J31" s="73"/>
      <c r="K31" s="73"/>
      <c r="L31" s="73"/>
      <c r="M31" s="73"/>
    </row>
    <row r="32" spans="1:18">
      <c r="A32" s="70" t="s">
        <v>7</v>
      </c>
      <c r="B32" t="s">
        <v>1709</v>
      </c>
      <c r="C32" s="72"/>
    </row>
    <row r="33" spans="1:18">
      <c r="A33" s="70" t="s">
        <v>9</v>
      </c>
      <c r="B33" t="s">
        <v>1844</v>
      </c>
      <c r="C33" s="72"/>
    </row>
    <row r="34" spans="1:18" ht="18" customHeight="1">
      <c r="A34" s="70" t="s">
        <v>11</v>
      </c>
      <c r="B34" s="71" t="s">
        <v>841</v>
      </c>
    </row>
    <row r="35" spans="1:18">
      <c r="A35" s="70" t="s">
        <v>13</v>
      </c>
      <c r="B35" t="s">
        <v>14</v>
      </c>
    </row>
    <row r="36" spans="1:18">
      <c r="A36" s="70" t="s">
        <v>15</v>
      </c>
      <c r="B36">
        <v>1</v>
      </c>
    </row>
    <row r="37" spans="1:18">
      <c r="A37" s="70" t="s">
        <v>16</v>
      </c>
      <c r="B37" t="s">
        <v>17</v>
      </c>
    </row>
    <row r="38" spans="1:18">
      <c r="A38" s="70" t="s">
        <v>18</v>
      </c>
      <c r="B38" t="s">
        <v>18</v>
      </c>
    </row>
    <row r="39" spans="1:18" ht="15.6">
      <c r="A39" s="69" t="s">
        <v>19</v>
      </c>
    </row>
    <row r="40" spans="1:18" ht="15.6">
      <c r="A40" s="69"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6">
      <c r="A41" t="s">
        <v>1841</v>
      </c>
      <c r="B41">
        <v>1</v>
      </c>
      <c r="C41" t="s">
        <v>18</v>
      </c>
      <c r="D41" s="110" t="s">
        <v>2</v>
      </c>
      <c r="E41" t="s">
        <v>29</v>
      </c>
      <c r="F41" s="68" t="s">
        <v>14</v>
      </c>
      <c r="G41" t="s">
        <v>30</v>
      </c>
      <c r="H41">
        <v>1</v>
      </c>
      <c r="I41">
        <v>1</v>
      </c>
      <c r="J41" t="s">
        <v>31</v>
      </c>
      <c r="K41" t="s">
        <v>31</v>
      </c>
      <c r="L41" t="s">
        <v>31</v>
      </c>
      <c r="M41" t="s">
        <v>31</v>
      </c>
    </row>
    <row r="42" spans="1:18" ht="15.6">
      <c r="A42" s="84" t="s">
        <v>1845</v>
      </c>
      <c r="B42">
        <f>B55</f>
        <v>0.161</v>
      </c>
      <c r="C42" t="s">
        <v>37</v>
      </c>
      <c r="D42" s="110" t="s">
        <v>2</v>
      </c>
      <c r="E42" t="s">
        <v>29</v>
      </c>
      <c r="F42" s="68" t="s">
        <v>14</v>
      </c>
      <c r="G42" t="s">
        <v>33</v>
      </c>
      <c r="H42">
        <v>1</v>
      </c>
      <c r="I42">
        <f>B42</f>
        <v>0.161</v>
      </c>
      <c r="J42" t="s">
        <v>31</v>
      </c>
      <c r="K42" t="s">
        <v>31</v>
      </c>
      <c r="L42" t="s">
        <v>31</v>
      </c>
      <c r="M42" t="s">
        <v>31</v>
      </c>
      <c r="O42" s="58"/>
      <c r="P42" s="114"/>
    </row>
    <row r="43" spans="1:18" ht="15.6">
      <c r="A43" s="84" t="s">
        <v>1846</v>
      </c>
      <c r="B43">
        <v>1</v>
      </c>
      <c r="C43" t="s">
        <v>18</v>
      </c>
      <c r="D43" s="110" t="s">
        <v>2</v>
      </c>
      <c r="E43" t="s">
        <v>29</v>
      </c>
      <c r="F43" s="68" t="s">
        <v>14</v>
      </c>
      <c r="G43" t="s">
        <v>33</v>
      </c>
      <c r="H43">
        <v>1</v>
      </c>
      <c r="I43">
        <v>1</v>
      </c>
      <c r="J43" t="s">
        <v>31</v>
      </c>
      <c r="K43" t="s">
        <v>31</v>
      </c>
      <c r="L43" t="s">
        <v>31</v>
      </c>
      <c r="M43" t="s">
        <v>31</v>
      </c>
    </row>
    <row r="44" spans="1:18" ht="15.6">
      <c r="A44" s="67" t="s">
        <v>38</v>
      </c>
      <c r="B44" s="23">
        <f>R44</f>
        <v>0.03</v>
      </c>
      <c r="C44" t="s">
        <v>39</v>
      </c>
      <c r="D44" s="17" t="s">
        <v>416</v>
      </c>
      <c r="E44" t="s">
        <v>29</v>
      </c>
      <c r="F44" s="68" t="s">
        <v>35</v>
      </c>
      <c r="G44" t="s">
        <v>33</v>
      </c>
      <c r="H44">
        <v>2</v>
      </c>
      <c r="I44">
        <f>LN(B44)</f>
        <v>-3.5065578973199818</v>
      </c>
      <c r="J44">
        <v>7.2284161474004766E-2</v>
      </c>
      <c r="K44" t="s">
        <v>31</v>
      </c>
      <c r="L44" t="s">
        <v>31</v>
      </c>
      <c r="M44" t="s">
        <v>31</v>
      </c>
      <c r="O44" s="80" t="s">
        <v>271</v>
      </c>
      <c r="P44" s="107">
        <v>0.03</v>
      </c>
      <c r="Q44" t="s">
        <v>271</v>
      </c>
      <c r="R44" s="23">
        <f>P44</f>
        <v>0.03</v>
      </c>
    </row>
    <row r="45" spans="1:18" ht="15.6">
      <c r="A45" s="76" t="s">
        <v>5</v>
      </c>
      <c r="B45" s="75" t="s">
        <v>1845</v>
      </c>
      <c r="C45" s="74"/>
      <c r="D45" s="73"/>
      <c r="E45" s="73"/>
      <c r="F45" s="73"/>
      <c r="G45" s="73"/>
      <c r="H45" s="73"/>
      <c r="I45" s="73"/>
      <c r="J45" s="73"/>
      <c r="K45" s="73"/>
      <c r="L45" s="73"/>
      <c r="M45" s="73"/>
    </row>
    <row r="46" spans="1:18">
      <c r="A46" s="70" t="s">
        <v>7</v>
      </c>
      <c r="B46" t="s">
        <v>1709</v>
      </c>
      <c r="C46" s="72"/>
    </row>
    <row r="47" spans="1:18">
      <c r="A47" s="70" t="s">
        <v>9</v>
      </c>
      <c r="B47" t="s">
        <v>1847</v>
      </c>
      <c r="C47" s="72"/>
    </row>
    <row r="48" spans="1:18" ht="11.25" customHeight="1">
      <c r="A48" s="70" t="s">
        <v>11</v>
      </c>
      <c r="B48" s="71" t="s">
        <v>841</v>
      </c>
    </row>
    <row r="49" spans="1:18">
      <c r="A49" s="70" t="s">
        <v>13</v>
      </c>
      <c r="B49" t="s">
        <v>14</v>
      </c>
    </row>
    <row r="50" spans="1:18">
      <c r="A50" s="70" t="s">
        <v>15</v>
      </c>
      <c r="B50">
        <f>B55</f>
        <v>0.161</v>
      </c>
    </row>
    <row r="51" spans="1:18">
      <c r="A51" s="70" t="s">
        <v>16</v>
      </c>
      <c r="B51" t="s">
        <v>17</v>
      </c>
    </row>
    <row r="52" spans="1:18">
      <c r="A52" s="70" t="s">
        <v>18</v>
      </c>
      <c r="B52" t="s">
        <v>37</v>
      </c>
    </row>
    <row r="53" spans="1:18" ht="15.6">
      <c r="A53" s="69" t="s">
        <v>19</v>
      </c>
    </row>
    <row r="54" spans="1:18" ht="15.6">
      <c r="A54" s="69"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6">
      <c r="A55" s="84" t="s">
        <v>1845</v>
      </c>
      <c r="B55">
        <f>P55</f>
        <v>0.161</v>
      </c>
      <c r="C55" t="s">
        <v>37</v>
      </c>
      <c r="D55" s="110" t="s">
        <v>2</v>
      </c>
      <c r="E55" t="s">
        <v>29</v>
      </c>
      <c r="F55" s="68" t="s">
        <v>14</v>
      </c>
      <c r="G55" t="s">
        <v>30</v>
      </c>
      <c r="H55">
        <v>1</v>
      </c>
      <c r="I55">
        <f>B55</f>
        <v>0.161</v>
      </c>
      <c r="J55" t="s">
        <v>31</v>
      </c>
      <c r="K55" t="s">
        <v>31</v>
      </c>
      <c r="L55" t="s">
        <v>31</v>
      </c>
      <c r="M55" t="s">
        <v>31</v>
      </c>
      <c r="O55" s="174" t="s">
        <v>275</v>
      </c>
      <c r="P55" s="107">
        <v>0.161</v>
      </c>
      <c r="Q55" t="s">
        <v>275</v>
      </c>
      <c r="R55">
        <f>P55</f>
        <v>0.161</v>
      </c>
    </row>
    <row r="56" spans="1:18" ht="15.6">
      <c r="A56" s="84" t="s">
        <v>179</v>
      </c>
      <c r="B56" s="85">
        <f>R56</f>
        <v>0.161</v>
      </c>
      <c r="C56" t="s">
        <v>37</v>
      </c>
      <c r="D56" s="17" t="s">
        <v>416</v>
      </c>
      <c r="E56" t="s">
        <v>29</v>
      </c>
      <c r="F56" s="68" t="s">
        <v>35</v>
      </c>
      <c r="G56" t="s">
        <v>33</v>
      </c>
      <c r="H56">
        <v>2</v>
      </c>
      <c r="I56">
        <f>LN(B56)</f>
        <v>-1.8263509139976741</v>
      </c>
      <c r="J56">
        <v>2.8722813232690055E-2</v>
      </c>
      <c r="K56" t="s">
        <v>31</v>
      </c>
      <c r="L56" t="s">
        <v>31</v>
      </c>
      <c r="M56" t="s">
        <v>31</v>
      </c>
      <c r="O56" s="173" t="s">
        <v>275</v>
      </c>
      <c r="P56" s="107">
        <v>0.161</v>
      </c>
      <c r="Q56" t="s">
        <v>275</v>
      </c>
      <c r="R56" s="85">
        <f>P56</f>
        <v>0.161</v>
      </c>
    </row>
    <row r="57" spans="1:18" ht="15.6">
      <c r="A57" s="67" t="s">
        <v>38</v>
      </c>
      <c r="B57" s="115">
        <f>R57</f>
        <v>4.8000000000000001E-2</v>
      </c>
      <c r="C57" t="s">
        <v>39</v>
      </c>
      <c r="D57" s="17" t="s">
        <v>416</v>
      </c>
      <c r="E57" t="s">
        <v>29</v>
      </c>
      <c r="F57" s="68" t="s">
        <v>35</v>
      </c>
      <c r="G57" t="s">
        <v>33</v>
      </c>
      <c r="H57">
        <v>2</v>
      </c>
      <c r="I57">
        <f>LN(B57)</f>
        <v>-3.0365542680742461</v>
      </c>
      <c r="J57">
        <v>7.2284161474004766E-2</v>
      </c>
      <c r="K57" t="s">
        <v>31</v>
      </c>
      <c r="L57" t="s">
        <v>31</v>
      </c>
      <c r="M57" t="s">
        <v>31</v>
      </c>
      <c r="O57" s="80" t="s">
        <v>271</v>
      </c>
      <c r="P57" s="107">
        <v>4.8000000000000001E-2</v>
      </c>
      <c r="Q57" t="s">
        <v>271</v>
      </c>
      <c r="R57" s="115">
        <f>P57</f>
        <v>4.8000000000000001E-2</v>
      </c>
    </row>
    <row r="58" spans="1:18" ht="15.6">
      <c r="A58" s="76" t="s">
        <v>5</v>
      </c>
      <c r="B58" s="126" t="s">
        <v>1846</v>
      </c>
      <c r="C58" s="74"/>
      <c r="D58" s="73"/>
      <c r="E58" s="73"/>
      <c r="F58" s="73"/>
      <c r="G58" s="73"/>
      <c r="H58" s="73"/>
      <c r="I58" s="73"/>
      <c r="J58" s="73"/>
      <c r="K58" s="73"/>
      <c r="L58" s="73"/>
      <c r="M58" s="73"/>
    </row>
    <row r="59" spans="1:18">
      <c r="A59" s="70" t="s">
        <v>7</v>
      </c>
      <c r="B59" t="s">
        <v>1709</v>
      </c>
      <c r="C59" s="72"/>
    </row>
    <row r="60" spans="1:18">
      <c r="A60" s="113" t="s">
        <v>9</v>
      </c>
      <c r="B60" t="s">
        <v>1848</v>
      </c>
      <c r="C60" s="72"/>
    </row>
    <row r="61" spans="1:18" ht="27.75" customHeight="1">
      <c r="A61" s="70" t="s">
        <v>11</v>
      </c>
      <c r="B61" s="71" t="s">
        <v>841</v>
      </c>
    </row>
    <row r="62" spans="1:18">
      <c r="A62" s="70" t="s">
        <v>13</v>
      </c>
      <c r="B62" t="s">
        <v>14</v>
      </c>
    </row>
    <row r="63" spans="1:18">
      <c r="A63" s="70" t="s">
        <v>15</v>
      </c>
      <c r="B63">
        <v>1</v>
      </c>
    </row>
    <row r="64" spans="1:18">
      <c r="A64" s="70" t="s">
        <v>16</v>
      </c>
      <c r="B64" t="s">
        <v>17</v>
      </c>
    </row>
    <row r="65" spans="1:18">
      <c r="A65" s="70" t="s">
        <v>18</v>
      </c>
      <c r="B65" t="s">
        <v>18</v>
      </c>
    </row>
    <row r="66" spans="1:18" ht="15.6">
      <c r="A66" s="69" t="s">
        <v>19</v>
      </c>
    </row>
    <row r="67" spans="1:18" ht="15.6">
      <c r="A67" s="69"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6">
      <c r="A68" s="84" t="s">
        <v>1846</v>
      </c>
      <c r="B68">
        <v>1</v>
      </c>
      <c r="C68" t="s">
        <v>18</v>
      </c>
      <c r="D68" s="110" t="s">
        <v>2</v>
      </c>
      <c r="E68" t="s">
        <v>29</v>
      </c>
      <c r="F68" s="68" t="s">
        <v>14</v>
      </c>
      <c r="G68" t="s">
        <v>30</v>
      </c>
      <c r="H68">
        <v>1</v>
      </c>
      <c r="I68">
        <v>1</v>
      </c>
      <c r="J68" t="s">
        <v>31</v>
      </c>
      <c r="K68" t="s">
        <v>31</v>
      </c>
      <c r="L68" t="s">
        <v>31</v>
      </c>
      <c r="M68" t="s">
        <v>31</v>
      </c>
    </row>
    <row r="69" spans="1:18" ht="15.6">
      <c r="A69" s="84" t="s">
        <v>1849</v>
      </c>
      <c r="B69" s="85">
        <f>B77</f>
        <v>0.08</v>
      </c>
      <c r="C69" t="s">
        <v>37</v>
      </c>
      <c r="D69" s="110" t="s">
        <v>2</v>
      </c>
      <c r="E69" t="s">
        <v>29</v>
      </c>
      <c r="F69" s="68" t="s">
        <v>14</v>
      </c>
      <c r="G69" t="s">
        <v>33</v>
      </c>
      <c r="H69">
        <v>1</v>
      </c>
      <c r="I69" s="85">
        <f>B69</f>
        <v>0.08</v>
      </c>
      <c r="J69" t="s">
        <v>31</v>
      </c>
      <c r="K69" t="s">
        <v>31</v>
      </c>
      <c r="L69" t="s">
        <v>31</v>
      </c>
      <c r="M69" t="s">
        <v>31</v>
      </c>
      <c r="O69" s="80"/>
      <c r="P69" s="86"/>
      <c r="Q69" t="s">
        <v>275</v>
      </c>
      <c r="R69" s="85">
        <v>0.01</v>
      </c>
    </row>
    <row r="70" spans="1:18" ht="15.6">
      <c r="A70" s="84" t="s">
        <v>1850</v>
      </c>
      <c r="B70" s="115">
        <v>1</v>
      </c>
      <c r="C70" t="s">
        <v>18</v>
      </c>
      <c r="D70" s="110" t="s">
        <v>2</v>
      </c>
      <c r="E70" t="s">
        <v>29</v>
      </c>
      <c r="F70" s="68" t="s">
        <v>14</v>
      </c>
      <c r="G70" t="s">
        <v>33</v>
      </c>
      <c r="H70">
        <v>1</v>
      </c>
      <c r="I70">
        <v>1</v>
      </c>
      <c r="J70" t="s">
        <v>31</v>
      </c>
      <c r="K70" t="s">
        <v>31</v>
      </c>
      <c r="L70" t="s">
        <v>31</v>
      </c>
      <c r="M70" t="s">
        <v>31</v>
      </c>
      <c r="O70" s="80"/>
      <c r="P70" s="172"/>
      <c r="R70" s="115"/>
    </row>
    <row r="71" spans="1:18" ht="15.6">
      <c r="A71" s="67" t="s">
        <v>38</v>
      </c>
      <c r="B71" s="115">
        <f>R71</f>
        <v>0.55000000000000004</v>
      </c>
      <c r="C71" t="s">
        <v>39</v>
      </c>
      <c r="D71" s="17" t="s">
        <v>416</v>
      </c>
      <c r="E71" t="s">
        <v>29</v>
      </c>
      <c r="F71" s="68" t="s">
        <v>35</v>
      </c>
      <c r="G71" t="s">
        <v>33</v>
      </c>
      <c r="H71">
        <v>2</v>
      </c>
      <c r="I71">
        <f>LN(B71)</f>
        <v>-0.59783700075562041</v>
      </c>
      <c r="J71">
        <v>7.2284161474004766E-2</v>
      </c>
      <c r="K71" t="s">
        <v>31</v>
      </c>
      <c r="L71" t="s">
        <v>31</v>
      </c>
      <c r="M71" t="s">
        <v>31</v>
      </c>
      <c r="O71" s="80" t="s">
        <v>271</v>
      </c>
      <c r="P71" s="107">
        <v>0.55000000000000004</v>
      </c>
      <c r="Q71" t="s">
        <v>271</v>
      </c>
      <c r="R71" s="115">
        <f>P71</f>
        <v>0.55000000000000004</v>
      </c>
    </row>
    <row r="72" spans="1:18" ht="15.6">
      <c r="A72" s="76" t="s">
        <v>5</v>
      </c>
      <c r="B72" s="126" t="s">
        <v>1849</v>
      </c>
      <c r="C72" s="74"/>
      <c r="D72" s="73"/>
      <c r="E72" s="73"/>
      <c r="F72" s="73"/>
      <c r="G72" s="73"/>
      <c r="H72" s="73"/>
      <c r="I72" s="73"/>
      <c r="J72" s="73"/>
      <c r="K72" s="73"/>
      <c r="L72" s="73"/>
      <c r="M72" s="73"/>
    </row>
    <row r="73" spans="1:18">
      <c r="A73" s="70" t="s">
        <v>7</v>
      </c>
      <c r="B73" t="s">
        <v>1709</v>
      </c>
      <c r="C73" s="72"/>
    </row>
    <row r="74" spans="1:18">
      <c r="A74" s="113" t="s">
        <v>9</v>
      </c>
      <c r="B74" t="s">
        <v>1851</v>
      </c>
      <c r="C74" s="72"/>
    </row>
    <row r="75" spans="1:18" ht="15" customHeight="1">
      <c r="A75" s="70" t="s">
        <v>11</v>
      </c>
      <c r="B75" s="71" t="s">
        <v>841</v>
      </c>
    </row>
    <row r="76" spans="1:18">
      <c r="A76" s="70" t="s">
        <v>13</v>
      </c>
      <c r="B76" t="s">
        <v>14</v>
      </c>
    </row>
    <row r="77" spans="1:18">
      <c r="A77" s="70" t="s">
        <v>15</v>
      </c>
      <c r="B77" s="23">
        <f>B82</f>
        <v>0.08</v>
      </c>
    </row>
    <row r="78" spans="1:18">
      <c r="A78" s="70" t="s">
        <v>16</v>
      </c>
      <c r="B78" t="s">
        <v>17</v>
      </c>
    </row>
    <row r="79" spans="1:18">
      <c r="A79" s="70" t="s">
        <v>18</v>
      </c>
      <c r="B79" t="s">
        <v>37</v>
      </c>
    </row>
    <row r="80" spans="1:18" ht="15.6">
      <c r="A80" s="69" t="s">
        <v>19</v>
      </c>
    </row>
    <row r="81" spans="1:18" ht="15.6">
      <c r="A81" s="69"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6">
      <c r="A82" s="84" t="s">
        <v>1849</v>
      </c>
      <c r="B82" s="23">
        <v>0.08</v>
      </c>
      <c r="C82" t="s">
        <v>37</v>
      </c>
      <c r="D82" s="110" t="s">
        <v>2</v>
      </c>
      <c r="E82" t="s">
        <v>29</v>
      </c>
      <c r="F82" s="68" t="s">
        <v>14</v>
      </c>
      <c r="G82" t="s">
        <v>30</v>
      </c>
      <c r="H82">
        <v>1</v>
      </c>
      <c r="I82" s="23">
        <f>B82</f>
        <v>0.08</v>
      </c>
      <c r="J82" t="s">
        <v>31</v>
      </c>
      <c r="K82" t="s">
        <v>31</v>
      </c>
      <c r="L82" t="s">
        <v>31</v>
      </c>
      <c r="M82" t="s">
        <v>31</v>
      </c>
      <c r="O82" s="80"/>
      <c r="P82" s="86"/>
      <c r="Q82" t="s">
        <v>275</v>
      </c>
      <c r="R82" s="85">
        <v>0.01</v>
      </c>
    </row>
    <row r="83" spans="1:18" ht="15.6">
      <c r="A83" s="84" t="s">
        <v>755</v>
      </c>
      <c r="B83" s="23">
        <v>0.08</v>
      </c>
      <c r="C83" t="s">
        <v>37</v>
      </c>
      <c r="D83" s="17" t="s">
        <v>416</v>
      </c>
      <c r="E83" t="s">
        <v>29</v>
      </c>
      <c r="F83" s="68" t="s">
        <v>59</v>
      </c>
      <c r="G83" t="s">
        <v>33</v>
      </c>
      <c r="H83">
        <v>1</v>
      </c>
      <c r="I83" s="23">
        <f>B83</f>
        <v>0.08</v>
      </c>
      <c r="J83" t="s">
        <v>31</v>
      </c>
      <c r="K83" t="s">
        <v>31</v>
      </c>
      <c r="L83" t="s">
        <v>31</v>
      </c>
      <c r="M83" t="s">
        <v>31</v>
      </c>
      <c r="O83" s="80"/>
      <c r="P83" s="172"/>
      <c r="R83" s="115"/>
    </row>
    <row r="84" spans="1:18">
      <c r="A84" s="84" t="s">
        <v>757</v>
      </c>
      <c r="B84" s="23">
        <v>0.08</v>
      </c>
      <c r="C84" t="s">
        <v>37</v>
      </c>
      <c r="D84" t="s">
        <v>416</v>
      </c>
      <c r="E84" t="s">
        <v>29</v>
      </c>
      <c r="F84" t="s">
        <v>59</v>
      </c>
      <c r="G84" t="s">
        <v>33</v>
      </c>
      <c r="H84">
        <v>1</v>
      </c>
      <c r="I84" s="23">
        <f>B84</f>
        <v>0.08</v>
      </c>
      <c r="J84" t="s">
        <v>31</v>
      </c>
      <c r="K84" t="s">
        <v>31</v>
      </c>
      <c r="L84" t="s">
        <v>31</v>
      </c>
      <c r="M84" t="s">
        <v>31</v>
      </c>
    </row>
    <row r="85" spans="1:18" s="73" customFormat="1" ht="15.6">
      <c r="A85" s="76" t="s">
        <v>5</v>
      </c>
      <c r="B85" s="126" t="s">
        <v>1850</v>
      </c>
      <c r="C85" s="74"/>
    </row>
    <row r="86" spans="1:18">
      <c r="A86" s="70" t="s">
        <v>7</v>
      </c>
      <c r="B86" t="s">
        <v>1709</v>
      </c>
      <c r="C86" s="72"/>
    </row>
    <row r="87" spans="1:18">
      <c r="A87" s="113" t="s">
        <v>9</v>
      </c>
      <c r="B87" t="s">
        <v>1852</v>
      </c>
      <c r="C87" s="72"/>
    </row>
    <row r="88" spans="1:18" ht="15.75" customHeight="1">
      <c r="A88" s="70" t="s">
        <v>11</v>
      </c>
      <c r="B88" s="71" t="s">
        <v>841</v>
      </c>
    </row>
    <row r="89" spans="1:18">
      <c r="A89" s="70" t="s">
        <v>13</v>
      </c>
      <c r="B89" t="s">
        <v>14</v>
      </c>
    </row>
    <row r="90" spans="1:18">
      <c r="A90" s="70" t="s">
        <v>15</v>
      </c>
      <c r="B90">
        <v>1</v>
      </c>
    </row>
    <row r="91" spans="1:18">
      <c r="A91" s="70" t="s">
        <v>16</v>
      </c>
      <c r="B91" t="s">
        <v>17</v>
      </c>
    </row>
    <row r="92" spans="1:18">
      <c r="A92" s="70" t="s">
        <v>18</v>
      </c>
      <c r="B92" t="s">
        <v>18</v>
      </c>
    </row>
    <row r="93" spans="1:18" ht="15.6">
      <c r="A93" s="69" t="s">
        <v>19</v>
      </c>
    </row>
    <row r="94" spans="1:18" ht="15.6">
      <c r="A94" s="69"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6">
      <c r="A95" s="84" t="s">
        <v>1850</v>
      </c>
      <c r="B95" s="115">
        <v>1</v>
      </c>
      <c r="C95" t="s">
        <v>18</v>
      </c>
      <c r="D95" s="110" t="s">
        <v>2</v>
      </c>
      <c r="E95" t="s">
        <v>29</v>
      </c>
      <c r="F95" s="68" t="s">
        <v>14</v>
      </c>
      <c r="G95" t="s">
        <v>30</v>
      </c>
      <c r="H95">
        <v>1</v>
      </c>
      <c r="I95">
        <v>1</v>
      </c>
      <c r="J95" t="s">
        <v>31</v>
      </c>
      <c r="K95" t="s">
        <v>31</v>
      </c>
      <c r="L95" t="s">
        <v>31</v>
      </c>
      <c r="M95" t="s">
        <v>31</v>
      </c>
      <c r="O95" s="80"/>
      <c r="P95" s="172"/>
      <c r="R95" s="115"/>
    </row>
    <row r="96" spans="1:18" ht="15.6">
      <c r="A96" s="84" t="s">
        <v>1853</v>
      </c>
      <c r="B96">
        <v>1</v>
      </c>
      <c r="C96" t="s">
        <v>18</v>
      </c>
      <c r="D96" s="110" t="s">
        <v>2</v>
      </c>
      <c r="E96" t="s">
        <v>29</v>
      </c>
      <c r="F96" s="68" t="s">
        <v>14</v>
      </c>
      <c r="G96" t="s">
        <v>33</v>
      </c>
      <c r="H96">
        <v>1</v>
      </c>
      <c r="I96">
        <v>1</v>
      </c>
      <c r="J96" t="s">
        <v>31</v>
      </c>
      <c r="K96" t="s">
        <v>31</v>
      </c>
      <c r="L96" t="s">
        <v>31</v>
      </c>
      <c r="M96" t="s">
        <v>31</v>
      </c>
      <c r="O96" s="80"/>
      <c r="P96" s="172"/>
    </row>
    <row r="97" spans="1:18" ht="15.6">
      <c r="A97" s="67" t="s">
        <v>38</v>
      </c>
      <c r="B97" s="115">
        <f>R97</f>
        <v>0.05</v>
      </c>
      <c r="C97" t="s">
        <v>39</v>
      </c>
      <c r="D97" s="17" t="s">
        <v>416</v>
      </c>
      <c r="E97" t="s">
        <v>29</v>
      </c>
      <c r="F97" s="68" t="s">
        <v>35</v>
      </c>
      <c r="G97" t="s">
        <v>33</v>
      </c>
      <c r="H97">
        <v>2</v>
      </c>
      <c r="I97">
        <f>LN(B97)</f>
        <v>-2.9957322735539909</v>
      </c>
      <c r="J97">
        <v>7.2284161474004766E-2</v>
      </c>
      <c r="K97" t="s">
        <v>31</v>
      </c>
      <c r="L97" t="s">
        <v>31</v>
      </c>
      <c r="M97" t="s">
        <v>31</v>
      </c>
      <c r="O97" s="80" t="s">
        <v>271</v>
      </c>
      <c r="P97" s="107">
        <v>0.05</v>
      </c>
      <c r="Q97" t="s">
        <v>271</v>
      </c>
      <c r="R97" s="115">
        <f>P97</f>
        <v>0.05</v>
      </c>
    </row>
    <row r="98" spans="1:18" s="73" customFormat="1" ht="15.6">
      <c r="A98" s="76" t="s">
        <v>5</v>
      </c>
      <c r="B98" s="126" t="s">
        <v>1853</v>
      </c>
      <c r="C98" s="74"/>
    </row>
    <row r="99" spans="1:18">
      <c r="A99" s="70" t="s">
        <v>7</v>
      </c>
      <c r="B99" t="s">
        <v>1709</v>
      </c>
      <c r="C99" s="72"/>
    </row>
    <row r="100" spans="1:18">
      <c r="A100" s="113" t="s">
        <v>9</v>
      </c>
      <c r="B100" t="s">
        <v>1854</v>
      </c>
      <c r="C100" s="72"/>
    </row>
    <row r="101" spans="1:18" ht="15.75" customHeight="1">
      <c r="A101" s="70" t="s">
        <v>11</v>
      </c>
      <c r="B101" s="71" t="s">
        <v>841</v>
      </c>
    </row>
    <row r="102" spans="1:18">
      <c r="A102" s="70" t="s">
        <v>13</v>
      </c>
      <c r="B102" t="s">
        <v>14</v>
      </c>
    </row>
    <row r="103" spans="1:18">
      <c r="A103" s="70" t="s">
        <v>15</v>
      </c>
      <c r="B103">
        <v>1</v>
      </c>
    </row>
    <row r="104" spans="1:18">
      <c r="A104" s="70" t="s">
        <v>16</v>
      </c>
      <c r="B104" t="s">
        <v>17</v>
      </c>
    </row>
    <row r="105" spans="1:18">
      <c r="A105" s="70" t="s">
        <v>18</v>
      </c>
      <c r="B105" t="s">
        <v>18</v>
      </c>
    </row>
    <row r="106" spans="1:18" ht="15.6">
      <c r="A106" s="69" t="s">
        <v>19</v>
      </c>
    </row>
    <row r="107" spans="1:18" ht="15.6">
      <c r="A107" s="69"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c r="Q107">
        <f>B.Reused!O36</f>
        <v>5.7999999999999989</v>
      </c>
      <c r="R107" t="s">
        <v>943</v>
      </c>
    </row>
    <row r="108" spans="1:18" ht="15.6">
      <c r="A108" s="84" t="s">
        <v>1853</v>
      </c>
      <c r="B108">
        <v>1</v>
      </c>
      <c r="C108" t="s">
        <v>18</v>
      </c>
      <c r="D108" s="17" t="s">
        <v>2</v>
      </c>
      <c r="E108" t="s">
        <v>29</v>
      </c>
      <c r="F108" s="68" t="s">
        <v>14</v>
      </c>
      <c r="G108" t="s">
        <v>30</v>
      </c>
      <c r="H108">
        <v>1</v>
      </c>
      <c r="I108">
        <v>1</v>
      </c>
      <c r="J108" t="s">
        <v>31</v>
      </c>
      <c r="K108" t="s">
        <v>31</v>
      </c>
      <c r="L108" t="s">
        <v>31</v>
      </c>
      <c r="M108" t="s">
        <v>31</v>
      </c>
      <c r="P108" s="171"/>
    </row>
    <row r="109" spans="1:18" ht="15.6">
      <c r="A109" s="67" t="s">
        <v>1855</v>
      </c>
      <c r="B109" s="155">
        <f>B133</f>
        <v>5.1999999999999998E-2</v>
      </c>
      <c r="C109" t="s">
        <v>853</v>
      </c>
      <c r="D109" s="17" t="s">
        <v>2</v>
      </c>
      <c r="E109" t="s">
        <v>29</v>
      </c>
      <c r="F109" s="68" t="s">
        <v>14</v>
      </c>
      <c r="G109" t="s">
        <v>33</v>
      </c>
      <c r="H109">
        <v>1</v>
      </c>
      <c r="I109" s="155">
        <f>B109</f>
        <v>5.1999999999999998E-2</v>
      </c>
      <c r="J109" t="s">
        <v>31</v>
      </c>
      <c r="K109" t="s">
        <v>31</v>
      </c>
      <c r="L109" t="s">
        <v>31</v>
      </c>
      <c r="M109" t="s">
        <v>31</v>
      </c>
      <c r="O109" s="130"/>
      <c r="P109" s="129"/>
      <c r="Q109" s="115"/>
    </row>
    <row r="110" spans="1:18" ht="15.6">
      <c r="A110" t="s">
        <v>1810</v>
      </c>
      <c r="B110" s="85">
        <f>R110</f>
        <v>7.0689655172413808E-3</v>
      </c>
      <c r="C110" s="22" t="s">
        <v>853</v>
      </c>
      <c r="D110" s="17" t="s">
        <v>2</v>
      </c>
      <c r="E110" t="s">
        <v>29</v>
      </c>
      <c r="F110" s="68" t="s">
        <v>14</v>
      </c>
      <c r="G110" t="s">
        <v>33</v>
      </c>
      <c r="H110">
        <v>1</v>
      </c>
      <c r="I110" s="155">
        <f>B110</f>
        <v>7.0689655172413808E-3</v>
      </c>
      <c r="J110" t="s">
        <v>31</v>
      </c>
      <c r="K110" t="s">
        <v>31</v>
      </c>
      <c r="L110" t="s">
        <v>31</v>
      </c>
      <c r="M110" t="s">
        <v>31</v>
      </c>
      <c r="O110" s="170" t="s">
        <v>857</v>
      </c>
      <c r="P110" s="157">
        <v>41</v>
      </c>
      <c r="Q110" s="91" t="s">
        <v>1738</v>
      </c>
      <c r="R110" s="85">
        <f>P110*0.001/Q107</f>
        <v>7.0689655172413808E-3</v>
      </c>
    </row>
    <row r="111" spans="1:18" ht="15.6">
      <c r="A111" t="s">
        <v>1856</v>
      </c>
      <c r="B111">
        <v>1</v>
      </c>
      <c r="C111" t="s">
        <v>18</v>
      </c>
      <c r="D111" s="17" t="s">
        <v>2</v>
      </c>
      <c r="E111" t="s">
        <v>29</v>
      </c>
      <c r="F111" s="68" t="s">
        <v>14</v>
      </c>
      <c r="G111" t="s">
        <v>33</v>
      </c>
      <c r="H111">
        <v>1</v>
      </c>
      <c r="I111" s="155">
        <f>B111</f>
        <v>1</v>
      </c>
      <c r="J111" t="s">
        <v>31</v>
      </c>
      <c r="K111" t="s">
        <v>31</v>
      </c>
      <c r="L111" t="s">
        <v>31</v>
      </c>
      <c r="M111" t="s">
        <v>31</v>
      </c>
      <c r="O111" s="130"/>
      <c r="P111" s="129"/>
    </row>
    <row r="112" spans="1:18" ht="15.6">
      <c r="A112" s="84" t="s">
        <v>179</v>
      </c>
      <c r="B112" s="85">
        <f>R112</f>
        <v>2.3000000000000001E-4</v>
      </c>
      <c r="C112" t="s">
        <v>37</v>
      </c>
      <c r="D112" s="17" t="s">
        <v>416</v>
      </c>
      <c r="E112" t="s">
        <v>29</v>
      </c>
      <c r="F112" s="68" t="s">
        <v>35</v>
      </c>
      <c r="G112" t="s">
        <v>33</v>
      </c>
      <c r="H112">
        <v>2</v>
      </c>
      <c r="I112">
        <f>LN(B112)</f>
        <v>-8.3774312490410789</v>
      </c>
      <c r="J112">
        <v>2.8722813232690055E-2</v>
      </c>
      <c r="K112" t="s">
        <v>31</v>
      </c>
      <c r="L112" t="s">
        <v>31</v>
      </c>
      <c r="M112" t="s">
        <v>31</v>
      </c>
      <c r="O112" s="170" t="s">
        <v>857</v>
      </c>
      <c r="P112" s="156">
        <v>0.23</v>
      </c>
      <c r="Q112" t="s">
        <v>275</v>
      </c>
      <c r="R112" s="85">
        <f>P112*10^-3</f>
        <v>2.3000000000000001E-4</v>
      </c>
    </row>
    <row r="113" spans="1:18" s="73" customFormat="1" ht="15.6">
      <c r="A113" s="76" t="s">
        <v>5</v>
      </c>
      <c r="B113" s="106" t="s">
        <v>1856</v>
      </c>
      <c r="C113" s="74"/>
    </row>
    <row r="114" spans="1:18">
      <c r="A114" s="70" t="s">
        <v>7</v>
      </c>
      <c r="B114" t="s">
        <v>1709</v>
      </c>
      <c r="C114" s="72"/>
    </row>
    <row r="115" spans="1:18">
      <c r="A115" s="113" t="s">
        <v>9</v>
      </c>
      <c r="B115" t="s">
        <v>1857</v>
      </c>
      <c r="C115" s="72"/>
    </row>
    <row r="116" spans="1:18" ht="15.75" customHeight="1">
      <c r="A116" s="70" t="s">
        <v>11</v>
      </c>
      <c r="B116" s="71" t="s">
        <v>841</v>
      </c>
    </row>
    <row r="117" spans="1:18">
      <c r="A117" s="70" t="s">
        <v>13</v>
      </c>
      <c r="B117" t="s">
        <v>14</v>
      </c>
    </row>
    <row r="118" spans="1:18">
      <c r="A118" s="70" t="s">
        <v>15</v>
      </c>
      <c r="B118">
        <v>1</v>
      </c>
    </row>
    <row r="119" spans="1:18">
      <c r="A119" s="70" t="s">
        <v>16</v>
      </c>
      <c r="B119" t="s">
        <v>17</v>
      </c>
    </row>
    <row r="120" spans="1:18">
      <c r="A120" s="70" t="s">
        <v>18</v>
      </c>
      <c r="B120" t="s">
        <v>18</v>
      </c>
    </row>
    <row r="121" spans="1:18" ht="15.6">
      <c r="A121" s="69" t="s">
        <v>19</v>
      </c>
    </row>
    <row r="122" spans="1:18" ht="15.6">
      <c r="A122" s="69"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6">
      <c r="A123" t="s">
        <v>1856</v>
      </c>
      <c r="B123">
        <v>1</v>
      </c>
      <c r="C123" t="s">
        <v>18</v>
      </c>
      <c r="D123" s="110" t="s">
        <v>2</v>
      </c>
      <c r="E123" t="s">
        <v>29</v>
      </c>
      <c r="F123" s="68" t="s">
        <v>14</v>
      </c>
      <c r="G123" t="s">
        <v>30</v>
      </c>
      <c r="H123">
        <v>1</v>
      </c>
      <c r="I123">
        <v>1</v>
      </c>
      <c r="J123" t="s">
        <v>31</v>
      </c>
      <c r="K123" t="s">
        <v>31</v>
      </c>
      <c r="L123" t="s">
        <v>31</v>
      </c>
      <c r="M123" t="s">
        <v>31</v>
      </c>
    </row>
    <row r="124" spans="1:18" ht="15.6">
      <c r="A124" s="84" t="s">
        <v>966</v>
      </c>
      <c r="B124">
        <f>R124</f>
        <v>0.45</v>
      </c>
      <c r="C124" t="s">
        <v>37</v>
      </c>
      <c r="D124" s="17" t="s">
        <v>416</v>
      </c>
      <c r="E124" t="s">
        <v>29</v>
      </c>
      <c r="F124" t="s">
        <v>59</v>
      </c>
      <c r="G124" t="s">
        <v>33</v>
      </c>
      <c r="H124">
        <v>1</v>
      </c>
      <c r="I124">
        <f>B124</f>
        <v>0.45</v>
      </c>
      <c r="J124" t="s">
        <v>31</v>
      </c>
      <c r="K124" t="s">
        <v>31</v>
      </c>
      <c r="L124" t="s">
        <v>31</v>
      </c>
      <c r="M124" t="s">
        <v>31</v>
      </c>
      <c r="P124" s="169">
        <v>0.45</v>
      </c>
      <c r="Q124" t="s">
        <v>275</v>
      </c>
      <c r="R124">
        <f>P124</f>
        <v>0.45</v>
      </c>
    </row>
    <row r="125" spans="1:18">
      <c r="A125" s="84" t="s">
        <v>967</v>
      </c>
      <c r="B125">
        <f>R125</f>
        <v>0.29899999999999999</v>
      </c>
      <c r="C125" t="s">
        <v>37</v>
      </c>
      <c r="D125" t="s">
        <v>416</v>
      </c>
      <c r="E125" t="s">
        <v>29</v>
      </c>
      <c r="F125" t="s">
        <v>59</v>
      </c>
      <c r="G125" t="s">
        <v>33</v>
      </c>
      <c r="H125">
        <v>2</v>
      </c>
      <c r="I125">
        <f>LN(B125)</f>
        <v>-1.2073117055914506</v>
      </c>
      <c r="J125">
        <v>3.7749172176353707E-2</v>
      </c>
      <c r="K125" t="s">
        <v>31</v>
      </c>
      <c r="L125" t="s">
        <v>31</v>
      </c>
      <c r="M125" t="s">
        <v>31</v>
      </c>
      <c r="O125" s="97" t="s">
        <v>857</v>
      </c>
      <c r="P125" s="107">
        <v>299</v>
      </c>
      <c r="Q125" t="s">
        <v>275</v>
      </c>
      <c r="R125">
        <f>P125*0.001</f>
        <v>0.29899999999999999</v>
      </c>
    </row>
    <row r="126" spans="1:18">
      <c r="A126" s="84" t="s">
        <v>968</v>
      </c>
      <c r="B126">
        <f>R126</f>
        <v>1.7899999999999999E-2</v>
      </c>
      <c r="C126" t="s">
        <v>37</v>
      </c>
      <c r="D126" t="s">
        <v>416</v>
      </c>
      <c r="E126" t="s">
        <v>29</v>
      </c>
      <c r="F126" t="s">
        <v>59</v>
      </c>
      <c r="G126" t="s">
        <v>33</v>
      </c>
      <c r="H126">
        <v>2</v>
      </c>
      <c r="I126">
        <f>LN(B126)</f>
        <v>-4.0229545661354278</v>
      </c>
      <c r="J126">
        <v>3.7749172176353707E-2</v>
      </c>
      <c r="K126" t="s">
        <v>31</v>
      </c>
      <c r="L126" t="s">
        <v>31</v>
      </c>
      <c r="M126" t="s">
        <v>31</v>
      </c>
      <c r="O126" s="97" t="s">
        <v>857</v>
      </c>
      <c r="P126" s="107">
        <v>17.899999999999999</v>
      </c>
      <c r="Q126" t="s">
        <v>275</v>
      </c>
      <c r="R126">
        <f>P126*0.001</f>
        <v>1.7899999999999999E-2</v>
      </c>
    </row>
    <row r="127" spans="1:18">
      <c r="A127" s="84" t="s">
        <v>969</v>
      </c>
      <c r="B127">
        <f>R127</f>
        <v>0.13500000000000001</v>
      </c>
      <c r="C127" t="s">
        <v>37</v>
      </c>
      <c r="D127" t="s">
        <v>416</v>
      </c>
      <c r="E127" t="s">
        <v>29</v>
      </c>
      <c r="F127" t="s">
        <v>59</v>
      </c>
      <c r="G127" t="s">
        <v>33</v>
      </c>
      <c r="H127">
        <v>2</v>
      </c>
      <c r="I127">
        <f>LN(B127)</f>
        <v>-2.0024805005437076</v>
      </c>
      <c r="J127">
        <v>3.7749172176353707E-2</v>
      </c>
      <c r="K127" t="s">
        <v>31</v>
      </c>
      <c r="L127" t="s">
        <v>31</v>
      </c>
      <c r="M127" t="s">
        <v>31</v>
      </c>
      <c r="O127" s="97" t="s">
        <v>857</v>
      </c>
      <c r="P127" s="107">
        <v>135</v>
      </c>
      <c r="Q127" t="s">
        <v>275</v>
      </c>
      <c r="R127">
        <f>P127*0.001</f>
        <v>0.13500000000000001</v>
      </c>
    </row>
    <row r="128" spans="1:18" s="73" customFormat="1" ht="15.6">
      <c r="A128" s="76" t="s">
        <v>5</v>
      </c>
      <c r="B128" s="126" t="s">
        <v>1855</v>
      </c>
      <c r="C128" s="74"/>
    </row>
    <row r="129" spans="1:18">
      <c r="A129" s="70" t="s">
        <v>7</v>
      </c>
      <c r="B129" t="s">
        <v>1709</v>
      </c>
      <c r="C129" s="72"/>
    </row>
    <row r="130" spans="1:18">
      <c r="A130" s="113" t="s">
        <v>9</v>
      </c>
      <c r="B130" t="s">
        <v>1858</v>
      </c>
      <c r="C130" s="72"/>
    </row>
    <row r="131" spans="1:18" ht="15.75" customHeight="1">
      <c r="A131" s="70" t="s">
        <v>11</v>
      </c>
      <c r="B131" s="71" t="s">
        <v>841</v>
      </c>
    </row>
    <row r="132" spans="1:18">
      <c r="A132" s="70" t="s">
        <v>13</v>
      </c>
      <c r="B132" t="s">
        <v>14</v>
      </c>
    </row>
    <row r="133" spans="1:18">
      <c r="A133" s="70" t="s">
        <v>15</v>
      </c>
      <c r="B133" s="112">
        <f>B138</f>
        <v>5.1999999999999998E-2</v>
      </c>
    </row>
    <row r="134" spans="1:18">
      <c r="A134" s="70" t="s">
        <v>16</v>
      </c>
      <c r="B134" t="s">
        <v>17</v>
      </c>
    </row>
    <row r="135" spans="1:18">
      <c r="A135" s="70" t="s">
        <v>18</v>
      </c>
      <c r="B135" t="s">
        <v>853</v>
      </c>
    </row>
    <row r="136" spans="1:18" ht="15.6">
      <c r="A136" s="69" t="s">
        <v>19</v>
      </c>
    </row>
    <row r="137" spans="1:18" ht="15.6">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6">
      <c r="A138" s="17" t="s">
        <v>1855</v>
      </c>
      <c r="B138" s="168">
        <f>P138</f>
        <v>5.1999999999999998E-2</v>
      </c>
      <c r="C138" t="s">
        <v>853</v>
      </c>
      <c r="D138" s="110" t="s">
        <v>2</v>
      </c>
      <c r="E138" t="s">
        <v>29</v>
      </c>
      <c r="F138" s="68" t="s">
        <v>14</v>
      </c>
      <c r="G138" t="s">
        <v>30</v>
      </c>
      <c r="H138">
        <v>1</v>
      </c>
      <c r="I138" s="155">
        <f>B138</f>
        <v>5.1999999999999998E-2</v>
      </c>
      <c r="J138" t="s">
        <v>31</v>
      </c>
      <c r="K138" t="s">
        <v>31</v>
      </c>
      <c r="L138" t="s">
        <v>31</v>
      </c>
      <c r="M138" t="s">
        <v>31</v>
      </c>
      <c r="O138" s="130"/>
      <c r="P138" s="151">
        <f>P139</f>
        <v>5.1999999999999998E-2</v>
      </c>
      <c r="Q138" s="115"/>
    </row>
    <row r="139" spans="1:18" ht="15.6">
      <c r="A139" s="58" t="s">
        <v>1859</v>
      </c>
      <c r="B139" s="168">
        <f>P139</f>
        <v>5.1999999999999998E-2</v>
      </c>
      <c r="C139" t="s">
        <v>853</v>
      </c>
      <c r="D139" s="110" t="s">
        <v>2</v>
      </c>
      <c r="E139" t="s">
        <v>29</v>
      </c>
      <c r="F139" s="68" t="s">
        <v>14</v>
      </c>
      <c r="G139" t="s">
        <v>33</v>
      </c>
      <c r="H139">
        <v>1</v>
      </c>
      <c r="I139" s="155">
        <f>B139</f>
        <v>5.1999999999999998E-2</v>
      </c>
      <c r="J139" t="s">
        <v>31</v>
      </c>
      <c r="K139" t="s">
        <v>31</v>
      </c>
      <c r="L139" t="s">
        <v>31</v>
      </c>
      <c r="M139" t="s">
        <v>31</v>
      </c>
      <c r="P139" s="151">
        <f>P152</f>
        <v>5.1999999999999998E-2</v>
      </c>
    </row>
    <row r="140" spans="1:18">
      <c r="A140" s="84" t="s">
        <v>731</v>
      </c>
      <c r="B140">
        <f>R140</f>
        <v>4.7000000000000002E-3</v>
      </c>
      <c r="C140" t="s">
        <v>37</v>
      </c>
      <c r="D140" t="s">
        <v>416</v>
      </c>
      <c r="E140" t="s">
        <v>29</v>
      </c>
      <c r="F140" t="s">
        <v>35</v>
      </c>
      <c r="G140" t="s">
        <v>33</v>
      </c>
      <c r="H140">
        <v>2</v>
      </c>
      <c r="I140">
        <f>LN(B140)</f>
        <v>-5.3601927702661243</v>
      </c>
      <c r="J140">
        <v>0.20928449536456342</v>
      </c>
      <c r="K140" t="s">
        <v>31</v>
      </c>
      <c r="L140" t="s">
        <v>31</v>
      </c>
      <c r="M140" t="s">
        <v>31</v>
      </c>
      <c r="O140" s="97" t="s">
        <v>857</v>
      </c>
      <c r="P140" s="107">
        <v>4.7</v>
      </c>
      <c r="Q140" t="s">
        <v>275</v>
      </c>
      <c r="R140">
        <f>0.001*P140</f>
        <v>4.7000000000000002E-3</v>
      </c>
    </row>
    <row r="141" spans="1:18">
      <c r="A141" s="84" t="s">
        <v>987</v>
      </c>
      <c r="B141">
        <f>R141</f>
        <v>4.7000000000000002E-3</v>
      </c>
      <c r="C141" t="s">
        <v>37</v>
      </c>
      <c r="D141" t="s">
        <v>416</v>
      </c>
      <c r="E141" t="s">
        <v>29</v>
      </c>
      <c r="F141" t="s">
        <v>35</v>
      </c>
      <c r="G141" t="s">
        <v>33</v>
      </c>
      <c r="H141">
        <v>2</v>
      </c>
      <c r="I141">
        <f>LN(B141)</f>
        <v>-5.3601927702661243</v>
      </c>
      <c r="J141">
        <v>0.20928449536456342</v>
      </c>
      <c r="K141" t="s">
        <v>31</v>
      </c>
      <c r="L141" t="s">
        <v>31</v>
      </c>
      <c r="M141" t="s">
        <v>31</v>
      </c>
      <c r="O141" s="97" t="s">
        <v>857</v>
      </c>
      <c r="P141" s="107">
        <v>4.7</v>
      </c>
      <c r="Q141" t="s">
        <v>275</v>
      </c>
      <c r="R141">
        <f>0.001*P141</f>
        <v>4.7000000000000002E-3</v>
      </c>
    </row>
    <row r="142" spans="1:18" s="73" customFormat="1" ht="15.6">
      <c r="A142" s="76" t="s">
        <v>5</v>
      </c>
      <c r="B142" s="161" t="s">
        <v>1859</v>
      </c>
      <c r="C142" s="74"/>
    </row>
    <row r="143" spans="1:18">
      <c r="A143" s="70" t="s">
        <v>7</v>
      </c>
      <c r="B143" t="s">
        <v>1709</v>
      </c>
      <c r="C143" s="72"/>
    </row>
    <row r="144" spans="1:18">
      <c r="A144" s="113" t="s">
        <v>9</v>
      </c>
      <c r="B144" t="s">
        <v>1860</v>
      </c>
      <c r="C144" s="72"/>
    </row>
    <row r="145" spans="1:18" ht="15.75" customHeight="1">
      <c r="A145" s="70" t="s">
        <v>11</v>
      </c>
      <c r="B145" s="71" t="s">
        <v>841</v>
      </c>
    </row>
    <row r="146" spans="1:18">
      <c r="A146" s="70" t="s">
        <v>13</v>
      </c>
      <c r="B146" t="s">
        <v>14</v>
      </c>
    </row>
    <row r="147" spans="1:18">
      <c r="A147" s="70" t="s">
        <v>15</v>
      </c>
      <c r="B147" s="112">
        <f>B152</f>
        <v>5.1999999999999998E-2</v>
      </c>
    </row>
    <row r="148" spans="1:18">
      <c r="A148" s="70" t="s">
        <v>16</v>
      </c>
      <c r="B148" t="s">
        <v>17</v>
      </c>
    </row>
    <row r="149" spans="1:18">
      <c r="A149" s="70" t="s">
        <v>18</v>
      </c>
      <c r="B149" t="s">
        <v>853</v>
      </c>
    </row>
    <row r="150" spans="1:18" ht="15.6">
      <c r="A150" s="69" t="s">
        <v>19</v>
      </c>
    </row>
    <row r="151" spans="1:18" ht="15.6">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6">
      <c r="A152" s="58" t="s">
        <v>1859</v>
      </c>
      <c r="B152" s="168">
        <f>P152</f>
        <v>5.1999999999999998E-2</v>
      </c>
      <c r="C152" t="s">
        <v>853</v>
      </c>
      <c r="D152" s="110" t="s">
        <v>2</v>
      </c>
      <c r="E152" t="s">
        <v>29</v>
      </c>
      <c r="F152" s="68" t="s">
        <v>14</v>
      </c>
      <c r="G152" t="s">
        <v>30</v>
      </c>
      <c r="H152">
        <v>1</v>
      </c>
      <c r="I152" s="155">
        <f>B152</f>
        <v>5.1999999999999998E-2</v>
      </c>
      <c r="J152" t="s">
        <v>31</v>
      </c>
      <c r="K152" t="s">
        <v>31</v>
      </c>
      <c r="L152" t="s">
        <v>31</v>
      </c>
      <c r="M152" t="s">
        <v>31</v>
      </c>
      <c r="O152" s="163" t="s">
        <v>855</v>
      </c>
      <c r="P152" s="151">
        <f>P167</f>
        <v>5.1999999999999998E-2</v>
      </c>
    </row>
    <row r="153" spans="1:18" ht="15.6">
      <c r="A153" t="s">
        <v>1861</v>
      </c>
      <c r="B153" s="168">
        <f>P153</f>
        <v>1.6E-2</v>
      </c>
      <c r="C153" t="s">
        <v>853</v>
      </c>
      <c r="D153" s="110" t="s">
        <v>2</v>
      </c>
      <c r="E153" t="s">
        <v>29</v>
      </c>
      <c r="F153" s="68" t="s">
        <v>14</v>
      </c>
      <c r="G153" t="s">
        <v>33</v>
      </c>
      <c r="H153">
        <v>1</v>
      </c>
      <c r="I153" s="155">
        <f>B153</f>
        <v>1.6E-2</v>
      </c>
      <c r="J153" t="s">
        <v>31</v>
      </c>
      <c r="K153" t="s">
        <v>31</v>
      </c>
      <c r="L153" t="s">
        <v>31</v>
      </c>
      <c r="M153" t="s">
        <v>31</v>
      </c>
      <c r="O153" s="163" t="s">
        <v>873</v>
      </c>
      <c r="P153" s="162">
        <f>B228</f>
        <v>1.6E-2</v>
      </c>
    </row>
    <row r="154" spans="1:18" ht="15.6">
      <c r="A154" t="s">
        <v>1862</v>
      </c>
      <c r="B154" s="168">
        <f>P154</f>
        <v>5.1999999999999998E-2</v>
      </c>
      <c r="C154" t="s">
        <v>853</v>
      </c>
      <c r="D154" s="110" t="s">
        <v>2</v>
      </c>
      <c r="E154" t="s">
        <v>29</v>
      </c>
      <c r="F154" s="68" t="s">
        <v>14</v>
      </c>
      <c r="G154" t="s">
        <v>33</v>
      </c>
      <c r="H154">
        <v>1</v>
      </c>
      <c r="I154" s="155">
        <f>B154</f>
        <v>5.1999999999999998E-2</v>
      </c>
      <c r="J154" t="s">
        <v>31</v>
      </c>
      <c r="K154" t="s">
        <v>31</v>
      </c>
      <c r="L154" t="s">
        <v>31</v>
      </c>
      <c r="M154" t="s">
        <v>31</v>
      </c>
      <c r="O154" s="94" t="s">
        <v>873</v>
      </c>
      <c r="P154" s="151">
        <f>P168</f>
        <v>5.1999999999999998E-2</v>
      </c>
    </row>
    <row r="155" spans="1:18" ht="15.6">
      <c r="A155" s="67" t="s">
        <v>38</v>
      </c>
      <c r="B155" s="168">
        <f>P155</f>
        <v>1.25</v>
      </c>
      <c r="C155" t="s">
        <v>39</v>
      </c>
      <c r="D155" s="17" t="s">
        <v>416</v>
      </c>
      <c r="E155" t="s">
        <v>29</v>
      </c>
      <c r="F155" s="68" t="s">
        <v>35</v>
      </c>
      <c r="G155" t="s">
        <v>33</v>
      </c>
      <c r="H155">
        <v>2</v>
      </c>
      <c r="I155">
        <f>LN(B155)</f>
        <v>0.22314355131420976</v>
      </c>
      <c r="J155">
        <v>9.7082439194738052E-2</v>
      </c>
      <c r="K155" t="s">
        <v>31</v>
      </c>
      <c r="L155" t="s">
        <v>31</v>
      </c>
      <c r="M155" t="s">
        <v>31</v>
      </c>
      <c r="O155" s="97" t="s">
        <v>271</v>
      </c>
      <c r="P155" s="134">
        <v>1.25</v>
      </c>
      <c r="Q155" t="s">
        <v>271</v>
      </c>
      <c r="R155" s="115">
        <f>P155</f>
        <v>1.25</v>
      </c>
    </row>
    <row r="156" spans="1:18" ht="15.6">
      <c r="A156" s="67" t="s">
        <v>845</v>
      </c>
      <c r="B156" s="168">
        <f>P156</f>
        <v>3.3</v>
      </c>
      <c r="C156" t="s">
        <v>37</v>
      </c>
      <c r="D156" s="17" t="s">
        <v>416</v>
      </c>
      <c r="E156" t="s">
        <v>29</v>
      </c>
      <c r="F156" s="68" t="s">
        <v>35</v>
      </c>
      <c r="G156" t="s">
        <v>33</v>
      </c>
      <c r="H156">
        <v>2</v>
      </c>
      <c r="I156">
        <f>LN(B156)</f>
        <v>1.1939224684724346</v>
      </c>
      <c r="J156">
        <v>9.7082439194738052E-2</v>
      </c>
      <c r="K156" t="s">
        <v>31</v>
      </c>
      <c r="L156" t="s">
        <v>31</v>
      </c>
      <c r="M156" t="s">
        <v>31</v>
      </c>
      <c r="O156" s="97" t="s">
        <v>275</v>
      </c>
      <c r="P156" s="134">
        <v>3.3</v>
      </c>
    </row>
    <row r="157" spans="1:18" s="73" customFormat="1" ht="15.6">
      <c r="A157" s="76" t="s">
        <v>5</v>
      </c>
      <c r="B157" s="106" t="s">
        <v>1862</v>
      </c>
      <c r="C157" s="74"/>
    </row>
    <row r="158" spans="1:18">
      <c r="A158" s="70" t="s">
        <v>7</v>
      </c>
      <c r="B158" t="s">
        <v>1709</v>
      </c>
      <c r="C158" s="72"/>
    </row>
    <row r="159" spans="1:18">
      <c r="A159" s="113" t="s">
        <v>9</v>
      </c>
      <c r="B159" t="s">
        <v>1863</v>
      </c>
      <c r="C159" s="72"/>
    </row>
    <row r="160" spans="1:18" ht="15.75" customHeight="1">
      <c r="A160" s="70" t="s">
        <v>11</v>
      </c>
      <c r="B160" s="71" t="s">
        <v>841</v>
      </c>
    </row>
    <row r="161" spans="1:18">
      <c r="A161" s="70" t="s">
        <v>13</v>
      </c>
      <c r="B161" t="s">
        <v>14</v>
      </c>
    </row>
    <row r="162" spans="1:18">
      <c r="A162" s="70" t="s">
        <v>15</v>
      </c>
      <c r="B162" s="168">
        <f>B167</f>
        <v>5.1999999999999998E-2</v>
      </c>
    </row>
    <row r="163" spans="1:18">
      <c r="A163" s="70" t="s">
        <v>16</v>
      </c>
      <c r="B163" t="s">
        <v>17</v>
      </c>
    </row>
    <row r="164" spans="1:18">
      <c r="A164" s="70" t="s">
        <v>18</v>
      </c>
      <c r="B164" t="s">
        <v>853</v>
      </c>
    </row>
    <row r="165" spans="1:18" ht="15.6">
      <c r="A165" s="69" t="s">
        <v>19</v>
      </c>
    </row>
    <row r="166" spans="1:18" ht="15.6">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6">
      <c r="A167" t="s">
        <v>1862</v>
      </c>
      <c r="B167" s="111">
        <f>P167</f>
        <v>5.1999999999999998E-2</v>
      </c>
      <c r="C167" t="s">
        <v>853</v>
      </c>
      <c r="D167" s="110" t="s">
        <v>2</v>
      </c>
      <c r="E167" t="s">
        <v>29</v>
      </c>
      <c r="F167" s="68" t="s">
        <v>14</v>
      </c>
      <c r="G167" t="s">
        <v>30</v>
      </c>
      <c r="H167">
        <v>1</v>
      </c>
      <c r="I167" s="111">
        <f>B167</f>
        <v>5.1999999999999998E-2</v>
      </c>
      <c r="J167" t="s">
        <v>31</v>
      </c>
      <c r="K167" t="s">
        <v>31</v>
      </c>
      <c r="L167" t="s">
        <v>31</v>
      </c>
      <c r="M167" t="s">
        <v>31</v>
      </c>
      <c r="P167" s="158">
        <f>P185</f>
        <v>5.1999999999999998E-2</v>
      </c>
    </row>
    <row r="168" spans="1:18" ht="15.6">
      <c r="A168" s="58" t="s">
        <v>1864</v>
      </c>
      <c r="B168" s="111">
        <f>P168</f>
        <v>5.1999999999999998E-2</v>
      </c>
      <c r="C168" t="s">
        <v>853</v>
      </c>
      <c r="D168" s="110" t="s">
        <v>2</v>
      </c>
      <c r="E168" t="s">
        <v>29</v>
      </c>
      <c r="F168" s="68" t="s">
        <v>14</v>
      </c>
      <c r="G168" t="s">
        <v>33</v>
      </c>
      <c r="H168">
        <v>1</v>
      </c>
      <c r="I168" s="111">
        <f>B168</f>
        <v>5.1999999999999998E-2</v>
      </c>
      <c r="J168" t="s">
        <v>31</v>
      </c>
      <c r="K168" t="s">
        <v>31</v>
      </c>
      <c r="L168" t="s">
        <v>31</v>
      </c>
      <c r="M168" t="s">
        <v>31</v>
      </c>
      <c r="P168" s="158">
        <f>P185</f>
        <v>5.1999999999999998E-2</v>
      </c>
    </row>
    <row r="169" spans="1:18" ht="15.6">
      <c r="A169" s="67" t="s">
        <v>38</v>
      </c>
      <c r="B169" s="115">
        <f>R169</f>
        <v>0.14000000000000001</v>
      </c>
      <c r="C169" t="s">
        <v>39</v>
      </c>
      <c r="D169" s="17" t="s">
        <v>416</v>
      </c>
      <c r="E169" t="s">
        <v>29</v>
      </c>
      <c r="F169" s="68" t="s">
        <v>35</v>
      </c>
      <c r="G169" t="s">
        <v>33</v>
      </c>
      <c r="H169">
        <v>2</v>
      </c>
      <c r="I169">
        <f>LN(B169)</f>
        <v>-1.9661128563728327</v>
      </c>
      <c r="J169">
        <v>0.20928449536456342</v>
      </c>
      <c r="K169" t="s">
        <v>31</v>
      </c>
      <c r="L169" t="s">
        <v>31</v>
      </c>
      <c r="M169" t="s">
        <v>31</v>
      </c>
      <c r="O169" s="80" t="s">
        <v>271</v>
      </c>
      <c r="P169" s="107">
        <v>0.14000000000000001</v>
      </c>
      <c r="Q169" t="s">
        <v>271</v>
      </c>
      <c r="R169" s="115">
        <f>P169</f>
        <v>0.14000000000000001</v>
      </c>
    </row>
    <row r="170" spans="1:18" ht="15.6">
      <c r="A170" s="84" t="s">
        <v>843</v>
      </c>
      <c r="B170">
        <f>R170</f>
        <v>4.4000000000000003E-3</v>
      </c>
      <c r="C170" t="s">
        <v>37</v>
      </c>
      <c r="D170" s="17" t="s">
        <v>416</v>
      </c>
      <c r="E170" t="s">
        <v>29</v>
      </c>
      <c r="F170" s="68" t="s">
        <v>35</v>
      </c>
      <c r="G170" t="s">
        <v>33</v>
      </c>
      <c r="H170">
        <v>2</v>
      </c>
      <c r="I170">
        <f>LN(B170)</f>
        <v>-5.4261507380579213</v>
      </c>
      <c r="J170">
        <v>0.20928449536456342</v>
      </c>
      <c r="K170" t="s">
        <v>31</v>
      </c>
      <c r="L170" t="s">
        <v>31</v>
      </c>
      <c r="M170" t="s">
        <v>31</v>
      </c>
      <c r="O170" s="97" t="s">
        <v>857</v>
      </c>
      <c r="P170" s="107">
        <v>4.4000000000000004</v>
      </c>
      <c r="Q170" t="s">
        <v>275</v>
      </c>
      <c r="R170">
        <f>0.001*P170</f>
        <v>4.4000000000000003E-3</v>
      </c>
    </row>
    <row r="171" spans="1:18" ht="15.6">
      <c r="A171" s="84" t="s">
        <v>489</v>
      </c>
      <c r="B171">
        <f>R171</f>
        <v>6.9999999999999999E-4</v>
      </c>
      <c r="C171" t="s">
        <v>37</v>
      </c>
      <c r="D171" s="17" t="s">
        <v>416</v>
      </c>
      <c r="E171" t="s">
        <v>29</v>
      </c>
      <c r="F171" s="68" t="s">
        <v>59</v>
      </c>
      <c r="G171" t="s">
        <v>33</v>
      </c>
      <c r="H171">
        <v>2</v>
      </c>
      <c r="I171">
        <f>LN(B171)</f>
        <v>-7.2644302229208693</v>
      </c>
      <c r="J171">
        <v>0.20928449536456342</v>
      </c>
      <c r="K171" t="s">
        <v>31</v>
      </c>
      <c r="L171" t="s">
        <v>31</v>
      </c>
      <c r="M171" t="s">
        <v>31</v>
      </c>
      <c r="O171" s="97" t="s">
        <v>857</v>
      </c>
      <c r="P171" s="107">
        <v>0.7</v>
      </c>
      <c r="Q171" t="s">
        <v>275</v>
      </c>
      <c r="R171">
        <f>0.001*P171</f>
        <v>6.9999999999999999E-4</v>
      </c>
    </row>
    <row r="172" spans="1:18" ht="15.6">
      <c r="A172" s="67" t="s">
        <v>844</v>
      </c>
      <c r="B172">
        <f>R172</f>
        <v>2.1700000000000001E-2</v>
      </c>
      <c r="C172" t="s">
        <v>37</v>
      </c>
      <c r="D172" s="17" t="s">
        <v>416</v>
      </c>
      <c r="E172" t="s">
        <v>29</v>
      </c>
      <c r="F172" s="68" t="s">
        <v>74</v>
      </c>
      <c r="G172" t="s">
        <v>33</v>
      </c>
      <c r="H172">
        <v>2</v>
      </c>
      <c r="I172">
        <f>LN(B172)</f>
        <v>-3.830443018435723</v>
      </c>
      <c r="J172">
        <v>0.20928449536456342</v>
      </c>
      <c r="K172" t="s">
        <v>31</v>
      </c>
      <c r="L172" t="s">
        <v>31</v>
      </c>
      <c r="M172" t="s">
        <v>31</v>
      </c>
      <c r="O172" s="97" t="s">
        <v>857</v>
      </c>
      <c r="P172" s="107">
        <v>21.7</v>
      </c>
      <c r="Q172" t="s">
        <v>275</v>
      </c>
      <c r="R172">
        <f>0.001*P172</f>
        <v>2.1700000000000001E-2</v>
      </c>
    </row>
    <row r="173" spans="1:18" ht="15.6">
      <c r="A173" s="17" t="s">
        <v>1712</v>
      </c>
      <c r="B173">
        <f>R173</f>
        <v>5.0999999999999995E-3</v>
      </c>
      <c r="C173" t="s">
        <v>37</v>
      </c>
      <c r="D173" s="110" t="s">
        <v>2</v>
      </c>
      <c r="E173" t="s">
        <v>29</v>
      </c>
      <c r="F173" s="68" t="s">
        <v>74</v>
      </c>
      <c r="G173" t="s">
        <v>33</v>
      </c>
      <c r="H173">
        <v>2</v>
      </c>
      <c r="I173">
        <f>LN(B173)</f>
        <v>-5.2785147392518574</v>
      </c>
      <c r="J173">
        <v>0.20928449536456342</v>
      </c>
      <c r="K173" t="s">
        <v>31</v>
      </c>
      <c r="L173" t="s">
        <v>31</v>
      </c>
      <c r="M173" t="s">
        <v>31</v>
      </c>
      <c r="O173" s="159" t="s">
        <v>857</v>
      </c>
      <c r="P173" s="123">
        <v>5.0999999999999996</v>
      </c>
      <c r="Q173" t="s">
        <v>275</v>
      </c>
      <c r="R173">
        <f>0.001*P173</f>
        <v>5.0999999999999995E-3</v>
      </c>
    </row>
    <row r="174" spans="1:18" s="73" customFormat="1" ht="15.6">
      <c r="A174" s="76" t="s">
        <v>5</v>
      </c>
      <c r="B174" s="106" t="s">
        <v>1864</v>
      </c>
      <c r="C174" s="74"/>
    </row>
    <row r="175" spans="1:18">
      <c r="A175" s="70" t="s">
        <v>7</v>
      </c>
      <c r="B175" t="s">
        <v>1709</v>
      </c>
      <c r="C175" s="72"/>
    </row>
    <row r="176" spans="1:18">
      <c r="A176" s="113" t="s">
        <v>9</v>
      </c>
      <c r="B176" t="s">
        <v>1865</v>
      </c>
      <c r="C176" s="72"/>
    </row>
    <row r="177" spans="1:18" ht="15.75" customHeight="1">
      <c r="A177" s="70" t="s">
        <v>11</v>
      </c>
      <c r="B177" s="71" t="s">
        <v>841</v>
      </c>
    </row>
    <row r="178" spans="1:18">
      <c r="A178" s="70" t="s">
        <v>13</v>
      </c>
      <c r="B178" t="s">
        <v>14</v>
      </c>
    </row>
    <row r="179" spans="1:18">
      <c r="A179" s="70" t="s">
        <v>15</v>
      </c>
      <c r="B179" s="112">
        <f>B184</f>
        <v>5.1999999999999998E-2</v>
      </c>
    </row>
    <row r="180" spans="1:18">
      <c r="A180" s="70" t="s">
        <v>16</v>
      </c>
      <c r="B180" t="s">
        <v>17</v>
      </c>
    </row>
    <row r="181" spans="1:18">
      <c r="A181" s="70" t="s">
        <v>18</v>
      </c>
      <c r="B181" t="s">
        <v>853</v>
      </c>
    </row>
    <row r="182" spans="1:18" ht="15.6">
      <c r="A182" s="69" t="s">
        <v>19</v>
      </c>
    </row>
    <row r="183" spans="1:18" ht="15.6">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6">
      <c r="A184" s="58" t="s">
        <v>1864</v>
      </c>
      <c r="B184" s="167">
        <f>P185</f>
        <v>5.1999999999999998E-2</v>
      </c>
      <c r="C184" t="s">
        <v>853</v>
      </c>
      <c r="D184" s="110" t="s">
        <v>2</v>
      </c>
      <c r="E184" t="s">
        <v>29</v>
      </c>
      <c r="F184" s="68" t="s">
        <v>14</v>
      </c>
      <c r="G184" t="s">
        <v>30</v>
      </c>
      <c r="H184">
        <v>1</v>
      </c>
      <c r="I184" s="111">
        <f>B184</f>
        <v>5.1999999999999998E-2</v>
      </c>
      <c r="J184" t="s">
        <v>31</v>
      </c>
      <c r="K184" t="s">
        <v>31</v>
      </c>
      <c r="L184" t="s">
        <v>31</v>
      </c>
      <c r="M184" t="s">
        <v>31</v>
      </c>
    </row>
    <row r="185" spans="1:18" ht="15.6">
      <c r="A185" t="s">
        <v>1866</v>
      </c>
      <c r="B185" s="167">
        <f>P185</f>
        <v>5.1999999999999998E-2</v>
      </c>
      <c r="C185" t="s">
        <v>853</v>
      </c>
      <c r="D185" s="110" t="s">
        <v>2</v>
      </c>
      <c r="E185" t="s">
        <v>29</v>
      </c>
      <c r="F185" s="68" t="s">
        <v>14</v>
      </c>
      <c r="G185" t="s">
        <v>33</v>
      </c>
      <c r="H185">
        <v>1</v>
      </c>
      <c r="I185" s="111">
        <f>B185</f>
        <v>5.1999999999999998E-2</v>
      </c>
      <c r="J185" t="s">
        <v>31</v>
      </c>
      <c r="K185" t="s">
        <v>31</v>
      </c>
      <c r="L185" t="s">
        <v>31</v>
      </c>
      <c r="M185" t="s">
        <v>31</v>
      </c>
      <c r="P185" s="151">
        <v>5.1999999999999998E-2</v>
      </c>
    </row>
    <row r="186" spans="1:18" ht="15.6">
      <c r="A186" s="67" t="s">
        <v>38</v>
      </c>
      <c r="B186" s="115">
        <f>P186</f>
        <v>3.05</v>
      </c>
      <c r="C186" t="s">
        <v>39</v>
      </c>
      <c r="D186" s="17" t="s">
        <v>416</v>
      </c>
      <c r="E186" t="s">
        <v>29</v>
      </c>
      <c r="F186" s="68" t="s">
        <v>35</v>
      </c>
      <c r="G186" t="s">
        <v>33</v>
      </c>
      <c r="H186">
        <v>2</v>
      </c>
      <c r="I186">
        <f>LN(B186)</f>
        <v>1.1151415906193203</v>
      </c>
      <c r="J186">
        <v>0.20928449536456342</v>
      </c>
      <c r="K186" t="s">
        <v>31</v>
      </c>
      <c r="L186" t="s">
        <v>31</v>
      </c>
      <c r="M186" t="s">
        <v>31</v>
      </c>
      <c r="O186" s="97" t="s">
        <v>271</v>
      </c>
      <c r="P186" s="134">
        <f>2.1+0.95</f>
        <v>3.05</v>
      </c>
    </row>
    <row r="187" spans="1:18" ht="15.6">
      <c r="A187" s="67" t="s">
        <v>844</v>
      </c>
      <c r="B187">
        <f>R187</f>
        <v>6.0999999999999995E-3</v>
      </c>
      <c r="C187" t="s">
        <v>37</v>
      </c>
      <c r="D187" s="17" t="s">
        <v>416</v>
      </c>
      <c r="E187" t="s">
        <v>29</v>
      </c>
      <c r="F187" s="68" t="s">
        <v>74</v>
      </c>
      <c r="G187" t="s">
        <v>33</v>
      </c>
      <c r="H187">
        <v>2</v>
      </c>
      <c r="I187">
        <f>LN(B187)</f>
        <v>-5.0994665078028714</v>
      </c>
      <c r="J187">
        <v>0.20928449536456342</v>
      </c>
      <c r="K187" t="s">
        <v>31</v>
      </c>
      <c r="L187" t="s">
        <v>31</v>
      </c>
      <c r="M187" t="s">
        <v>31</v>
      </c>
      <c r="O187" s="97" t="s">
        <v>857</v>
      </c>
      <c r="P187" s="134">
        <v>6.1</v>
      </c>
      <c r="Q187" t="s">
        <v>275</v>
      </c>
      <c r="R187">
        <f>P187*0.001</f>
        <v>6.0999999999999995E-3</v>
      </c>
    </row>
    <row r="188" spans="1:18">
      <c r="A188" s="84" t="s">
        <v>987</v>
      </c>
      <c r="B188">
        <f>R188</f>
        <v>7.4999999999999997E-3</v>
      </c>
      <c r="C188" t="s">
        <v>37</v>
      </c>
      <c r="D188" t="s">
        <v>416</v>
      </c>
      <c r="E188" t="s">
        <v>29</v>
      </c>
      <c r="F188" t="s">
        <v>35</v>
      </c>
      <c r="G188" t="s">
        <v>33</v>
      </c>
      <c r="H188">
        <v>2</v>
      </c>
      <c r="I188">
        <f>LN(B188)</f>
        <v>-4.8928522584398726</v>
      </c>
      <c r="J188">
        <v>0.20928449536456342</v>
      </c>
      <c r="K188" t="s">
        <v>31</v>
      </c>
      <c r="L188" t="s">
        <v>31</v>
      </c>
      <c r="M188" t="s">
        <v>31</v>
      </c>
      <c r="O188" s="97" t="s">
        <v>857</v>
      </c>
      <c r="P188" s="134">
        <v>7.5</v>
      </c>
      <c r="Q188" t="s">
        <v>275</v>
      </c>
      <c r="R188">
        <f>P188*0.001</f>
        <v>7.4999999999999997E-3</v>
      </c>
    </row>
    <row r="189" spans="1:18" ht="15.6">
      <c r="A189" s="17" t="s">
        <v>1712</v>
      </c>
      <c r="B189">
        <f>R189</f>
        <v>7.4999999999999997E-3</v>
      </c>
      <c r="C189" t="s">
        <v>37</v>
      </c>
      <c r="D189" s="110" t="s">
        <v>2</v>
      </c>
      <c r="E189" t="s">
        <v>29</v>
      </c>
      <c r="F189" s="68" t="s">
        <v>74</v>
      </c>
      <c r="G189" t="s">
        <v>33</v>
      </c>
      <c r="H189">
        <v>2</v>
      </c>
      <c r="I189">
        <f>LN(B189)</f>
        <v>-4.8928522584398726</v>
      </c>
      <c r="J189">
        <v>0.20928449536456342</v>
      </c>
      <c r="K189" t="s">
        <v>31</v>
      </c>
      <c r="L189" t="s">
        <v>31</v>
      </c>
      <c r="M189" t="s">
        <v>31</v>
      </c>
      <c r="O189" s="159" t="s">
        <v>857</v>
      </c>
      <c r="P189" s="133">
        <v>7.5</v>
      </c>
      <c r="Q189" t="s">
        <v>275</v>
      </c>
      <c r="R189">
        <f>0.001*P189</f>
        <v>7.4999999999999997E-3</v>
      </c>
    </row>
    <row r="190" spans="1:18" s="73" customFormat="1" ht="15.6">
      <c r="A190" s="76" t="s">
        <v>5</v>
      </c>
      <c r="B190" s="106" t="s">
        <v>1866</v>
      </c>
      <c r="C190" s="74"/>
    </row>
    <row r="191" spans="1:18">
      <c r="A191" s="70" t="s">
        <v>7</v>
      </c>
      <c r="B191" t="s">
        <v>1709</v>
      </c>
      <c r="C191" s="72"/>
    </row>
    <row r="192" spans="1:18">
      <c r="A192" s="113" t="s">
        <v>9</v>
      </c>
      <c r="B192" t="s">
        <v>1867</v>
      </c>
      <c r="C192" s="72"/>
    </row>
    <row r="193" spans="1:21" ht="15.75" customHeight="1">
      <c r="A193" s="70" t="s">
        <v>11</v>
      </c>
      <c r="B193" s="71" t="s">
        <v>841</v>
      </c>
    </row>
    <row r="194" spans="1:21">
      <c r="A194" s="70" t="s">
        <v>13</v>
      </c>
      <c r="B194" t="s">
        <v>14</v>
      </c>
      <c r="R194" s="143" t="s">
        <v>937</v>
      </c>
    </row>
    <row r="195" spans="1:21">
      <c r="A195" s="70" t="s">
        <v>15</v>
      </c>
      <c r="B195" s="112">
        <f>B200</f>
        <v>0.65</v>
      </c>
      <c r="R195" t="s">
        <v>938</v>
      </c>
      <c r="S195">
        <v>8900</v>
      </c>
      <c r="T195" t="s">
        <v>939</v>
      </c>
    </row>
    <row r="196" spans="1:21">
      <c r="A196" s="70" t="s">
        <v>16</v>
      </c>
      <c r="B196" t="s">
        <v>17</v>
      </c>
      <c r="R196" t="s">
        <v>940</v>
      </c>
      <c r="S196">
        <f>5*10^-6</f>
        <v>4.9999999999999996E-6</v>
      </c>
      <c r="T196" t="s">
        <v>941</v>
      </c>
    </row>
    <row r="197" spans="1:21">
      <c r="A197" s="70" t="s">
        <v>18</v>
      </c>
      <c r="B197" t="s">
        <v>853</v>
      </c>
      <c r="R197" s="141" t="s">
        <v>942</v>
      </c>
      <c r="S197" s="140">
        <f>S196*S195</f>
        <v>4.4499999999999998E-2</v>
      </c>
      <c r="T197" s="139" t="s">
        <v>943</v>
      </c>
    </row>
    <row r="198" spans="1:21" ht="15.6">
      <c r="A198" s="69" t="s">
        <v>19</v>
      </c>
    </row>
    <row r="199" spans="1:21" ht="15.6">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945</v>
      </c>
      <c r="U199" s="129"/>
    </row>
    <row r="200" spans="1:21" ht="15.6">
      <c r="A200" t="s">
        <v>1866</v>
      </c>
      <c r="B200" s="157">
        <v>0.65</v>
      </c>
      <c r="C200" t="s">
        <v>853</v>
      </c>
      <c r="D200" s="110" t="s">
        <v>2</v>
      </c>
      <c r="E200" t="s">
        <v>29</v>
      </c>
      <c r="F200" t="s">
        <v>14</v>
      </c>
      <c r="G200" t="s">
        <v>30</v>
      </c>
      <c r="H200">
        <v>1</v>
      </c>
      <c r="I200">
        <f>B200</f>
        <v>0.65</v>
      </c>
      <c r="J200" t="s">
        <v>31</v>
      </c>
      <c r="K200" t="s">
        <v>31</v>
      </c>
      <c r="L200" t="s">
        <v>31</v>
      </c>
      <c r="M200" t="s">
        <v>31</v>
      </c>
      <c r="O200" s="165" t="s">
        <v>944</v>
      </c>
      <c r="P200" s="142">
        <f>B200*100</f>
        <v>65</v>
      </c>
      <c r="R200" s="137">
        <v>0.69</v>
      </c>
      <c r="S200" s="136" t="s">
        <v>855</v>
      </c>
      <c r="T200" s="137">
        <f>R200*S197</f>
        <v>3.0704999999999996E-2</v>
      </c>
      <c r="U200" s="136" t="s">
        <v>275</v>
      </c>
    </row>
    <row r="201" spans="1:21" ht="15.6">
      <c r="A201" t="s">
        <v>1868</v>
      </c>
      <c r="B201" s="157">
        <v>0.65</v>
      </c>
      <c r="C201" t="s">
        <v>853</v>
      </c>
      <c r="D201" s="110" t="s">
        <v>2</v>
      </c>
      <c r="E201" t="s">
        <v>29</v>
      </c>
      <c r="F201" t="s">
        <v>14</v>
      </c>
      <c r="G201" t="s">
        <v>33</v>
      </c>
      <c r="H201">
        <v>1</v>
      </c>
      <c r="I201">
        <f>B201</f>
        <v>0.65</v>
      </c>
      <c r="J201">
        <v>7.2284161474004766E-2</v>
      </c>
      <c r="K201" t="s">
        <v>31</v>
      </c>
      <c r="L201" t="s">
        <v>31</v>
      </c>
      <c r="M201" t="s">
        <v>31</v>
      </c>
      <c r="O201" s="97" t="s">
        <v>944</v>
      </c>
      <c r="P201" s="107">
        <f>B201*100</f>
        <v>65</v>
      </c>
    </row>
    <row r="202" spans="1:21" ht="15.6">
      <c r="A202" s="58" t="s">
        <v>1822</v>
      </c>
      <c r="B202" s="122">
        <f>T200</f>
        <v>3.0704999999999996E-2</v>
      </c>
      <c r="C202" t="s">
        <v>37</v>
      </c>
      <c r="D202" s="110" t="s">
        <v>2</v>
      </c>
      <c r="E202" t="s">
        <v>29</v>
      </c>
      <c r="F202" s="68" t="s">
        <v>14</v>
      </c>
      <c r="G202" t="s">
        <v>33</v>
      </c>
      <c r="H202">
        <v>1</v>
      </c>
      <c r="I202">
        <f>B202</f>
        <v>3.0704999999999996E-2</v>
      </c>
      <c r="J202">
        <v>7.2284161474004766E-2</v>
      </c>
      <c r="K202" t="s">
        <v>31</v>
      </c>
      <c r="L202" t="s">
        <v>31</v>
      </c>
      <c r="M202" t="s">
        <v>31</v>
      </c>
      <c r="O202" s="58"/>
      <c r="P202" s="114"/>
    </row>
    <row r="203" spans="1:21" ht="15.6">
      <c r="A203" s="67" t="s">
        <v>844</v>
      </c>
      <c r="B203">
        <f>P203</f>
        <v>5.5</v>
      </c>
      <c r="C203" t="s">
        <v>37</v>
      </c>
      <c r="D203" s="17" t="s">
        <v>416</v>
      </c>
      <c r="E203" t="s">
        <v>29</v>
      </c>
      <c r="F203" s="68" t="s">
        <v>74</v>
      </c>
      <c r="G203" t="s">
        <v>33</v>
      </c>
      <c r="H203">
        <v>2</v>
      </c>
      <c r="I203">
        <f>LN(B203)</f>
        <v>1.7047480922384253</v>
      </c>
      <c r="J203">
        <v>7.2284161474004766E-2</v>
      </c>
      <c r="K203" t="s">
        <v>31</v>
      </c>
      <c r="L203" t="s">
        <v>31</v>
      </c>
      <c r="M203" t="s">
        <v>31</v>
      </c>
      <c r="O203" s="97" t="s">
        <v>275</v>
      </c>
      <c r="P203" s="107">
        <v>5.5</v>
      </c>
    </row>
    <row r="204" spans="1:21" ht="15.6">
      <c r="A204" s="84" t="s">
        <v>924</v>
      </c>
      <c r="B204" s="164">
        <f>R204</f>
        <v>2.9999999999999999E-7</v>
      </c>
      <c r="C204" t="s">
        <v>37</v>
      </c>
      <c r="D204" s="17" t="s">
        <v>416</v>
      </c>
      <c r="E204" t="s">
        <v>29</v>
      </c>
      <c r="F204" s="68" t="s">
        <v>59</v>
      </c>
      <c r="G204" t="s">
        <v>33</v>
      </c>
      <c r="H204">
        <v>2</v>
      </c>
      <c r="I204">
        <f>LN(B204)</f>
        <v>-15.01948336229021</v>
      </c>
      <c r="J204">
        <v>7.2284161474004766E-2</v>
      </c>
      <c r="K204" t="s">
        <v>31</v>
      </c>
      <c r="L204" t="s">
        <v>31</v>
      </c>
      <c r="M204" t="s">
        <v>31</v>
      </c>
      <c r="O204" s="128" t="s">
        <v>862</v>
      </c>
      <c r="P204" s="145">
        <v>0.3</v>
      </c>
      <c r="Q204" t="s">
        <v>275</v>
      </c>
      <c r="R204">
        <f>0.000001*P204</f>
        <v>2.9999999999999999E-7</v>
      </c>
    </row>
    <row r="205" spans="1:21" ht="15.6">
      <c r="A205" s="84" t="s">
        <v>76</v>
      </c>
      <c r="B205" s="164">
        <f>R205</f>
        <v>5.4999999999999997E-3</v>
      </c>
      <c r="C205" t="s">
        <v>42</v>
      </c>
      <c r="D205" s="17" t="s">
        <v>416</v>
      </c>
      <c r="E205" t="s">
        <v>29</v>
      </c>
      <c r="F205" s="68" t="s">
        <v>74</v>
      </c>
      <c r="G205" t="s">
        <v>33</v>
      </c>
      <c r="H205">
        <v>2</v>
      </c>
      <c r="I205">
        <f>LN(B205)</f>
        <v>-5.2030071867437115</v>
      </c>
      <c r="J205">
        <v>7.2284161474004766E-2</v>
      </c>
      <c r="K205" t="s">
        <v>31</v>
      </c>
      <c r="L205" t="s">
        <v>31</v>
      </c>
      <c r="M205" t="s">
        <v>31</v>
      </c>
      <c r="O205" s="124" t="s">
        <v>913</v>
      </c>
      <c r="P205" s="123">
        <v>5.5</v>
      </c>
      <c r="Q205" t="s">
        <v>274</v>
      </c>
      <c r="R205">
        <f>0.001*P205</f>
        <v>5.4999999999999997E-3</v>
      </c>
    </row>
    <row r="206" spans="1:21" s="73" customFormat="1" ht="15.6">
      <c r="A206" s="76" t="s">
        <v>5</v>
      </c>
      <c r="B206" s="106" t="s">
        <v>1868</v>
      </c>
      <c r="C206" s="74"/>
    </row>
    <row r="207" spans="1:21">
      <c r="A207" s="70" t="s">
        <v>7</v>
      </c>
      <c r="B207" t="s">
        <v>1709</v>
      </c>
      <c r="C207" s="72"/>
    </row>
    <row r="208" spans="1:21">
      <c r="A208" s="113" t="s">
        <v>9</v>
      </c>
      <c r="B208" t="s">
        <v>1869</v>
      </c>
      <c r="C208" s="72"/>
    </row>
    <row r="209" spans="1:19" ht="15.75" customHeight="1">
      <c r="A209" s="70" t="s">
        <v>11</v>
      </c>
      <c r="B209" s="71" t="s">
        <v>841</v>
      </c>
    </row>
    <row r="210" spans="1:19">
      <c r="A210" s="70" t="s">
        <v>13</v>
      </c>
      <c r="B210" t="s">
        <v>14</v>
      </c>
    </row>
    <row r="211" spans="1:19">
      <c r="A211" s="70" t="s">
        <v>15</v>
      </c>
      <c r="B211" s="112">
        <f>B216</f>
        <v>0.65</v>
      </c>
    </row>
    <row r="212" spans="1:19">
      <c r="A212" s="70" t="s">
        <v>16</v>
      </c>
      <c r="B212" t="s">
        <v>17</v>
      </c>
    </row>
    <row r="213" spans="1:19">
      <c r="A213" s="70" t="s">
        <v>18</v>
      </c>
      <c r="B213" t="s">
        <v>853</v>
      </c>
      <c r="S213" s="111"/>
    </row>
    <row r="214" spans="1:19" ht="15.6">
      <c r="A214" s="69" t="s">
        <v>19</v>
      </c>
    </row>
    <row r="215" spans="1:19" ht="15.6">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6">
      <c r="A216" t="s">
        <v>1868</v>
      </c>
      <c r="B216" s="111">
        <f>P216</f>
        <v>0.65</v>
      </c>
      <c r="C216" t="s">
        <v>853</v>
      </c>
      <c r="D216" s="110" t="s">
        <v>2</v>
      </c>
      <c r="E216" t="s">
        <v>29</v>
      </c>
      <c r="F216" t="s">
        <v>14</v>
      </c>
      <c r="G216" t="s">
        <v>30</v>
      </c>
      <c r="H216">
        <v>1</v>
      </c>
      <c r="I216" s="111">
        <f>B216</f>
        <v>0.65</v>
      </c>
      <c r="J216" t="s">
        <v>31</v>
      </c>
      <c r="K216" t="s">
        <v>31</v>
      </c>
      <c r="L216" t="s">
        <v>31</v>
      </c>
      <c r="M216" t="s">
        <v>31</v>
      </c>
      <c r="O216" s="97" t="s">
        <v>855</v>
      </c>
      <c r="P216" s="157">
        <v>0.65</v>
      </c>
    </row>
    <row r="217" spans="1:19" ht="15.6">
      <c r="A217" t="s">
        <v>1826</v>
      </c>
      <c r="B217" s="111">
        <f>B.Reused!B81</f>
        <v>3.54</v>
      </c>
      <c r="C217" t="s">
        <v>37</v>
      </c>
      <c r="D217" s="110" t="s">
        <v>2</v>
      </c>
      <c r="E217" t="s">
        <v>29</v>
      </c>
      <c r="F217" t="s">
        <v>14</v>
      </c>
      <c r="G217" t="s">
        <v>33</v>
      </c>
      <c r="H217">
        <v>1</v>
      </c>
      <c r="I217" s="111">
        <f>B217</f>
        <v>3.54</v>
      </c>
      <c r="J217" t="s">
        <v>31</v>
      </c>
      <c r="K217" t="s">
        <v>31</v>
      </c>
      <c r="L217" t="s">
        <v>31</v>
      </c>
      <c r="M217" t="s">
        <v>31</v>
      </c>
      <c r="O217" s="109"/>
      <c r="P217" s="157">
        <v>0.65</v>
      </c>
      <c r="Q217" t="s">
        <v>1870</v>
      </c>
    </row>
    <row r="218" spans="1:19" ht="15.6">
      <c r="A218" s="67" t="s">
        <v>38</v>
      </c>
      <c r="B218" s="115">
        <f>P218</f>
        <v>0.31</v>
      </c>
      <c r="C218" t="s">
        <v>39</v>
      </c>
      <c r="D218" s="17" t="s">
        <v>416</v>
      </c>
      <c r="E218" t="s">
        <v>29</v>
      </c>
      <c r="F218" s="68" t="s">
        <v>35</v>
      </c>
      <c r="G218" t="s">
        <v>33</v>
      </c>
      <c r="H218">
        <v>2</v>
      </c>
      <c r="I218">
        <f>LN(B218)</f>
        <v>-1.1711829815029451</v>
      </c>
      <c r="J218">
        <v>7.2284161474004766E-2</v>
      </c>
      <c r="K218" t="s">
        <v>31</v>
      </c>
      <c r="L218" t="s">
        <v>31</v>
      </c>
      <c r="M218" t="s">
        <v>31</v>
      </c>
      <c r="O218" s="97" t="s">
        <v>271</v>
      </c>
      <c r="P218" s="107">
        <v>0.31</v>
      </c>
    </row>
    <row r="219" spans="1:19" ht="15.6">
      <c r="A219" s="84" t="s">
        <v>491</v>
      </c>
      <c r="B219">
        <f>R219</f>
        <v>7.0000000000000001E-3</v>
      </c>
      <c r="C219" s="111" t="s">
        <v>37</v>
      </c>
      <c r="D219" s="17" t="s">
        <v>416</v>
      </c>
      <c r="E219" t="s">
        <v>29</v>
      </c>
      <c r="F219" t="s">
        <v>59</v>
      </c>
      <c r="G219" t="s">
        <v>33</v>
      </c>
      <c r="H219">
        <v>2</v>
      </c>
      <c r="I219">
        <f>LN(B219)</f>
        <v>-4.9618451299268234</v>
      </c>
      <c r="J219">
        <v>7.2284161474004766E-2</v>
      </c>
      <c r="K219" t="s">
        <v>31</v>
      </c>
      <c r="L219" t="s">
        <v>31</v>
      </c>
      <c r="M219" t="s">
        <v>31</v>
      </c>
      <c r="O219" s="97" t="s">
        <v>857</v>
      </c>
      <c r="P219" s="107">
        <v>7</v>
      </c>
      <c r="Q219" t="s">
        <v>275</v>
      </c>
      <c r="R219">
        <f>P219*0.001</f>
        <v>7.0000000000000001E-3</v>
      </c>
    </row>
    <row r="220" spans="1:19" ht="15.6">
      <c r="A220" s="116" t="s">
        <v>921</v>
      </c>
      <c r="B220">
        <f>R220</f>
        <v>1.3000000000000001E-2</v>
      </c>
      <c r="C220" t="s">
        <v>37</v>
      </c>
      <c r="D220" s="17" t="s">
        <v>416</v>
      </c>
      <c r="E220" t="s">
        <v>29</v>
      </c>
      <c r="F220" s="68" t="s">
        <v>35</v>
      </c>
      <c r="G220" t="s">
        <v>33</v>
      </c>
      <c r="H220">
        <v>2</v>
      </c>
      <c r="I220">
        <f>LN(B220)</f>
        <v>-4.3428059215206005</v>
      </c>
      <c r="J220">
        <v>7.2284161474004766E-2</v>
      </c>
      <c r="K220" t="s">
        <v>31</v>
      </c>
      <c r="L220" t="s">
        <v>31</v>
      </c>
      <c r="M220" t="s">
        <v>31</v>
      </c>
      <c r="O220" s="97" t="s">
        <v>857</v>
      </c>
      <c r="P220" s="107">
        <v>13</v>
      </c>
      <c r="Q220" t="s">
        <v>275</v>
      </c>
      <c r="R220">
        <f>P220*0.001</f>
        <v>1.3000000000000001E-2</v>
      </c>
    </row>
    <row r="221" spans="1:19" ht="15.6">
      <c r="A221" s="67" t="s">
        <v>844</v>
      </c>
      <c r="B221">
        <f>R221</f>
        <v>11.7</v>
      </c>
      <c r="C221" t="s">
        <v>37</v>
      </c>
      <c r="D221" s="17" t="s">
        <v>416</v>
      </c>
      <c r="E221" t="s">
        <v>29</v>
      </c>
      <c r="F221" s="68" t="s">
        <v>74</v>
      </c>
      <c r="G221" t="s">
        <v>33</v>
      </c>
      <c r="H221">
        <v>2</v>
      </c>
      <c r="I221">
        <f>LN(B221)</f>
        <v>2.4595888418037104</v>
      </c>
      <c r="J221">
        <v>7.2284161474004766E-2</v>
      </c>
      <c r="K221" t="s">
        <v>31</v>
      </c>
      <c r="L221" t="s">
        <v>31</v>
      </c>
      <c r="M221" t="s">
        <v>31</v>
      </c>
      <c r="O221" s="97" t="s">
        <v>275</v>
      </c>
      <c r="P221" s="107">
        <v>11.7</v>
      </c>
      <c r="Q221" t="s">
        <v>275</v>
      </c>
      <c r="R221">
        <f>P221</f>
        <v>11.7</v>
      </c>
    </row>
    <row r="222" spans="1:19" ht="15.6">
      <c r="A222" s="84" t="s">
        <v>76</v>
      </c>
      <c r="B222">
        <f>R222</f>
        <v>1.17E-2</v>
      </c>
      <c r="C222" t="s">
        <v>42</v>
      </c>
      <c r="D222" s="17" t="s">
        <v>416</v>
      </c>
      <c r="E222" t="s">
        <v>29</v>
      </c>
      <c r="F222" s="68" t="s">
        <v>74</v>
      </c>
      <c r="G222" t="s">
        <v>33</v>
      </c>
      <c r="H222">
        <v>2</v>
      </c>
      <c r="I222">
        <f>LN(B222)</f>
        <v>-4.4481664371784264</v>
      </c>
      <c r="J222">
        <v>7.2284161474004766E-2</v>
      </c>
      <c r="K222" t="s">
        <v>31</v>
      </c>
      <c r="L222" t="s">
        <v>31</v>
      </c>
      <c r="M222" t="s">
        <v>31</v>
      </c>
      <c r="O222" s="124" t="s">
        <v>913</v>
      </c>
      <c r="P222" s="123">
        <v>11.7</v>
      </c>
      <c r="Q222" t="s">
        <v>274</v>
      </c>
      <c r="R222">
        <f>0.001*P222</f>
        <v>1.17E-2</v>
      </c>
    </row>
    <row r="223" spans="1:19" s="73" customFormat="1" ht="15.6">
      <c r="A223" s="76" t="s">
        <v>5</v>
      </c>
      <c r="B223" s="161" t="s">
        <v>1861</v>
      </c>
      <c r="C223" s="74"/>
      <c r="P223"/>
    </row>
    <row r="224" spans="1:19">
      <c r="A224" s="70" t="s">
        <v>7</v>
      </c>
      <c r="B224" t="s">
        <v>1709</v>
      </c>
      <c r="C224" s="72"/>
    </row>
    <row r="225" spans="1:16">
      <c r="A225" s="113" t="s">
        <v>9</v>
      </c>
      <c r="B225" t="s">
        <v>1871</v>
      </c>
      <c r="C225" s="72"/>
    </row>
    <row r="226" spans="1:16" ht="15.75" customHeight="1">
      <c r="A226" s="70" t="s">
        <v>11</v>
      </c>
      <c r="B226" s="71" t="s">
        <v>841</v>
      </c>
    </row>
    <row r="227" spans="1:16">
      <c r="A227" s="70" t="s">
        <v>13</v>
      </c>
      <c r="B227" t="s">
        <v>14</v>
      </c>
    </row>
    <row r="228" spans="1:16">
      <c r="A228" s="70" t="s">
        <v>15</v>
      </c>
      <c r="B228" s="112">
        <f>B233</f>
        <v>1.6E-2</v>
      </c>
    </row>
    <row r="229" spans="1:16">
      <c r="A229" s="70" t="s">
        <v>16</v>
      </c>
      <c r="B229" t="s">
        <v>17</v>
      </c>
    </row>
    <row r="230" spans="1:16">
      <c r="A230" s="70" t="s">
        <v>18</v>
      </c>
      <c r="B230" t="s">
        <v>853</v>
      </c>
    </row>
    <row r="231" spans="1:16" ht="15.6">
      <c r="A231" s="69" t="s">
        <v>19</v>
      </c>
    </row>
    <row r="232" spans="1:16" ht="15.6">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6">
      <c r="A233" t="s">
        <v>1861</v>
      </c>
      <c r="B233" s="111">
        <f>P233</f>
        <v>1.6E-2</v>
      </c>
      <c r="C233" t="s">
        <v>853</v>
      </c>
      <c r="D233" s="110" t="s">
        <v>2</v>
      </c>
      <c r="E233" t="s">
        <v>29</v>
      </c>
      <c r="F233" s="68" t="s">
        <v>14</v>
      </c>
      <c r="G233" t="s">
        <v>30</v>
      </c>
      <c r="H233">
        <v>1</v>
      </c>
      <c r="I233" s="111">
        <f>B233</f>
        <v>1.6E-2</v>
      </c>
      <c r="J233" t="s">
        <v>31</v>
      </c>
      <c r="K233" t="s">
        <v>31</v>
      </c>
      <c r="L233" t="s">
        <v>31</v>
      </c>
      <c r="M233" t="s">
        <v>31</v>
      </c>
      <c r="O233" s="163" t="s">
        <v>873</v>
      </c>
      <c r="P233" s="151">
        <v>1.6E-2</v>
      </c>
    </row>
    <row r="234" spans="1:16" ht="15.6">
      <c r="A234" t="s">
        <v>1872</v>
      </c>
      <c r="B234" s="111">
        <f>B254</f>
        <v>1.6E-2</v>
      </c>
      <c r="C234" t="s">
        <v>853</v>
      </c>
      <c r="D234" s="110" t="s">
        <v>2</v>
      </c>
      <c r="E234" t="s">
        <v>29</v>
      </c>
      <c r="F234" s="68" t="s">
        <v>14</v>
      </c>
      <c r="G234" t="s">
        <v>33</v>
      </c>
      <c r="H234">
        <v>1</v>
      </c>
      <c r="I234" s="111">
        <f>B234</f>
        <v>1.6E-2</v>
      </c>
      <c r="J234" t="s">
        <v>31</v>
      </c>
      <c r="K234" t="s">
        <v>31</v>
      </c>
      <c r="L234" t="s">
        <v>31</v>
      </c>
      <c r="M234" t="s">
        <v>31</v>
      </c>
      <c r="O234" s="163" t="s">
        <v>873</v>
      </c>
      <c r="P234" s="162"/>
    </row>
    <row r="235" spans="1:16" ht="15.6">
      <c r="A235" t="s">
        <v>1873</v>
      </c>
      <c r="B235" s="111">
        <f>B242</f>
        <v>2.7500000000000003E-3</v>
      </c>
      <c r="C235" t="s">
        <v>853</v>
      </c>
      <c r="D235" s="110" t="s">
        <v>2</v>
      </c>
      <c r="E235" t="s">
        <v>29</v>
      </c>
      <c r="F235" s="68" t="s">
        <v>14</v>
      </c>
      <c r="G235" t="s">
        <v>33</v>
      </c>
      <c r="H235">
        <v>1</v>
      </c>
      <c r="I235" s="111">
        <f>B235</f>
        <v>2.7500000000000003E-3</v>
      </c>
      <c r="J235" t="s">
        <v>31</v>
      </c>
      <c r="K235" t="s">
        <v>31</v>
      </c>
      <c r="L235" t="s">
        <v>31</v>
      </c>
      <c r="M235" t="s">
        <v>31</v>
      </c>
      <c r="O235" s="94" t="s">
        <v>873</v>
      </c>
      <c r="P235" s="151"/>
    </row>
    <row r="236" spans="1:16" ht="15.6">
      <c r="A236" s="67" t="s">
        <v>38</v>
      </c>
      <c r="B236" s="111">
        <f>P236</f>
        <v>0.38</v>
      </c>
      <c r="C236" t="s">
        <v>39</v>
      </c>
      <c r="D236" s="17" t="s">
        <v>416</v>
      </c>
      <c r="E236" t="s">
        <v>29</v>
      </c>
      <c r="F236" s="68" t="s">
        <v>35</v>
      </c>
      <c r="G236" t="s">
        <v>33</v>
      </c>
      <c r="H236">
        <v>2</v>
      </c>
      <c r="I236">
        <f>LN(B236)</f>
        <v>-0.96758402626170559</v>
      </c>
      <c r="J236">
        <v>0.20928449536456342</v>
      </c>
      <c r="K236" t="s">
        <v>31</v>
      </c>
      <c r="L236" t="s">
        <v>31</v>
      </c>
      <c r="M236" t="s">
        <v>31</v>
      </c>
      <c r="O236" s="97" t="s">
        <v>271</v>
      </c>
      <c r="P236" s="107">
        <v>0.38</v>
      </c>
    </row>
    <row r="237" spans="1:16" s="73" customFormat="1" ht="15.6">
      <c r="A237" s="76" t="s">
        <v>5</v>
      </c>
      <c r="B237" s="161" t="s">
        <v>1873</v>
      </c>
      <c r="C237" s="74"/>
    </row>
    <row r="238" spans="1:16">
      <c r="A238" s="70" t="s">
        <v>7</v>
      </c>
      <c r="B238" t="s">
        <v>1709</v>
      </c>
      <c r="C238" s="72"/>
    </row>
    <row r="239" spans="1:16">
      <c r="A239" s="113" t="s">
        <v>9</v>
      </c>
      <c r="B239" t="s">
        <v>1874</v>
      </c>
      <c r="C239" s="72"/>
    </row>
    <row r="240" spans="1:16" ht="15.75" customHeight="1">
      <c r="A240" s="70" t="s">
        <v>11</v>
      </c>
      <c r="B240" s="71" t="s">
        <v>841</v>
      </c>
    </row>
    <row r="241" spans="1:19">
      <c r="A241" s="70" t="s">
        <v>13</v>
      </c>
      <c r="B241" t="s">
        <v>14</v>
      </c>
    </row>
    <row r="242" spans="1:19">
      <c r="A242" s="70" t="s">
        <v>15</v>
      </c>
      <c r="B242" s="111">
        <f>B247</f>
        <v>2.7500000000000003E-3</v>
      </c>
    </row>
    <row r="243" spans="1:19">
      <c r="A243" s="70" t="s">
        <v>16</v>
      </c>
      <c r="B243" t="s">
        <v>17</v>
      </c>
    </row>
    <row r="244" spans="1:19">
      <c r="A244" s="70" t="s">
        <v>18</v>
      </c>
      <c r="B244" t="s">
        <v>853</v>
      </c>
    </row>
    <row r="245" spans="1:19" ht="15.6">
      <c r="A245" s="69" t="s">
        <v>19</v>
      </c>
    </row>
    <row r="246" spans="1:19" ht="15.6">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6">
      <c r="A247" t="s">
        <v>1873</v>
      </c>
      <c r="B247" s="111">
        <f>S247</f>
        <v>2.7500000000000003E-3</v>
      </c>
      <c r="C247" t="s">
        <v>853</v>
      </c>
      <c r="D247" s="110" t="s">
        <v>2</v>
      </c>
      <c r="E247" t="s">
        <v>29</v>
      </c>
      <c r="F247" s="68" t="s">
        <v>14</v>
      </c>
      <c r="G247" t="s">
        <v>30</v>
      </c>
      <c r="H247">
        <v>1</v>
      </c>
      <c r="I247" s="111">
        <f>B247</f>
        <v>2.7500000000000003E-3</v>
      </c>
      <c r="J247" t="s">
        <v>31</v>
      </c>
      <c r="K247" t="s">
        <v>31</v>
      </c>
      <c r="L247" t="s">
        <v>31</v>
      </c>
      <c r="M247" t="s">
        <v>31</v>
      </c>
      <c r="P247" s="97" t="s">
        <v>1183</v>
      </c>
      <c r="Q247" s="107">
        <v>27.5</v>
      </c>
      <c r="R247" t="s">
        <v>855</v>
      </c>
      <c r="S247">
        <f>Q247*0.0001</f>
        <v>2.7500000000000003E-3</v>
      </c>
    </row>
    <row r="248" spans="1:19">
      <c r="A248" s="84" t="s">
        <v>1002</v>
      </c>
      <c r="B248" s="111">
        <f>S248</f>
        <v>2.7500000000000003E-3</v>
      </c>
      <c r="C248" t="s">
        <v>853</v>
      </c>
      <c r="D248" t="s">
        <v>416</v>
      </c>
      <c r="E248" t="s">
        <v>29</v>
      </c>
      <c r="F248" t="s">
        <v>59</v>
      </c>
      <c r="G248" t="s">
        <v>33</v>
      </c>
      <c r="H248">
        <v>2</v>
      </c>
      <c r="I248">
        <f>LN(B248)</f>
        <v>-5.8961543673036569</v>
      </c>
      <c r="J248">
        <v>3.7749172176353707E-2</v>
      </c>
      <c r="K248" t="s">
        <v>31</v>
      </c>
      <c r="L248" t="s">
        <v>31</v>
      </c>
      <c r="M248" t="s">
        <v>31</v>
      </c>
      <c r="P248" s="94" t="s">
        <v>1183</v>
      </c>
      <c r="Q248" s="107">
        <v>27.5</v>
      </c>
      <c r="R248" t="s">
        <v>855</v>
      </c>
      <c r="S248">
        <f>Q248*0.0001</f>
        <v>2.7500000000000003E-3</v>
      </c>
    </row>
    <row r="249" spans="1:19" s="73" customFormat="1" ht="15.6">
      <c r="A249" s="76" t="s">
        <v>5</v>
      </c>
      <c r="B249" s="106" t="s">
        <v>1872</v>
      </c>
    </row>
    <row r="250" spans="1:19">
      <c r="A250" s="70" t="s">
        <v>7</v>
      </c>
      <c r="B250" t="s">
        <v>1709</v>
      </c>
      <c r="C250" s="72"/>
    </row>
    <row r="251" spans="1:19">
      <c r="A251" s="113" t="s">
        <v>9</v>
      </c>
      <c r="B251" t="s">
        <v>1875</v>
      </c>
      <c r="C251" s="72"/>
    </row>
    <row r="252" spans="1:19" ht="15.75" customHeight="1">
      <c r="A252" s="70" t="s">
        <v>11</v>
      </c>
      <c r="B252" s="71" t="s">
        <v>841</v>
      </c>
    </row>
    <row r="253" spans="1:19">
      <c r="A253" s="70" t="s">
        <v>13</v>
      </c>
      <c r="B253" t="s">
        <v>14</v>
      </c>
    </row>
    <row r="254" spans="1:19">
      <c r="A254" s="70" t="s">
        <v>15</v>
      </c>
      <c r="B254" s="111">
        <f>B259</f>
        <v>1.6E-2</v>
      </c>
    </row>
    <row r="255" spans="1:19">
      <c r="A255" s="70" t="s">
        <v>16</v>
      </c>
      <c r="B255" t="s">
        <v>17</v>
      </c>
    </row>
    <row r="256" spans="1:19">
      <c r="A256" s="70" t="s">
        <v>18</v>
      </c>
      <c r="B256" t="s">
        <v>853</v>
      </c>
    </row>
    <row r="257" spans="1:18" ht="15.6">
      <c r="A257" s="69" t="s">
        <v>19</v>
      </c>
    </row>
    <row r="258" spans="1:18" ht="15.6">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6">
      <c r="A259" t="s">
        <v>1872</v>
      </c>
      <c r="B259" s="111">
        <f>B260</f>
        <v>1.6E-2</v>
      </c>
      <c r="C259" t="s">
        <v>853</v>
      </c>
      <c r="D259" s="110" t="s">
        <v>2</v>
      </c>
      <c r="E259" t="s">
        <v>29</v>
      </c>
      <c r="F259" s="68" t="s">
        <v>14</v>
      </c>
      <c r="G259" t="s">
        <v>30</v>
      </c>
      <c r="H259">
        <v>1</v>
      </c>
      <c r="I259" s="111">
        <f>B259</f>
        <v>1.6E-2</v>
      </c>
      <c r="J259" t="s">
        <v>31</v>
      </c>
      <c r="K259" t="s">
        <v>31</v>
      </c>
      <c r="L259" t="s">
        <v>31</v>
      </c>
      <c r="M259" t="s">
        <v>31</v>
      </c>
    </row>
    <row r="260" spans="1:18" ht="15.6">
      <c r="A260" t="s">
        <v>1876</v>
      </c>
      <c r="B260" s="111">
        <f>P260</f>
        <v>1.6E-2</v>
      </c>
      <c r="C260" t="s">
        <v>853</v>
      </c>
      <c r="D260" s="110" t="s">
        <v>2</v>
      </c>
      <c r="E260" t="s">
        <v>29</v>
      </c>
      <c r="F260" t="s">
        <v>14</v>
      </c>
      <c r="G260" t="s">
        <v>33</v>
      </c>
      <c r="H260">
        <v>1</v>
      </c>
      <c r="I260" s="111">
        <f>B260</f>
        <v>1.6E-2</v>
      </c>
      <c r="J260" t="s">
        <v>31</v>
      </c>
      <c r="K260" t="s">
        <v>31</v>
      </c>
      <c r="L260" t="s">
        <v>31</v>
      </c>
      <c r="M260" t="s">
        <v>31</v>
      </c>
      <c r="P260" s="160">
        <v>1.6E-2</v>
      </c>
    </row>
    <row r="261" spans="1:18" ht="15.6">
      <c r="A261" s="67" t="s">
        <v>38</v>
      </c>
      <c r="B261" s="115">
        <f>R261</f>
        <v>0.14000000000000001</v>
      </c>
      <c r="C261" t="s">
        <v>39</v>
      </c>
      <c r="D261" s="17" t="s">
        <v>416</v>
      </c>
      <c r="E261" t="s">
        <v>29</v>
      </c>
      <c r="F261" s="68" t="s">
        <v>35</v>
      </c>
      <c r="G261" t="s">
        <v>33</v>
      </c>
      <c r="H261">
        <v>2</v>
      </c>
      <c r="I261">
        <f>LN(B261)</f>
        <v>-1.9661128563728327</v>
      </c>
      <c r="J261">
        <v>0.20928449536456342</v>
      </c>
      <c r="K261" t="s">
        <v>31</v>
      </c>
      <c r="L261" t="s">
        <v>31</v>
      </c>
      <c r="M261" t="s">
        <v>31</v>
      </c>
      <c r="O261" s="80" t="s">
        <v>271</v>
      </c>
      <c r="P261" s="107">
        <v>0.14000000000000001</v>
      </c>
      <c r="Q261" t="s">
        <v>271</v>
      </c>
      <c r="R261" s="115">
        <f>P261</f>
        <v>0.14000000000000001</v>
      </c>
    </row>
    <row r="262" spans="1:18" ht="15.6">
      <c r="A262" s="84" t="s">
        <v>843</v>
      </c>
      <c r="B262">
        <f>R262</f>
        <v>4.4000000000000003E-3</v>
      </c>
      <c r="C262" t="s">
        <v>37</v>
      </c>
      <c r="D262" s="17" t="s">
        <v>416</v>
      </c>
      <c r="E262" t="s">
        <v>29</v>
      </c>
      <c r="F262" s="68" t="s">
        <v>35</v>
      </c>
      <c r="G262" t="s">
        <v>33</v>
      </c>
      <c r="H262">
        <v>2</v>
      </c>
      <c r="I262">
        <f>LN(B262)</f>
        <v>-5.4261507380579213</v>
      </c>
      <c r="J262">
        <v>0.20928449536456342</v>
      </c>
      <c r="K262" t="s">
        <v>31</v>
      </c>
      <c r="L262" t="s">
        <v>31</v>
      </c>
      <c r="M262" t="s">
        <v>31</v>
      </c>
      <c r="O262" s="97" t="s">
        <v>857</v>
      </c>
      <c r="P262" s="107">
        <v>4.4000000000000004</v>
      </c>
      <c r="Q262" t="s">
        <v>275</v>
      </c>
      <c r="R262">
        <f>0.001*P262</f>
        <v>4.4000000000000003E-3</v>
      </c>
    </row>
    <row r="263" spans="1:18" ht="15.6">
      <c r="A263" s="84" t="s">
        <v>489</v>
      </c>
      <c r="B263">
        <f>R263</f>
        <v>6.9999999999999999E-4</v>
      </c>
      <c r="C263" t="s">
        <v>37</v>
      </c>
      <c r="D263" s="17" t="s">
        <v>416</v>
      </c>
      <c r="E263" t="s">
        <v>29</v>
      </c>
      <c r="F263" s="68" t="s">
        <v>59</v>
      </c>
      <c r="G263" t="s">
        <v>33</v>
      </c>
      <c r="H263">
        <v>2</v>
      </c>
      <c r="I263">
        <f>LN(B263)</f>
        <v>-7.2644302229208693</v>
      </c>
      <c r="J263">
        <v>0.20928449536456342</v>
      </c>
      <c r="K263" t="s">
        <v>31</v>
      </c>
      <c r="L263" t="s">
        <v>31</v>
      </c>
      <c r="M263" t="s">
        <v>31</v>
      </c>
      <c r="O263" s="97" t="s">
        <v>857</v>
      </c>
      <c r="P263" s="107">
        <v>0.7</v>
      </c>
      <c r="Q263" t="s">
        <v>275</v>
      </c>
      <c r="R263">
        <f>0.001*P263</f>
        <v>6.9999999999999999E-4</v>
      </c>
    </row>
    <row r="264" spans="1:18" ht="15.6">
      <c r="A264" s="67" t="s">
        <v>844</v>
      </c>
      <c r="B264">
        <f>R264</f>
        <v>2.1700000000000001E-2</v>
      </c>
      <c r="C264" t="s">
        <v>37</v>
      </c>
      <c r="D264" s="17" t="s">
        <v>416</v>
      </c>
      <c r="E264" t="s">
        <v>29</v>
      </c>
      <c r="F264" s="68" t="s">
        <v>74</v>
      </c>
      <c r="G264" t="s">
        <v>33</v>
      </c>
      <c r="H264">
        <v>2</v>
      </c>
      <c r="I264">
        <f>LN(B264)</f>
        <v>-3.830443018435723</v>
      </c>
      <c r="J264">
        <v>0.20928449536456342</v>
      </c>
      <c r="K264" t="s">
        <v>31</v>
      </c>
      <c r="L264" t="s">
        <v>31</v>
      </c>
      <c r="M264" t="s">
        <v>31</v>
      </c>
      <c r="O264" s="97" t="s">
        <v>857</v>
      </c>
      <c r="P264" s="107">
        <v>21.7</v>
      </c>
      <c r="Q264" t="s">
        <v>275</v>
      </c>
      <c r="R264">
        <f>0.001*P264</f>
        <v>2.1700000000000001E-2</v>
      </c>
    </row>
    <row r="265" spans="1:18" ht="15.6">
      <c r="A265" s="17" t="s">
        <v>1712</v>
      </c>
      <c r="B265">
        <f>R265</f>
        <v>5.0999999999999995E-3</v>
      </c>
      <c r="C265" t="s">
        <v>37</v>
      </c>
      <c r="D265" s="110" t="s">
        <v>2</v>
      </c>
      <c r="E265" t="s">
        <v>29</v>
      </c>
      <c r="F265" s="68" t="s">
        <v>74</v>
      </c>
      <c r="G265" t="s">
        <v>33</v>
      </c>
      <c r="H265">
        <v>2</v>
      </c>
      <c r="I265">
        <f>LN(B265)</f>
        <v>-5.2785147392518574</v>
      </c>
      <c r="J265">
        <v>0.20928449536456342</v>
      </c>
      <c r="K265" t="s">
        <v>31</v>
      </c>
      <c r="L265" t="s">
        <v>31</v>
      </c>
      <c r="M265" t="s">
        <v>31</v>
      </c>
      <c r="O265" s="159" t="s">
        <v>857</v>
      </c>
      <c r="P265" s="123">
        <v>5.0999999999999996</v>
      </c>
      <c r="Q265" t="s">
        <v>275</v>
      </c>
      <c r="R265">
        <f>0.001*P265</f>
        <v>5.0999999999999995E-3</v>
      </c>
    </row>
    <row r="266" spans="1:18" s="73" customFormat="1" ht="15.6">
      <c r="A266" s="76" t="s">
        <v>5</v>
      </c>
      <c r="B266" s="106" t="s">
        <v>1876</v>
      </c>
    </row>
    <row r="267" spans="1:18">
      <c r="A267" s="70" t="s">
        <v>7</v>
      </c>
      <c r="B267" t="s">
        <v>1709</v>
      </c>
      <c r="C267" s="72"/>
    </row>
    <row r="268" spans="1:18">
      <c r="A268" s="113" t="s">
        <v>9</v>
      </c>
      <c r="B268" t="s">
        <v>1877</v>
      </c>
      <c r="C268" s="72"/>
    </row>
    <row r="269" spans="1:18" ht="15.75" customHeight="1">
      <c r="A269" s="70" t="s">
        <v>11</v>
      </c>
      <c r="B269" s="71" t="s">
        <v>841</v>
      </c>
    </row>
    <row r="270" spans="1:18">
      <c r="A270" s="70" t="s">
        <v>13</v>
      </c>
      <c r="B270" t="s">
        <v>14</v>
      </c>
    </row>
    <row r="271" spans="1:18">
      <c r="A271" s="70" t="s">
        <v>15</v>
      </c>
      <c r="B271" s="111">
        <f>B276</f>
        <v>1.6E-2</v>
      </c>
    </row>
    <row r="272" spans="1:18">
      <c r="A272" s="70" t="s">
        <v>16</v>
      </c>
      <c r="B272" t="s">
        <v>17</v>
      </c>
    </row>
    <row r="273" spans="1:18">
      <c r="A273" s="70" t="s">
        <v>18</v>
      </c>
      <c r="B273" t="s">
        <v>853</v>
      </c>
    </row>
    <row r="274" spans="1:18" ht="15.6">
      <c r="A274" s="69" t="s">
        <v>19</v>
      </c>
    </row>
    <row r="275" spans="1:18" ht="15.6">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6">
      <c r="A276" t="s">
        <v>1876</v>
      </c>
      <c r="B276" s="111">
        <f>P277</f>
        <v>1.6E-2</v>
      </c>
      <c r="C276" t="s">
        <v>853</v>
      </c>
      <c r="D276" s="110" t="s">
        <v>2</v>
      </c>
      <c r="E276" t="s">
        <v>29</v>
      </c>
      <c r="F276" t="s">
        <v>14</v>
      </c>
      <c r="G276" t="s">
        <v>30</v>
      </c>
      <c r="H276">
        <v>1</v>
      </c>
      <c r="I276" s="111">
        <f>B276</f>
        <v>1.6E-2</v>
      </c>
      <c r="J276" t="s">
        <v>31</v>
      </c>
      <c r="K276" t="s">
        <v>31</v>
      </c>
      <c r="L276" t="s">
        <v>31</v>
      </c>
      <c r="M276" t="s">
        <v>31</v>
      </c>
    </row>
    <row r="277" spans="1:18" ht="15.6">
      <c r="A277" t="s">
        <v>1878</v>
      </c>
      <c r="B277" s="111">
        <f>P277</f>
        <v>1.6E-2</v>
      </c>
      <c r="C277" t="s">
        <v>853</v>
      </c>
      <c r="D277" s="110" t="s">
        <v>2</v>
      </c>
      <c r="E277" t="s">
        <v>29</v>
      </c>
      <c r="F277" t="s">
        <v>14</v>
      </c>
      <c r="G277" t="s">
        <v>33</v>
      </c>
      <c r="H277">
        <v>1</v>
      </c>
      <c r="I277" s="111">
        <f>B277</f>
        <v>1.6E-2</v>
      </c>
      <c r="J277" t="s">
        <v>31</v>
      </c>
      <c r="K277" t="s">
        <v>31</v>
      </c>
      <c r="L277" t="s">
        <v>31</v>
      </c>
      <c r="M277" t="s">
        <v>31</v>
      </c>
      <c r="P277" s="151">
        <v>1.6E-2</v>
      </c>
    </row>
    <row r="278" spans="1:18" ht="15.6">
      <c r="A278" s="67" t="s">
        <v>38</v>
      </c>
      <c r="B278" s="115">
        <f>P278</f>
        <v>3.05</v>
      </c>
      <c r="C278" t="s">
        <v>39</v>
      </c>
      <c r="D278" s="17" t="s">
        <v>416</v>
      </c>
      <c r="E278" t="s">
        <v>29</v>
      </c>
      <c r="F278" s="68" t="s">
        <v>35</v>
      </c>
      <c r="G278" t="s">
        <v>33</v>
      </c>
      <c r="H278">
        <v>2</v>
      </c>
      <c r="I278">
        <f>LN(B278)</f>
        <v>1.1151415906193203</v>
      </c>
      <c r="J278">
        <v>0.20928449536456342</v>
      </c>
      <c r="K278" t="s">
        <v>31</v>
      </c>
      <c r="L278" t="s">
        <v>31</v>
      </c>
      <c r="M278" t="s">
        <v>31</v>
      </c>
      <c r="O278" s="97" t="s">
        <v>271</v>
      </c>
      <c r="P278" s="107">
        <f>2.1+0.95</f>
        <v>3.05</v>
      </c>
    </row>
    <row r="279" spans="1:18" ht="15.6">
      <c r="A279" s="67" t="s">
        <v>844</v>
      </c>
      <c r="B279" s="115">
        <f>R279</f>
        <v>6.0999999999999995E-3</v>
      </c>
      <c r="C279" t="s">
        <v>37</v>
      </c>
      <c r="D279" s="17" t="s">
        <v>416</v>
      </c>
      <c r="E279" t="s">
        <v>29</v>
      </c>
      <c r="F279" s="68" t="s">
        <v>74</v>
      </c>
      <c r="G279" t="s">
        <v>33</v>
      </c>
      <c r="H279">
        <v>2</v>
      </c>
      <c r="I279">
        <f>LN(B279)</f>
        <v>-5.0994665078028714</v>
      </c>
      <c r="J279">
        <v>0.20928449536456342</v>
      </c>
      <c r="K279" t="s">
        <v>31</v>
      </c>
      <c r="L279" t="s">
        <v>31</v>
      </c>
      <c r="M279" t="s">
        <v>31</v>
      </c>
      <c r="O279" s="97" t="s">
        <v>857</v>
      </c>
      <c r="P279" s="107">
        <v>6.1</v>
      </c>
      <c r="Q279" t="s">
        <v>275</v>
      </c>
      <c r="R279">
        <f>P279*0.001</f>
        <v>6.0999999999999995E-3</v>
      </c>
    </row>
    <row r="280" spans="1:18">
      <c r="A280" s="84" t="s">
        <v>987</v>
      </c>
      <c r="B280" s="115">
        <f>R280</f>
        <v>7.4999999999999997E-3</v>
      </c>
      <c r="C280" t="s">
        <v>37</v>
      </c>
      <c r="D280" t="s">
        <v>416</v>
      </c>
      <c r="E280" t="s">
        <v>29</v>
      </c>
      <c r="F280" t="s">
        <v>35</v>
      </c>
      <c r="G280" t="s">
        <v>33</v>
      </c>
      <c r="H280">
        <v>2</v>
      </c>
      <c r="I280">
        <f>LN(B280)</f>
        <v>-4.8928522584398726</v>
      </c>
      <c r="J280">
        <v>0.20928449536456342</v>
      </c>
      <c r="K280" t="s">
        <v>31</v>
      </c>
      <c r="L280" t="s">
        <v>31</v>
      </c>
      <c r="M280" t="s">
        <v>31</v>
      </c>
      <c r="O280" s="97" t="s">
        <v>857</v>
      </c>
      <c r="P280" s="107">
        <v>7.5</v>
      </c>
      <c r="Q280" t="s">
        <v>275</v>
      </c>
      <c r="R280">
        <f>P280*0.001</f>
        <v>7.4999999999999997E-3</v>
      </c>
    </row>
    <row r="281" spans="1:18" ht="15.6">
      <c r="A281" s="17" t="s">
        <v>1712</v>
      </c>
      <c r="B281" s="115">
        <f>R281</f>
        <v>7.4999999999999997E-3</v>
      </c>
      <c r="C281" t="s">
        <v>37</v>
      </c>
      <c r="D281" s="110" t="s">
        <v>2</v>
      </c>
      <c r="E281" t="s">
        <v>29</v>
      </c>
      <c r="F281" s="68" t="s">
        <v>74</v>
      </c>
      <c r="G281" t="s">
        <v>33</v>
      </c>
      <c r="H281">
        <v>2</v>
      </c>
      <c r="I281">
        <f>LN(B281)</f>
        <v>-4.8928522584398726</v>
      </c>
      <c r="J281">
        <v>0.20928449536456342</v>
      </c>
      <c r="K281" t="s">
        <v>31</v>
      </c>
      <c r="L281" t="s">
        <v>31</v>
      </c>
      <c r="M281" t="s">
        <v>31</v>
      </c>
      <c r="O281" s="159" t="s">
        <v>857</v>
      </c>
      <c r="P281" s="123">
        <v>7.5</v>
      </c>
      <c r="Q281" t="s">
        <v>275</v>
      </c>
      <c r="R281">
        <f>0.001*P281</f>
        <v>7.4999999999999997E-3</v>
      </c>
    </row>
    <row r="282" spans="1:18" s="73" customFormat="1" ht="15.6">
      <c r="A282" s="76" t="s">
        <v>5</v>
      </c>
      <c r="B282" s="106" t="s">
        <v>1878</v>
      </c>
    </row>
    <row r="283" spans="1:18">
      <c r="A283" s="70" t="s">
        <v>7</v>
      </c>
      <c r="B283" t="s">
        <v>1709</v>
      </c>
      <c r="C283" s="72"/>
    </row>
    <row r="284" spans="1:18">
      <c r="A284" s="113" t="s">
        <v>9</v>
      </c>
      <c r="B284" t="s">
        <v>1879</v>
      </c>
      <c r="C284" s="72"/>
    </row>
    <row r="285" spans="1:18" ht="15.75" customHeight="1">
      <c r="A285" s="70" t="s">
        <v>11</v>
      </c>
      <c r="B285" s="71" t="s">
        <v>841</v>
      </c>
    </row>
    <row r="286" spans="1:18">
      <c r="A286" s="70" t="s">
        <v>13</v>
      </c>
      <c r="B286" t="s">
        <v>14</v>
      </c>
    </row>
    <row r="287" spans="1:18">
      <c r="A287" s="70" t="s">
        <v>15</v>
      </c>
      <c r="B287" s="111">
        <f>B292</f>
        <v>0.03</v>
      </c>
    </row>
    <row r="288" spans="1:18">
      <c r="A288" s="70" t="s">
        <v>16</v>
      </c>
      <c r="B288" t="s">
        <v>17</v>
      </c>
      <c r="R288" s="143" t="s">
        <v>937</v>
      </c>
    </row>
    <row r="289" spans="1:21">
      <c r="A289" s="70" t="s">
        <v>18</v>
      </c>
      <c r="B289" t="s">
        <v>853</v>
      </c>
      <c r="R289" t="s">
        <v>938</v>
      </c>
      <c r="S289">
        <v>8900</v>
      </c>
      <c r="T289" t="s">
        <v>939</v>
      </c>
    </row>
    <row r="290" spans="1:21" ht="15.6">
      <c r="A290" s="69" t="s">
        <v>19</v>
      </c>
      <c r="R290" t="s">
        <v>940</v>
      </c>
      <c r="S290">
        <f>5*10^-6</f>
        <v>4.9999999999999996E-6</v>
      </c>
      <c r="T290" t="s">
        <v>941</v>
      </c>
    </row>
    <row r="291" spans="1:21" ht="15.6">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41" t="s">
        <v>942</v>
      </c>
      <c r="S291" s="140">
        <v>0.46</v>
      </c>
      <c r="T291" s="139" t="s">
        <v>943</v>
      </c>
    </row>
    <row r="292" spans="1:21" ht="15.6">
      <c r="A292" t="s">
        <v>1878</v>
      </c>
      <c r="B292" s="111">
        <v>0.03</v>
      </c>
      <c r="C292" t="s">
        <v>853</v>
      </c>
      <c r="D292" s="110" t="s">
        <v>2</v>
      </c>
      <c r="E292" t="s">
        <v>29</v>
      </c>
      <c r="F292" t="s">
        <v>14</v>
      </c>
      <c r="G292" t="s">
        <v>30</v>
      </c>
      <c r="H292">
        <v>1</v>
      </c>
      <c r="I292" s="111">
        <f>B292</f>
        <v>0.03</v>
      </c>
      <c r="J292" t="s">
        <v>31</v>
      </c>
      <c r="K292" t="s">
        <v>31</v>
      </c>
      <c r="L292" t="s">
        <v>31</v>
      </c>
      <c r="M292" t="s">
        <v>31</v>
      </c>
      <c r="O292" s="97" t="s">
        <v>944</v>
      </c>
      <c r="P292" s="107">
        <f>B292*100</f>
        <v>3</v>
      </c>
    </row>
    <row r="293" spans="1:21" ht="15.6">
      <c r="A293" t="s">
        <v>1880</v>
      </c>
      <c r="B293" s="111">
        <v>0.03</v>
      </c>
      <c r="C293" t="s">
        <v>853</v>
      </c>
      <c r="D293" s="110" t="s">
        <v>2</v>
      </c>
      <c r="E293" t="s">
        <v>29</v>
      </c>
      <c r="F293" t="s">
        <v>14</v>
      </c>
      <c r="G293" t="s">
        <v>33</v>
      </c>
      <c r="H293">
        <v>1</v>
      </c>
      <c r="I293" s="111">
        <f>B293</f>
        <v>0.03</v>
      </c>
      <c r="J293">
        <v>7.2284161474004766E-2</v>
      </c>
      <c r="K293" t="s">
        <v>31</v>
      </c>
      <c r="L293" t="s">
        <v>31</v>
      </c>
      <c r="M293" t="s">
        <v>31</v>
      </c>
      <c r="O293" s="97" t="s">
        <v>944</v>
      </c>
      <c r="P293" s="107">
        <f>B293*100</f>
        <v>3</v>
      </c>
      <c r="R293" t="s">
        <v>945</v>
      </c>
      <c r="U293" s="129"/>
    </row>
    <row r="294" spans="1:21" ht="15.6">
      <c r="A294" s="58" t="s">
        <v>1822</v>
      </c>
      <c r="B294" s="122">
        <f>R294</f>
        <v>0.69</v>
      </c>
      <c r="C294" t="s">
        <v>37</v>
      </c>
      <c r="D294" s="110" t="s">
        <v>2</v>
      </c>
      <c r="E294" t="s">
        <v>29</v>
      </c>
      <c r="F294" s="68" t="s">
        <v>14</v>
      </c>
      <c r="G294" t="s">
        <v>33</v>
      </c>
      <c r="H294">
        <v>1</v>
      </c>
      <c r="I294" s="111">
        <f>B294</f>
        <v>0.69</v>
      </c>
      <c r="J294">
        <v>7.2284161474004766E-2</v>
      </c>
      <c r="K294" t="s">
        <v>31</v>
      </c>
      <c r="L294" t="s">
        <v>31</v>
      </c>
      <c r="M294" t="s">
        <v>31</v>
      </c>
      <c r="O294" s="109"/>
      <c r="P294" s="108"/>
      <c r="R294" s="137">
        <v>0.69</v>
      </c>
      <c r="S294" s="136" t="s">
        <v>855</v>
      </c>
      <c r="T294" s="137">
        <f>R294*S291</f>
        <v>0.31740000000000002</v>
      </c>
      <c r="U294" s="136" t="s">
        <v>275</v>
      </c>
    </row>
    <row r="295" spans="1:21" ht="15.6">
      <c r="A295" s="67" t="s">
        <v>844</v>
      </c>
      <c r="B295">
        <f>P295</f>
        <v>5.5</v>
      </c>
      <c r="C295" t="s">
        <v>37</v>
      </c>
      <c r="D295" s="17" t="s">
        <v>416</v>
      </c>
      <c r="E295" t="s">
        <v>29</v>
      </c>
      <c r="F295" s="68" t="s">
        <v>74</v>
      </c>
      <c r="G295" t="s">
        <v>33</v>
      </c>
      <c r="H295">
        <v>2</v>
      </c>
      <c r="I295">
        <f>LN(B295)</f>
        <v>1.7047480922384253</v>
      </c>
      <c r="J295">
        <v>7.2284161474004766E-2</v>
      </c>
      <c r="K295" t="s">
        <v>31</v>
      </c>
      <c r="L295" t="s">
        <v>31</v>
      </c>
      <c r="M295" t="s">
        <v>31</v>
      </c>
      <c r="O295" s="97" t="s">
        <v>275</v>
      </c>
      <c r="P295" s="134">
        <v>5.5</v>
      </c>
    </row>
    <row r="296" spans="1:21" ht="15.6">
      <c r="A296" s="84" t="s">
        <v>924</v>
      </c>
      <c r="B296" s="115">
        <f>R296</f>
        <v>2.9999999999999999E-7</v>
      </c>
      <c r="C296" t="s">
        <v>37</v>
      </c>
      <c r="D296" s="17" t="s">
        <v>416</v>
      </c>
      <c r="E296" t="s">
        <v>29</v>
      </c>
      <c r="F296" s="68" t="s">
        <v>59</v>
      </c>
      <c r="G296" t="s">
        <v>33</v>
      </c>
      <c r="H296">
        <v>2</v>
      </c>
      <c r="I296">
        <f>LN(B296)</f>
        <v>-15.01948336229021</v>
      </c>
      <c r="J296">
        <v>7.2284161474004766E-2</v>
      </c>
      <c r="K296" t="s">
        <v>31</v>
      </c>
      <c r="L296" t="s">
        <v>31</v>
      </c>
      <c r="M296" t="s">
        <v>31</v>
      </c>
      <c r="O296" s="128" t="s">
        <v>862</v>
      </c>
      <c r="P296" s="135">
        <v>0.3</v>
      </c>
      <c r="Q296" s="97" t="s">
        <v>275</v>
      </c>
      <c r="R296">
        <f>P296*0.000001</f>
        <v>2.9999999999999999E-7</v>
      </c>
    </row>
    <row r="297" spans="1:21" ht="15.6">
      <c r="A297" s="84" t="s">
        <v>76</v>
      </c>
      <c r="B297">
        <f>R297</f>
        <v>5.4999999999999997E-3</v>
      </c>
      <c r="C297" t="s">
        <v>42</v>
      </c>
      <c r="D297" s="17" t="s">
        <v>416</v>
      </c>
      <c r="E297" t="s">
        <v>29</v>
      </c>
      <c r="F297" s="68" t="s">
        <v>74</v>
      </c>
      <c r="G297" t="s">
        <v>33</v>
      </c>
      <c r="H297">
        <v>2</v>
      </c>
      <c r="I297">
        <f>LN(B297)</f>
        <v>-5.2030071867437115</v>
      </c>
      <c r="J297">
        <v>7.2284161474004766E-2</v>
      </c>
      <c r="K297" t="s">
        <v>31</v>
      </c>
      <c r="L297" t="s">
        <v>31</v>
      </c>
      <c r="M297" t="s">
        <v>31</v>
      </c>
      <c r="O297" s="124" t="s">
        <v>913</v>
      </c>
      <c r="P297" s="133">
        <v>5.5</v>
      </c>
      <c r="Q297" t="s">
        <v>274</v>
      </c>
      <c r="R297">
        <f>P297*0.001</f>
        <v>5.4999999999999997E-3</v>
      </c>
    </row>
    <row r="298" spans="1:21" s="73" customFormat="1" ht="15.6">
      <c r="A298" s="76" t="s">
        <v>5</v>
      </c>
      <c r="B298" s="106" t="s">
        <v>1880</v>
      </c>
    </row>
    <row r="299" spans="1:21">
      <c r="A299" s="70" t="s">
        <v>7</v>
      </c>
      <c r="B299" t="s">
        <v>1709</v>
      </c>
      <c r="C299" s="72"/>
    </row>
    <row r="300" spans="1:21">
      <c r="A300" s="113" t="s">
        <v>9</v>
      </c>
      <c r="B300" t="s">
        <v>1881</v>
      </c>
      <c r="C300" s="72"/>
    </row>
    <row r="301" spans="1:21" ht="15.75" customHeight="1">
      <c r="A301" s="70" t="s">
        <v>11</v>
      </c>
      <c r="B301" s="71" t="s">
        <v>841</v>
      </c>
    </row>
    <row r="302" spans="1:21">
      <c r="A302" s="70" t="s">
        <v>13</v>
      </c>
      <c r="B302" t="s">
        <v>14</v>
      </c>
    </row>
    <row r="303" spans="1:21">
      <c r="A303" s="70" t="s">
        <v>15</v>
      </c>
      <c r="B303" s="111">
        <f>B308</f>
        <v>1.6E-2</v>
      </c>
    </row>
    <row r="304" spans="1:21">
      <c r="A304" s="70" t="s">
        <v>16</v>
      </c>
      <c r="B304" t="s">
        <v>17</v>
      </c>
    </row>
    <row r="305" spans="1:20">
      <c r="A305" s="70" t="s">
        <v>18</v>
      </c>
      <c r="B305" t="s">
        <v>853</v>
      </c>
    </row>
    <row r="306" spans="1:20" ht="15.6">
      <c r="A306" s="69" t="s">
        <v>19</v>
      </c>
    </row>
    <row r="307" spans="1:20" ht="15.6">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1"/>
    </row>
    <row r="308" spans="1:20" ht="15.6">
      <c r="A308" t="s">
        <v>1880</v>
      </c>
      <c r="B308" s="111">
        <f t="shared" ref="B308:B318" si="0">P308</f>
        <v>1.6E-2</v>
      </c>
      <c r="C308" t="s">
        <v>853</v>
      </c>
      <c r="D308" s="110" t="s">
        <v>2</v>
      </c>
      <c r="E308" t="s">
        <v>29</v>
      </c>
      <c r="F308" t="s">
        <v>14</v>
      </c>
      <c r="G308" t="s">
        <v>30</v>
      </c>
      <c r="H308">
        <v>1</v>
      </c>
      <c r="I308" s="111">
        <f>B308</f>
        <v>1.6E-2</v>
      </c>
      <c r="J308" t="s">
        <v>31</v>
      </c>
      <c r="K308" t="s">
        <v>31</v>
      </c>
      <c r="L308" t="s">
        <v>31</v>
      </c>
      <c r="M308" t="s">
        <v>31</v>
      </c>
      <c r="P308" s="158">
        <v>1.6E-2</v>
      </c>
    </row>
    <row r="309" spans="1:20" ht="15.6">
      <c r="A309" t="s">
        <v>1882</v>
      </c>
      <c r="B309" s="111">
        <f t="shared" si="0"/>
        <v>1.6E-2</v>
      </c>
      <c r="C309" t="s">
        <v>853</v>
      </c>
      <c r="D309" s="110" t="s">
        <v>2</v>
      </c>
      <c r="E309" t="s">
        <v>29</v>
      </c>
      <c r="F309" t="s">
        <v>14</v>
      </c>
      <c r="G309" t="s">
        <v>33</v>
      </c>
      <c r="H309">
        <v>1</v>
      </c>
      <c r="I309" s="111">
        <f>B309</f>
        <v>1.6E-2</v>
      </c>
      <c r="J309" t="s">
        <v>31</v>
      </c>
      <c r="K309" t="s">
        <v>31</v>
      </c>
      <c r="L309" t="s">
        <v>31</v>
      </c>
      <c r="M309" t="s">
        <v>31</v>
      </c>
      <c r="P309" s="158">
        <v>1.6E-2</v>
      </c>
    </row>
    <row r="310" spans="1:20" ht="15.6">
      <c r="A310" s="67" t="s">
        <v>38</v>
      </c>
      <c r="B310" s="115">
        <f t="shared" si="0"/>
        <v>0.21</v>
      </c>
      <c r="C310" t="s">
        <v>39</v>
      </c>
      <c r="D310" s="17" t="s">
        <v>416</v>
      </c>
      <c r="E310" t="s">
        <v>29</v>
      </c>
      <c r="F310" s="68" t="s">
        <v>35</v>
      </c>
      <c r="G310" t="s">
        <v>33</v>
      </c>
      <c r="H310">
        <v>2</v>
      </c>
      <c r="I310">
        <f t="shared" ref="I310:I318" si="1">LN(B310)</f>
        <v>-1.5606477482646683</v>
      </c>
      <c r="J310">
        <v>0.22500000000000006</v>
      </c>
      <c r="K310" t="s">
        <v>31</v>
      </c>
      <c r="L310" t="s">
        <v>31</v>
      </c>
      <c r="M310" t="s">
        <v>31</v>
      </c>
      <c r="O310" s="97" t="s">
        <v>271</v>
      </c>
      <c r="P310" s="134">
        <v>0.21</v>
      </c>
    </row>
    <row r="311" spans="1:20">
      <c r="A311" s="84" t="s">
        <v>731</v>
      </c>
      <c r="B311" s="111">
        <f t="shared" si="0"/>
        <v>9.4999999999999998E-3</v>
      </c>
      <c r="C311" t="s">
        <v>37</v>
      </c>
      <c r="D311" t="s">
        <v>416</v>
      </c>
      <c r="E311" t="s">
        <v>29</v>
      </c>
      <c r="F311" t="s">
        <v>35</v>
      </c>
      <c r="G311" t="s">
        <v>33</v>
      </c>
      <c r="H311">
        <v>2</v>
      </c>
      <c r="I311">
        <f t="shared" si="1"/>
        <v>-4.656463480375642</v>
      </c>
      <c r="J311">
        <v>0.22500000000000006</v>
      </c>
      <c r="K311" t="s">
        <v>31</v>
      </c>
      <c r="L311" t="s">
        <v>31</v>
      </c>
      <c r="M311" t="s">
        <v>31</v>
      </c>
      <c r="O311" s="97" t="s">
        <v>275</v>
      </c>
      <c r="P311" s="156">
        <v>9.4999999999999998E-3</v>
      </c>
    </row>
    <row r="312" spans="1:20">
      <c r="A312" t="s">
        <v>1012</v>
      </c>
      <c r="B312" s="111">
        <f t="shared" si="0"/>
        <v>2.07E-2</v>
      </c>
      <c r="C312" t="s">
        <v>37</v>
      </c>
      <c r="D312" t="s">
        <v>416</v>
      </c>
      <c r="E312" t="s">
        <v>29</v>
      </c>
      <c r="F312" t="s">
        <v>59</v>
      </c>
      <c r="G312" t="s">
        <v>33</v>
      </c>
      <c r="H312">
        <v>2</v>
      </c>
      <c r="I312">
        <f t="shared" si="1"/>
        <v>-3.8776215787108135</v>
      </c>
      <c r="J312">
        <v>0.22500000000000006</v>
      </c>
      <c r="K312" t="s">
        <v>31</v>
      </c>
      <c r="L312" t="s">
        <v>31</v>
      </c>
      <c r="M312" t="s">
        <v>31</v>
      </c>
      <c r="O312" s="97" t="s">
        <v>275</v>
      </c>
      <c r="P312" s="156">
        <v>2.07E-2</v>
      </c>
    </row>
    <row r="313" spans="1:20">
      <c r="A313" s="84" t="s">
        <v>987</v>
      </c>
      <c r="B313" s="111">
        <f t="shared" si="0"/>
        <v>9.4999999999999998E-3</v>
      </c>
      <c r="C313" t="s">
        <v>37</v>
      </c>
      <c r="D313" t="s">
        <v>416</v>
      </c>
      <c r="E313" t="s">
        <v>29</v>
      </c>
      <c r="F313" t="s">
        <v>35</v>
      </c>
      <c r="G313" t="s">
        <v>33</v>
      </c>
      <c r="H313">
        <v>2</v>
      </c>
      <c r="I313">
        <f t="shared" si="1"/>
        <v>-4.656463480375642</v>
      </c>
      <c r="J313">
        <v>0.22500000000000006</v>
      </c>
      <c r="K313" t="s">
        <v>31</v>
      </c>
      <c r="L313" t="s">
        <v>31</v>
      </c>
      <c r="M313" t="s">
        <v>31</v>
      </c>
      <c r="O313" s="97" t="s">
        <v>275</v>
      </c>
      <c r="P313" s="156">
        <v>9.4999999999999998E-3</v>
      </c>
    </row>
    <row r="314" spans="1:20">
      <c r="A314" s="84" t="s">
        <v>1013</v>
      </c>
      <c r="B314" s="111">
        <f t="shared" si="0"/>
        <v>7.1999999999999998E-3</v>
      </c>
      <c r="C314" t="s">
        <v>37</v>
      </c>
      <c r="D314" t="s">
        <v>416</v>
      </c>
      <c r="E314" t="s">
        <v>29</v>
      </c>
      <c r="F314" t="s">
        <v>59</v>
      </c>
      <c r="G314" t="s">
        <v>33</v>
      </c>
      <c r="H314">
        <v>2</v>
      </c>
      <c r="I314">
        <f t="shared" si="1"/>
        <v>-4.9336742529601274</v>
      </c>
      <c r="J314">
        <v>0.22500000000000006</v>
      </c>
      <c r="K314" t="s">
        <v>31</v>
      </c>
      <c r="L314" t="s">
        <v>31</v>
      </c>
      <c r="M314" t="s">
        <v>31</v>
      </c>
      <c r="O314" s="97" t="s">
        <v>275</v>
      </c>
      <c r="P314" s="156">
        <v>7.1999999999999998E-3</v>
      </c>
    </row>
    <row r="315" spans="1:20">
      <c r="A315" s="84" t="s">
        <v>1014</v>
      </c>
      <c r="B315" s="111">
        <f t="shared" si="0"/>
        <v>2.07E-2</v>
      </c>
      <c r="C315" t="s">
        <v>37</v>
      </c>
      <c r="D315" t="s">
        <v>416</v>
      </c>
      <c r="E315" t="s">
        <v>29</v>
      </c>
      <c r="F315" t="s">
        <v>59</v>
      </c>
      <c r="G315" t="s">
        <v>33</v>
      </c>
      <c r="H315">
        <v>2</v>
      </c>
      <c r="I315">
        <f t="shared" si="1"/>
        <v>-3.8776215787108135</v>
      </c>
      <c r="J315">
        <v>0.22500000000000006</v>
      </c>
      <c r="K315" t="s">
        <v>31</v>
      </c>
      <c r="L315" t="s">
        <v>31</v>
      </c>
      <c r="M315" t="s">
        <v>31</v>
      </c>
      <c r="O315" s="97" t="s">
        <v>275</v>
      </c>
      <c r="P315" s="156">
        <v>2.07E-2</v>
      </c>
    </row>
    <row r="316" spans="1:20" ht="15.6">
      <c r="A316" s="67" t="s">
        <v>844</v>
      </c>
      <c r="B316" s="111">
        <f t="shared" si="0"/>
        <v>0.38200000000000001</v>
      </c>
      <c r="C316" t="s">
        <v>37</v>
      </c>
      <c r="D316" s="17" t="s">
        <v>416</v>
      </c>
      <c r="E316" t="s">
        <v>29</v>
      </c>
      <c r="F316" s="68" t="s">
        <v>74</v>
      </c>
      <c r="G316" t="s">
        <v>33</v>
      </c>
      <c r="H316">
        <v>2</v>
      </c>
      <c r="I316">
        <f t="shared" si="1"/>
        <v>-0.96233467037556186</v>
      </c>
      <c r="J316">
        <v>0.22500000000000006</v>
      </c>
      <c r="K316" t="s">
        <v>31</v>
      </c>
      <c r="L316" t="s">
        <v>31</v>
      </c>
      <c r="M316" t="s">
        <v>31</v>
      </c>
      <c r="O316" s="97" t="s">
        <v>275</v>
      </c>
      <c r="P316" s="156">
        <v>0.38200000000000001</v>
      </c>
    </row>
    <row r="317" spans="1:20">
      <c r="A317" s="84" t="s">
        <v>807</v>
      </c>
      <c r="B317" s="111">
        <f t="shared" si="0"/>
        <v>3.7000000000000002E-3</v>
      </c>
      <c r="C317" t="s">
        <v>37</v>
      </c>
      <c r="D317" t="s">
        <v>43</v>
      </c>
      <c r="E317" t="s">
        <v>44</v>
      </c>
      <c r="F317" t="s">
        <v>29</v>
      </c>
      <c r="G317" t="s">
        <v>45</v>
      </c>
      <c r="H317">
        <v>2</v>
      </c>
      <c r="I317">
        <f t="shared" si="1"/>
        <v>-5.5994224593319579</v>
      </c>
      <c r="J317">
        <v>0.22500000000000006</v>
      </c>
      <c r="K317" t="s">
        <v>31</v>
      </c>
      <c r="L317" t="s">
        <v>31</v>
      </c>
      <c r="M317" t="s">
        <v>31</v>
      </c>
      <c r="O317" s="128" t="s">
        <v>275</v>
      </c>
      <c r="P317" s="176">
        <v>3.7000000000000002E-3</v>
      </c>
    </row>
    <row r="318" spans="1:20" ht="15.6">
      <c r="A318" s="17" t="s">
        <v>1712</v>
      </c>
      <c r="B318" s="111">
        <f t="shared" si="0"/>
        <v>6.8000000000000005E-2</v>
      </c>
      <c r="C318" t="s">
        <v>37</v>
      </c>
      <c r="D318" s="110" t="s">
        <v>2</v>
      </c>
      <c r="E318" t="s">
        <v>29</v>
      </c>
      <c r="F318" s="68" t="s">
        <v>74</v>
      </c>
      <c r="G318" t="s">
        <v>33</v>
      </c>
      <c r="H318">
        <v>2</v>
      </c>
      <c r="I318">
        <f t="shared" si="1"/>
        <v>-2.6882475738060303</v>
      </c>
      <c r="J318">
        <v>0.22500000000000006</v>
      </c>
      <c r="K318" t="s">
        <v>31</v>
      </c>
      <c r="L318" t="s">
        <v>31</v>
      </c>
      <c r="M318" t="s">
        <v>31</v>
      </c>
      <c r="O318" s="124" t="s">
        <v>275</v>
      </c>
      <c r="P318" s="154">
        <v>6.8000000000000005E-2</v>
      </c>
    </row>
    <row r="319" spans="1:20" s="73" customFormat="1" ht="15.6">
      <c r="A319" s="76" t="s">
        <v>5</v>
      </c>
      <c r="B319" s="106" t="s">
        <v>1882</v>
      </c>
    </row>
    <row r="320" spans="1:20">
      <c r="A320" s="70" t="s">
        <v>7</v>
      </c>
      <c r="B320" t="s">
        <v>1709</v>
      </c>
      <c r="C320" s="72"/>
    </row>
    <row r="321" spans="1:20">
      <c r="A321" s="113" t="s">
        <v>9</v>
      </c>
      <c r="B321" t="s">
        <v>1883</v>
      </c>
      <c r="C321" s="72"/>
    </row>
    <row r="322" spans="1:20" ht="15.75" customHeight="1">
      <c r="A322" s="70" t="s">
        <v>11</v>
      </c>
      <c r="B322" s="71" t="s">
        <v>841</v>
      </c>
    </row>
    <row r="323" spans="1:20">
      <c r="A323" s="70" t="s">
        <v>13</v>
      </c>
      <c r="B323" t="s">
        <v>14</v>
      </c>
    </row>
    <row r="324" spans="1:20">
      <c r="A324" s="70" t="s">
        <v>15</v>
      </c>
      <c r="B324" s="111">
        <f>B329</f>
        <v>1.6E-2</v>
      </c>
    </row>
    <row r="325" spans="1:20">
      <c r="A325" s="70" t="s">
        <v>16</v>
      </c>
      <c r="B325" t="s">
        <v>17</v>
      </c>
    </row>
    <row r="326" spans="1:20">
      <c r="A326" s="70" t="s">
        <v>18</v>
      </c>
      <c r="B326" t="s">
        <v>853</v>
      </c>
    </row>
    <row r="327" spans="1:20" ht="15.6">
      <c r="A327" s="69" t="s">
        <v>19</v>
      </c>
    </row>
    <row r="328" spans="1:20" ht="15.6">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1"/>
    </row>
    <row r="329" spans="1:20" ht="15.6">
      <c r="A329" t="s">
        <v>1882</v>
      </c>
      <c r="B329" s="111">
        <f>P330</f>
        <v>1.6E-2</v>
      </c>
      <c r="C329" t="s">
        <v>853</v>
      </c>
      <c r="D329" s="110" t="s">
        <v>2</v>
      </c>
      <c r="E329" t="s">
        <v>29</v>
      </c>
      <c r="F329" t="s">
        <v>14</v>
      </c>
      <c r="G329" t="s">
        <v>30</v>
      </c>
      <c r="H329">
        <v>1</v>
      </c>
      <c r="I329" s="111">
        <f>B329</f>
        <v>1.6E-2</v>
      </c>
      <c r="J329" t="s">
        <v>31</v>
      </c>
      <c r="K329" t="s">
        <v>31</v>
      </c>
      <c r="L329" t="s">
        <v>31</v>
      </c>
      <c r="M329" t="s">
        <v>31</v>
      </c>
    </row>
    <row r="330" spans="1:20" ht="15.6">
      <c r="A330" s="58" t="s">
        <v>1884</v>
      </c>
      <c r="B330" s="111">
        <f>P330</f>
        <v>1.6E-2</v>
      </c>
      <c r="C330" t="s">
        <v>853</v>
      </c>
      <c r="D330" s="110" t="s">
        <v>2</v>
      </c>
      <c r="E330" t="s">
        <v>29</v>
      </c>
      <c r="F330" t="s">
        <v>14</v>
      </c>
      <c r="G330" t="s">
        <v>33</v>
      </c>
      <c r="H330">
        <v>1</v>
      </c>
      <c r="I330" s="111">
        <f>B330</f>
        <v>1.6E-2</v>
      </c>
      <c r="J330">
        <v>2.8722813232690055E-2</v>
      </c>
      <c r="K330" t="s">
        <v>31</v>
      </c>
      <c r="L330" t="s">
        <v>31</v>
      </c>
      <c r="M330" t="s">
        <v>31</v>
      </c>
      <c r="O330" s="95" t="s">
        <v>873</v>
      </c>
      <c r="P330" s="158">
        <v>1.6E-2</v>
      </c>
    </row>
    <row r="331" spans="1:20" ht="15.6">
      <c r="A331" s="58" t="s">
        <v>1826</v>
      </c>
      <c r="B331">
        <f>R331</f>
        <v>0.16600000000000001</v>
      </c>
      <c r="C331" t="s">
        <v>275</v>
      </c>
      <c r="D331" s="110" t="s">
        <v>2</v>
      </c>
      <c r="E331" t="s">
        <v>29</v>
      </c>
      <c r="F331" t="s">
        <v>14</v>
      </c>
      <c r="G331" t="s">
        <v>33</v>
      </c>
      <c r="H331">
        <v>1</v>
      </c>
      <c r="I331" s="111">
        <f>B331</f>
        <v>0.16600000000000001</v>
      </c>
      <c r="J331">
        <v>2.8722813232690055E-2</v>
      </c>
      <c r="K331" t="s">
        <v>31</v>
      </c>
      <c r="L331" t="s">
        <v>31</v>
      </c>
      <c r="M331" t="s">
        <v>31</v>
      </c>
      <c r="O331" s="95" t="s">
        <v>857</v>
      </c>
      <c r="P331" s="157">
        <v>166</v>
      </c>
      <c r="Q331" t="s">
        <v>275</v>
      </c>
      <c r="R331">
        <f>P331*0.001</f>
        <v>0.16600000000000001</v>
      </c>
    </row>
    <row r="332" spans="1:20" ht="15.6">
      <c r="A332" s="67" t="s">
        <v>38</v>
      </c>
      <c r="B332" s="115">
        <f>P332</f>
        <v>0.02</v>
      </c>
      <c r="C332" t="s">
        <v>39</v>
      </c>
      <c r="D332" s="17" t="s">
        <v>416</v>
      </c>
      <c r="E332" t="s">
        <v>29</v>
      </c>
      <c r="F332" s="68" t="s">
        <v>35</v>
      </c>
      <c r="G332" t="s">
        <v>33</v>
      </c>
      <c r="H332">
        <v>2</v>
      </c>
      <c r="I332">
        <f t="shared" ref="I332:I340" si="2">LN(B332)</f>
        <v>-3.912023005428146</v>
      </c>
      <c r="J332">
        <v>0.20928449536456342</v>
      </c>
      <c r="K332" t="s">
        <v>31</v>
      </c>
      <c r="L332" t="s">
        <v>31</v>
      </c>
      <c r="M332" t="s">
        <v>31</v>
      </c>
      <c r="O332" s="97" t="s">
        <v>271</v>
      </c>
      <c r="P332" s="156">
        <v>0.02</v>
      </c>
    </row>
    <row r="333" spans="1:20" ht="15.6">
      <c r="A333" s="67" t="s">
        <v>38</v>
      </c>
      <c r="B333" s="115">
        <f>P333</f>
        <v>0.94</v>
      </c>
      <c r="C333" t="s">
        <v>39</v>
      </c>
      <c r="D333" s="17" t="s">
        <v>416</v>
      </c>
      <c r="E333" t="s">
        <v>29</v>
      </c>
      <c r="F333" s="68" t="s">
        <v>35</v>
      </c>
      <c r="G333" t="s">
        <v>33</v>
      </c>
      <c r="H333">
        <v>2</v>
      </c>
      <c r="I333">
        <f t="shared" si="2"/>
        <v>-6.1875403718087529E-2</v>
      </c>
      <c r="J333">
        <v>0.20928449536456342</v>
      </c>
      <c r="K333" t="s">
        <v>31</v>
      </c>
      <c r="L333" t="s">
        <v>31</v>
      </c>
      <c r="M333" t="s">
        <v>31</v>
      </c>
      <c r="O333" s="97" t="s">
        <v>271</v>
      </c>
      <c r="P333" s="134">
        <v>0.94</v>
      </c>
    </row>
    <row r="334" spans="1:20" ht="15.6">
      <c r="A334" s="67" t="s">
        <v>38</v>
      </c>
      <c r="B334" s="115">
        <f>P334</f>
        <v>0.24</v>
      </c>
      <c r="C334" t="s">
        <v>39</v>
      </c>
      <c r="D334" s="17" t="s">
        <v>416</v>
      </c>
      <c r="E334" t="s">
        <v>29</v>
      </c>
      <c r="F334" s="68" t="s">
        <v>35</v>
      </c>
      <c r="G334" t="s">
        <v>33</v>
      </c>
      <c r="H334">
        <v>2</v>
      </c>
      <c r="I334">
        <f t="shared" si="2"/>
        <v>-1.4271163556401458</v>
      </c>
      <c r="J334">
        <v>9.6436507609929598E-2</v>
      </c>
      <c r="K334" t="s">
        <v>31</v>
      </c>
      <c r="L334" t="s">
        <v>31</v>
      </c>
      <c r="M334" t="s">
        <v>31</v>
      </c>
      <c r="O334" s="97" t="s">
        <v>271</v>
      </c>
      <c r="P334" s="134">
        <v>0.24</v>
      </c>
    </row>
    <row r="335" spans="1:20">
      <c r="A335" s="84" t="s">
        <v>731</v>
      </c>
      <c r="B335" s="111">
        <f>R335</f>
        <v>1E-3</v>
      </c>
      <c r="C335" t="s">
        <v>37</v>
      </c>
      <c r="D335" t="s">
        <v>416</v>
      </c>
      <c r="E335" t="s">
        <v>29</v>
      </c>
      <c r="F335" t="s">
        <v>35</v>
      </c>
      <c r="G335" t="s">
        <v>33</v>
      </c>
      <c r="H335">
        <v>2</v>
      </c>
      <c r="I335">
        <f t="shared" si="2"/>
        <v>-6.9077552789821368</v>
      </c>
      <c r="J335">
        <v>0.20928449536456342</v>
      </c>
      <c r="K335" t="s">
        <v>31</v>
      </c>
      <c r="L335" t="s">
        <v>31</v>
      </c>
      <c r="M335" t="s">
        <v>31</v>
      </c>
      <c r="O335" s="97" t="s">
        <v>857</v>
      </c>
      <c r="P335" s="134">
        <v>1</v>
      </c>
      <c r="Q335" t="s">
        <v>275</v>
      </c>
      <c r="R335">
        <f>P335*0.001</f>
        <v>1E-3</v>
      </c>
    </row>
    <row r="336" spans="1:20" ht="15.6">
      <c r="A336" s="67" t="s">
        <v>844</v>
      </c>
      <c r="B336" s="111">
        <f>P336</f>
        <v>0.01</v>
      </c>
      <c r="C336" t="s">
        <v>37</v>
      </c>
      <c r="D336" s="17" t="s">
        <v>416</v>
      </c>
      <c r="E336" t="s">
        <v>29</v>
      </c>
      <c r="F336" s="68" t="s">
        <v>74</v>
      </c>
      <c r="G336" t="s">
        <v>33</v>
      </c>
      <c r="H336">
        <v>2</v>
      </c>
      <c r="I336">
        <f t="shared" si="2"/>
        <v>-4.6051701859880909</v>
      </c>
      <c r="J336">
        <v>0.20928449536456342</v>
      </c>
      <c r="K336" t="s">
        <v>31</v>
      </c>
      <c r="L336" t="s">
        <v>31</v>
      </c>
      <c r="M336" t="s">
        <v>31</v>
      </c>
      <c r="O336" s="97" t="s">
        <v>275</v>
      </c>
      <c r="P336" s="156">
        <v>0.01</v>
      </c>
    </row>
    <row r="337" spans="1:20" ht="15.6">
      <c r="A337" s="84" t="s">
        <v>481</v>
      </c>
      <c r="B337" s="155">
        <f>R337</f>
        <v>2.3999999999999998E-3</v>
      </c>
      <c r="C337" t="s">
        <v>37</v>
      </c>
      <c r="D337" s="17" t="s">
        <v>416</v>
      </c>
      <c r="E337" t="s">
        <v>29</v>
      </c>
      <c r="F337" s="68" t="s">
        <v>82</v>
      </c>
      <c r="G337" t="s">
        <v>33</v>
      </c>
      <c r="H337">
        <v>2</v>
      </c>
      <c r="I337">
        <f t="shared" si="2"/>
        <v>-6.0322865416282374</v>
      </c>
      <c r="J337">
        <v>0.20928449536456342</v>
      </c>
      <c r="K337" t="s">
        <v>31</v>
      </c>
      <c r="L337" t="s">
        <v>31</v>
      </c>
      <c r="M337" t="s">
        <v>31</v>
      </c>
      <c r="O337" s="97" t="s">
        <v>857</v>
      </c>
      <c r="P337" s="134">
        <v>2.4</v>
      </c>
      <c r="Q337" t="s">
        <v>275</v>
      </c>
      <c r="R337">
        <f>P337*0.001</f>
        <v>2.3999999999999998E-3</v>
      </c>
    </row>
    <row r="338" spans="1:20">
      <c r="A338" s="84" t="s">
        <v>987</v>
      </c>
      <c r="B338">
        <f>R338</f>
        <v>4.0000000000000001E-3</v>
      </c>
      <c r="C338" t="s">
        <v>37</v>
      </c>
      <c r="D338" t="s">
        <v>416</v>
      </c>
      <c r="E338" t="s">
        <v>29</v>
      </c>
      <c r="F338" t="s">
        <v>35</v>
      </c>
      <c r="G338" t="s">
        <v>33</v>
      </c>
      <c r="H338">
        <v>2</v>
      </c>
      <c r="I338">
        <f t="shared" si="2"/>
        <v>-5.521460917862246</v>
      </c>
      <c r="J338">
        <v>0.20928449536456342</v>
      </c>
      <c r="K338" t="s">
        <v>31</v>
      </c>
      <c r="L338" t="s">
        <v>31</v>
      </c>
      <c r="M338" t="s">
        <v>31</v>
      </c>
      <c r="O338" s="97" t="s">
        <v>857</v>
      </c>
      <c r="P338" s="134">
        <v>4</v>
      </c>
      <c r="Q338" t="s">
        <v>275</v>
      </c>
      <c r="R338">
        <f>P338*0.001</f>
        <v>4.0000000000000001E-3</v>
      </c>
    </row>
    <row r="339" spans="1:20" ht="15.6">
      <c r="A339" s="67" t="s">
        <v>845</v>
      </c>
      <c r="B339">
        <f>P339</f>
        <v>2.8</v>
      </c>
      <c r="C339" t="s">
        <v>37</v>
      </c>
      <c r="D339" s="17" t="s">
        <v>416</v>
      </c>
      <c r="E339" t="s">
        <v>29</v>
      </c>
      <c r="F339" s="68" t="s">
        <v>35</v>
      </c>
      <c r="G339" t="s">
        <v>33</v>
      </c>
      <c r="H339">
        <v>2</v>
      </c>
      <c r="I339">
        <f t="shared" si="2"/>
        <v>1.0296194171811581</v>
      </c>
      <c r="J339">
        <v>0.20928449536456342</v>
      </c>
      <c r="K339" t="s">
        <v>31</v>
      </c>
      <c r="L339" t="s">
        <v>31</v>
      </c>
      <c r="M339" t="s">
        <v>31</v>
      </c>
      <c r="O339" s="97" t="s">
        <v>275</v>
      </c>
      <c r="P339" s="134">
        <v>2.8</v>
      </c>
    </row>
    <row r="340" spans="1:20" ht="15.6">
      <c r="A340" s="17" t="s">
        <v>1712</v>
      </c>
      <c r="B340" s="111">
        <f>P340</f>
        <v>8.0000000000000002E-3</v>
      </c>
      <c r="C340" t="s">
        <v>37</v>
      </c>
      <c r="D340" s="110" t="s">
        <v>2</v>
      </c>
      <c r="E340" t="s">
        <v>29</v>
      </c>
      <c r="F340" s="68" t="s">
        <v>74</v>
      </c>
      <c r="G340" t="s">
        <v>33</v>
      </c>
      <c r="H340">
        <v>2</v>
      </c>
      <c r="I340">
        <f t="shared" si="2"/>
        <v>-4.8283137373023015</v>
      </c>
      <c r="J340">
        <v>0.20928449536456342</v>
      </c>
      <c r="K340" t="s">
        <v>31</v>
      </c>
      <c r="L340" t="s">
        <v>31</v>
      </c>
      <c r="M340" t="s">
        <v>31</v>
      </c>
      <c r="O340" s="124" t="s">
        <v>275</v>
      </c>
      <c r="P340" s="154">
        <v>8.0000000000000002E-3</v>
      </c>
    </row>
    <row r="341" spans="1:20" s="73" customFormat="1" ht="15.6">
      <c r="A341" s="76" t="s">
        <v>5</v>
      </c>
      <c r="B341" s="106" t="s">
        <v>1884</v>
      </c>
      <c r="P341" s="151"/>
    </row>
    <row r="342" spans="1:20">
      <c r="A342" s="70" t="s">
        <v>7</v>
      </c>
      <c r="B342" t="s">
        <v>1709</v>
      </c>
      <c r="C342" s="72"/>
    </row>
    <row r="343" spans="1:20">
      <c r="A343" s="113" t="s">
        <v>9</v>
      </c>
      <c r="B343" t="s">
        <v>1885</v>
      </c>
      <c r="C343" s="72"/>
    </row>
    <row r="344" spans="1:20" ht="15.75" customHeight="1">
      <c r="A344" s="70" t="s">
        <v>11</v>
      </c>
      <c r="B344" s="71" t="s">
        <v>841</v>
      </c>
    </row>
    <row r="345" spans="1:20">
      <c r="A345" s="70" t="s">
        <v>13</v>
      </c>
      <c r="B345" t="s">
        <v>14</v>
      </c>
    </row>
    <row r="346" spans="1:20">
      <c r="A346" s="70" t="s">
        <v>15</v>
      </c>
      <c r="B346" s="111">
        <f>B351</f>
        <v>1.6E-2</v>
      </c>
    </row>
    <row r="347" spans="1:20">
      <c r="A347" s="70" t="s">
        <v>16</v>
      </c>
      <c r="B347" t="s">
        <v>17</v>
      </c>
    </row>
    <row r="348" spans="1:20">
      <c r="A348" s="70" t="s">
        <v>18</v>
      </c>
      <c r="B348" t="s">
        <v>853</v>
      </c>
    </row>
    <row r="349" spans="1:20" ht="15.6">
      <c r="A349" s="69" t="s">
        <v>19</v>
      </c>
    </row>
    <row r="350" spans="1:20" ht="15.6">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1"/>
    </row>
    <row r="351" spans="1:20" ht="15.6">
      <c r="A351" s="58" t="s">
        <v>1884</v>
      </c>
      <c r="B351" s="111">
        <f>P351</f>
        <v>1.6E-2</v>
      </c>
      <c r="C351" t="s">
        <v>853</v>
      </c>
      <c r="D351" s="110" t="s">
        <v>2</v>
      </c>
      <c r="E351" t="s">
        <v>29</v>
      </c>
      <c r="F351" t="s">
        <v>14</v>
      </c>
      <c r="G351" t="s">
        <v>30</v>
      </c>
      <c r="H351">
        <v>1</v>
      </c>
      <c r="I351" s="111">
        <f>B351</f>
        <v>1.6E-2</v>
      </c>
      <c r="J351" t="s">
        <v>31</v>
      </c>
      <c r="K351" t="s">
        <v>31</v>
      </c>
      <c r="L351" t="s">
        <v>31</v>
      </c>
      <c r="M351" t="s">
        <v>31</v>
      </c>
      <c r="O351" s="95" t="s">
        <v>873</v>
      </c>
      <c r="P351" s="151">
        <v>1.6E-2</v>
      </c>
    </row>
    <row r="352" spans="1:20">
      <c r="A352" s="84" t="s">
        <v>898</v>
      </c>
      <c r="B352">
        <f>P352</f>
        <v>0.03</v>
      </c>
      <c r="C352" t="s">
        <v>37</v>
      </c>
      <c r="D352" t="s">
        <v>416</v>
      </c>
      <c r="E352" t="s">
        <v>29</v>
      </c>
      <c r="F352" t="s">
        <v>82</v>
      </c>
      <c r="G352" t="s">
        <v>33</v>
      </c>
      <c r="H352">
        <v>2</v>
      </c>
      <c r="I352">
        <f t="shared" ref="I352:I362" si="3">LN(B352)</f>
        <v>-3.5065578973199818</v>
      </c>
      <c r="J352" s="125">
        <v>0.22516660498395411</v>
      </c>
      <c r="K352" t="s">
        <v>31</v>
      </c>
      <c r="L352" t="s">
        <v>31</v>
      </c>
      <c r="M352" t="s">
        <v>31</v>
      </c>
      <c r="O352" s="97" t="s">
        <v>275</v>
      </c>
      <c r="P352" s="134">
        <v>0.03</v>
      </c>
    </row>
    <row r="353" spans="1:18" ht="15.6">
      <c r="A353" s="67" t="s">
        <v>38</v>
      </c>
      <c r="B353" s="115">
        <f>P353</f>
        <v>0.33</v>
      </c>
      <c r="C353" t="s">
        <v>39</v>
      </c>
      <c r="D353" s="17" t="s">
        <v>416</v>
      </c>
      <c r="E353" t="s">
        <v>29</v>
      </c>
      <c r="F353" s="68" t="s">
        <v>35</v>
      </c>
      <c r="G353" t="s">
        <v>33</v>
      </c>
      <c r="H353">
        <v>2</v>
      </c>
      <c r="I353">
        <f t="shared" si="3"/>
        <v>-1.1086626245216111</v>
      </c>
      <c r="J353" s="125">
        <v>0.22516660498395411</v>
      </c>
      <c r="K353" t="s">
        <v>31</v>
      </c>
      <c r="L353" t="s">
        <v>31</v>
      </c>
      <c r="M353" t="s">
        <v>31</v>
      </c>
      <c r="O353" s="97" t="s">
        <v>271</v>
      </c>
      <c r="P353" s="134">
        <v>0.33</v>
      </c>
    </row>
    <row r="354" spans="1:18" ht="15.6">
      <c r="A354" s="84" t="s">
        <v>1018</v>
      </c>
      <c r="B354" s="111">
        <f>R354</f>
        <v>5.6000000000000006E-4</v>
      </c>
      <c r="C354" t="s">
        <v>37</v>
      </c>
      <c r="D354" s="17" t="s">
        <v>416</v>
      </c>
      <c r="E354" t="s">
        <v>29</v>
      </c>
      <c r="F354" t="s">
        <v>35</v>
      </c>
      <c r="G354" t="s">
        <v>33</v>
      </c>
      <c r="H354">
        <v>2</v>
      </c>
      <c r="I354">
        <f t="shared" si="3"/>
        <v>-7.487573774235079</v>
      </c>
      <c r="J354" s="125">
        <v>0.22516660498395411</v>
      </c>
      <c r="K354" t="s">
        <v>31</v>
      </c>
      <c r="L354" t="s">
        <v>31</v>
      </c>
      <c r="M354" t="s">
        <v>31</v>
      </c>
      <c r="O354" s="97" t="s">
        <v>857</v>
      </c>
      <c r="P354" s="156">
        <v>0.56000000000000005</v>
      </c>
      <c r="Q354" t="s">
        <v>275</v>
      </c>
      <c r="R354" s="111">
        <f>0.001*P354</f>
        <v>5.6000000000000006E-4</v>
      </c>
    </row>
    <row r="355" spans="1:18" ht="15.6">
      <c r="A355" s="84" t="s">
        <v>1019</v>
      </c>
      <c r="B355" s="111">
        <f>P355</f>
        <v>2.7000000000000001E-3</v>
      </c>
      <c r="C355" t="s">
        <v>37</v>
      </c>
      <c r="D355" s="17" t="s">
        <v>416</v>
      </c>
      <c r="E355" t="s">
        <v>29</v>
      </c>
      <c r="F355" t="s">
        <v>35</v>
      </c>
      <c r="G355" t="s">
        <v>33</v>
      </c>
      <c r="H355">
        <v>2</v>
      </c>
      <c r="I355">
        <f t="shared" si="3"/>
        <v>-5.9145035059718536</v>
      </c>
      <c r="J355" s="125">
        <v>0.22516660498395411</v>
      </c>
      <c r="K355" t="s">
        <v>31</v>
      </c>
      <c r="L355" t="s">
        <v>31</v>
      </c>
      <c r="M355" t="s">
        <v>31</v>
      </c>
      <c r="O355" s="97" t="s">
        <v>275</v>
      </c>
      <c r="P355" s="156">
        <v>2.7000000000000001E-3</v>
      </c>
    </row>
    <row r="356" spans="1:18" ht="15.6">
      <c r="A356" s="84" t="s">
        <v>1020</v>
      </c>
      <c r="B356" s="111">
        <f>P356</f>
        <v>2.2000000000000001E-3</v>
      </c>
      <c r="C356" t="s">
        <v>37</v>
      </c>
      <c r="D356" s="17" t="s">
        <v>416</v>
      </c>
      <c r="E356" t="s">
        <v>29</v>
      </c>
      <c r="F356" t="s">
        <v>35</v>
      </c>
      <c r="G356" t="s">
        <v>33</v>
      </c>
      <c r="H356">
        <v>2</v>
      </c>
      <c r="I356">
        <f t="shared" si="3"/>
        <v>-6.1192979186178666</v>
      </c>
      <c r="J356" s="125">
        <v>0.22516660498395411</v>
      </c>
      <c r="K356" t="s">
        <v>31</v>
      </c>
      <c r="L356" t="s">
        <v>31</v>
      </c>
      <c r="M356" t="s">
        <v>31</v>
      </c>
      <c r="O356" s="97" t="s">
        <v>275</v>
      </c>
      <c r="P356" s="156">
        <v>2.2000000000000001E-3</v>
      </c>
    </row>
    <row r="357" spans="1:18" ht="15.6">
      <c r="A357" s="84" t="s">
        <v>1021</v>
      </c>
      <c r="B357" s="111">
        <f>P357</f>
        <v>1.9E-2</v>
      </c>
      <c r="C357" t="s">
        <v>37</v>
      </c>
      <c r="D357" s="17" t="s">
        <v>416</v>
      </c>
      <c r="E357" t="s">
        <v>29</v>
      </c>
      <c r="F357" t="s">
        <v>35</v>
      </c>
      <c r="G357" t="s">
        <v>33</v>
      </c>
      <c r="H357">
        <v>2</v>
      </c>
      <c r="I357">
        <f t="shared" si="3"/>
        <v>-3.9633162998156966</v>
      </c>
      <c r="J357" s="125">
        <v>0.22516660498395411</v>
      </c>
      <c r="K357" t="s">
        <v>31</v>
      </c>
      <c r="L357" t="s">
        <v>31</v>
      </c>
      <c r="M357" t="s">
        <v>31</v>
      </c>
      <c r="O357" s="97" t="s">
        <v>275</v>
      </c>
      <c r="P357" s="134">
        <v>1.9E-2</v>
      </c>
    </row>
    <row r="358" spans="1:18" ht="15.6">
      <c r="A358" s="84" t="s">
        <v>1022</v>
      </c>
      <c r="B358" s="111">
        <f>R358</f>
        <v>1.1E-4</v>
      </c>
      <c r="C358" t="s">
        <v>37</v>
      </c>
      <c r="D358" s="17" t="s">
        <v>43</v>
      </c>
      <c r="E358" t="s">
        <v>44</v>
      </c>
      <c r="F358" t="s">
        <v>29</v>
      </c>
      <c r="G358" t="s">
        <v>45</v>
      </c>
      <c r="H358">
        <v>2</v>
      </c>
      <c r="I358">
        <f t="shared" si="3"/>
        <v>-9.1150301921718579</v>
      </c>
      <c r="J358" s="125">
        <v>0.10344080432788608</v>
      </c>
      <c r="K358" t="s">
        <v>31</v>
      </c>
      <c r="L358" t="s">
        <v>31</v>
      </c>
      <c r="M358" t="s">
        <v>31</v>
      </c>
      <c r="O358" s="128" t="s">
        <v>857</v>
      </c>
      <c r="P358" s="176">
        <v>0.11</v>
      </c>
      <c r="Q358" t="s">
        <v>275</v>
      </c>
      <c r="R358" s="111">
        <f>0.001*P358</f>
        <v>1.1E-4</v>
      </c>
    </row>
    <row r="359" spans="1:18" ht="15.6">
      <c r="A359" s="84" t="s">
        <v>77</v>
      </c>
      <c r="B359" s="111">
        <f>R359</f>
        <v>1E-3</v>
      </c>
      <c r="C359" t="s">
        <v>37</v>
      </c>
      <c r="D359" s="17" t="s">
        <v>43</v>
      </c>
      <c r="E359" t="s">
        <v>44</v>
      </c>
      <c r="F359" t="s">
        <v>29</v>
      </c>
      <c r="G359" t="s">
        <v>45</v>
      </c>
      <c r="H359">
        <v>2</v>
      </c>
      <c r="I359">
        <f t="shared" si="3"/>
        <v>-6.9077552789821368</v>
      </c>
      <c r="J359" s="125">
        <v>0.10344080432788608</v>
      </c>
      <c r="K359" t="s">
        <v>31</v>
      </c>
      <c r="L359" t="s">
        <v>31</v>
      </c>
      <c r="M359" t="s">
        <v>31</v>
      </c>
      <c r="O359" s="128" t="s">
        <v>857</v>
      </c>
      <c r="P359" s="176">
        <v>1</v>
      </c>
      <c r="Q359" t="s">
        <v>275</v>
      </c>
      <c r="R359" s="111">
        <f>0.001*P359</f>
        <v>1E-3</v>
      </c>
    </row>
    <row r="360" spans="1:18" ht="15.6">
      <c r="A360" s="84" t="s">
        <v>1023</v>
      </c>
      <c r="B360" s="111">
        <f>R360</f>
        <v>7.8000000000000009E-4</v>
      </c>
      <c r="C360" t="s">
        <v>37</v>
      </c>
      <c r="D360" s="17" t="s">
        <v>43</v>
      </c>
      <c r="E360" t="s">
        <v>44</v>
      </c>
      <c r="F360" t="s">
        <v>29</v>
      </c>
      <c r="G360" t="s">
        <v>45</v>
      </c>
      <c r="H360">
        <v>2</v>
      </c>
      <c r="I360">
        <f t="shared" si="3"/>
        <v>-7.1562166382806369</v>
      </c>
      <c r="J360" s="125">
        <v>0.10344080432788608</v>
      </c>
      <c r="K360" t="s">
        <v>31</v>
      </c>
      <c r="L360" t="s">
        <v>31</v>
      </c>
      <c r="M360" t="s">
        <v>31</v>
      </c>
      <c r="O360" s="128" t="s">
        <v>857</v>
      </c>
      <c r="P360" s="176">
        <v>0.78</v>
      </c>
      <c r="Q360" t="s">
        <v>275</v>
      </c>
      <c r="R360" s="111">
        <f>0.001*P360</f>
        <v>7.8000000000000009E-4</v>
      </c>
    </row>
    <row r="361" spans="1:18">
      <c r="A361" s="84" t="s">
        <v>807</v>
      </c>
      <c r="B361" s="111">
        <f>R361</f>
        <v>4.5000000000000004E-4</v>
      </c>
      <c r="C361" t="s">
        <v>37</v>
      </c>
      <c r="D361" t="s">
        <v>43</v>
      </c>
      <c r="E361" t="s">
        <v>44</v>
      </c>
      <c r="F361" t="s">
        <v>29</v>
      </c>
      <c r="G361" t="s">
        <v>45</v>
      </c>
      <c r="H361">
        <v>2</v>
      </c>
      <c r="I361">
        <f t="shared" si="3"/>
        <v>-7.706262975199909</v>
      </c>
      <c r="J361" s="125">
        <v>0.10344080432788608</v>
      </c>
      <c r="K361" t="s">
        <v>31</v>
      </c>
      <c r="L361" t="s">
        <v>31</v>
      </c>
      <c r="M361" t="s">
        <v>31</v>
      </c>
      <c r="O361" s="128" t="s">
        <v>857</v>
      </c>
      <c r="P361" s="176">
        <v>0.45</v>
      </c>
      <c r="Q361" t="s">
        <v>275</v>
      </c>
      <c r="R361" s="111">
        <f>0.001*P361</f>
        <v>4.5000000000000004E-4</v>
      </c>
    </row>
    <row r="362" spans="1:18" ht="15.6">
      <c r="A362" s="17" t="s">
        <v>1714</v>
      </c>
      <c r="B362" s="111">
        <f>P362</f>
        <v>6.0000000000000001E-3</v>
      </c>
      <c r="C362" t="s">
        <v>37</v>
      </c>
      <c r="D362" s="110" t="s">
        <v>2</v>
      </c>
      <c r="E362" t="s">
        <v>29</v>
      </c>
      <c r="F362" s="68" t="s">
        <v>74</v>
      </c>
      <c r="G362" t="s">
        <v>33</v>
      </c>
      <c r="H362">
        <v>2</v>
      </c>
      <c r="I362">
        <f t="shared" si="3"/>
        <v>-5.1159958097540823</v>
      </c>
      <c r="J362">
        <v>0.11269427669584645</v>
      </c>
      <c r="K362" t="s">
        <v>31</v>
      </c>
      <c r="L362" t="s">
        <v>31</v>
      </c>
      <c r="M362" t="s">
        <v>31</v>
      </c>
      <c r="O362" s="124" t="s">
        <v>275</v>
      </c>
      <c r="P362" s="154">
        <v>6.0000000000000001E-3</v>
      </c>
    </row>
    <row r="363" spans="1:18">
      <c r="P363" s="1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1827-B074-4743-BB1A-5151DCDCD2F8}">
  <sheetPr>
    <tabColor theme="9"/>
  </sheetPr>
  <dimension ref="A1:P72"/>
  <sheetViews>
    <sheetView zoomScale="85" zoomScaleNormal="85" workbookViewId="0">
      <selection activeCell="B5" sqref="B5"/>
    </sheetView>
  </sheetViews>
  <sheetFormatPr defaultRowHeight="14.4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185" customFormat="1" ht="15.6">
      <c r="A2" s="182" t="s">
        <v>5</v>
      </c>
      <c r="B2" s="182" t="s">
        <v>189</v>
      </c>
      <c r="C2" s="182"/>
      <c r="D2" s="183"/>
      <c r="E2" s="184"/>
      <c r="F2" s="184"/>
      <c r="G2" s="184"/>
      <c r="H2" s="184"/>
      <c r="I2" s="184"/>
      <c r="J2" s="184"/>
      <c r="K2" s="184"/>
      <c r="L2" s="184"/>
      <c r="M2" s="184"/>
      <c r="N2" s="184"/>
      <c r="O2" s="184"/>
      <c r="P2" s="184"/>
    </row>
    <row r="3" spans="1:16">
      <c r="A3" s="58" t="s">
        <v>7</v>
      </c>
      <c r="B3" s="58" t="s">
        <v>190</v>
      </c>
      <c r="C3" s="58"/>
      <c r="D3" s="58"/>
      <c r="E3" s="58"/>
      <c r="F3" s="58"/>
      <c r="G3" s="58"/>
      <c r="H3" s="58"/>
      <c r="I3" s="58"/>
      <c r="J3" s="58"/>
      <c r="K3" s="58"/>
      <c r="L3" s="58"/>
      <c r="M3" s="58"/>
      <c r="N3" s="58"/>
      <c r="O3" s="58"/>
      <c r="P3" s="58"/>
    </row>
    <row r="4" spans="1:16">
      <c r="A4" s="58" t="s">
        <v>9</v>
      </c>
      <c r="B4" s="201" t="s">
        <v>191</v>
      </c>
      <c r="C4" s="58"/>
      <c r="D4" s="58"/>
      <c r="E4" s="58"/>
      <c r="F4" s="58"/>
      <c r="G4" s="58"/>
      <c r="H4" s="58"/>
      <c r="I4" s="58"/>
      <c r="J4" s="58"/>
      <c r="K4" s="58"/>
      <c r="L4" s="58"/>
      <c r="M4" s="58"/>
      <c r="N4" s="58"/>
      <c r="O4" s="58"/>
      <c r="P4" s="58"/>
    </row>
    <row r="5" spans="1:16">
      <c r="A5" s="58" t="s">
        <v>11</v>
      </c>
      <c r="B5" s="58" t="s">
        <v>192</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c r="A9" s="58" t="s">
        <v>18</v>
      </c>
      <c r="B9" s="58" t="s">
        <v>18</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
        <v>189</v>
      </c>
      <c r="B12" s="180">
        <v>1</v>
      </c>
      <c r="C12" s="180"/>
      <c r="D12" s="180" t="s">
        <v>18</v>
      </c>
      <c r="E12" s="58" t="s">
        <v>2</v>
      </c>
      <c r="F12" s="58" t="s">
        <v>193</v>
      </c>
      <c r="G12" s="180" t="s">
        <v>59</v>
      </c>
      <c r="H12" s="58" t="s">
        <v>30</v>
      </c>
      <c r="I12" s="58">
        <v>0</v>
      </c>
      <c r="J12" s="180" t="s">
        <v>31</v>
      </c>
      <c r="K12" s="180" t="s">
        <v>31</v>
      </c>
      <c r="L12" s="180" t="s">
        <v>31</v>
      </c>
      <c r="M12" s="180" t="s">
        <v>31</v>
      </c>
      <c r="N12" s="180" t="s">
        <v>31</v>
      </c>
      <c r="O12" s="58"/>
      <c r="P12" s="58"/>
    </row>
    <row r="13" spans="1:16" ht="15.6">
      <c r="A13" t="s">
        <v>194</v>
      </c>
      <c r="B13" s="23">
        <f>-0.6651</f>
        <v>-0.66510000000000002</v>
      </c>
      <c r="C13" s="180"/>
      <c r="D13" s="180" t="s">
        <v>37</v>
      </c>
      <c r="E13" s="84" t="s">
        <v>40</v>
      </c>
      <c r="F13" s="58" t="s">
        <v>193</v>
      </c>
      <c r="G13" s="180" t="s">
        <v>82</v>
      </c>
      <c r="H13" s="58" t="s">
        <v>33</v>
      </c>
      <c r="I13" s="58">
        <v>0</v>
      </c>
      <c r="J13" s="180" t="s">
        <v>31</v>
      </c>
      <c r="K13" s="180" t="s">
        <v>31</v>
      </c>
      <c r="L13" s="180" t="s">
        <v>31</v>
      </c>
      <c r="M13" s="180" t="s">
        <v>31</v>
      </c>
      <c r="N13" s="180" t="s">
        <v>31</v>
      </c>
      <c r="O13" s="58" t="s">
        <v>195</v>
      </c>
      <c r="P13" s="58" t="s">
        <v>196</v>
      </c>
    </row>
    <row r="14" spans="1:16" s="185" customFormat="1" ht="15.6">
      <c r="A14" s="182" t="s">
        <v>5</v>
      </c>
      <c r="B14" s="182" t="s">
        <v>197</v>
      </c>
      <c r="C14" s="182"/>
      <c r="D14" s="183"/>
      <c r="E14" s="184"/>
      <c r="F14" s="184"/>
      <c r="G14" s="184"/>
      <c r="H14" s="184"/>
      <c r="I14" s="184"/>
      <c r="J14" s="184"/>
      <c r="K14" s="184"/>
      <c r="L14" s="184"/>
      <c r="M14" s="184"/>
      <c r="N14" s="184"/>
      <c r="O14" s="184"/>
      <c r="P14" s="184"/>
    </row>
    <row r="15" spans="1:16">
      <c r="A15" s="58" t="s">
        <v>7</v>
      </c>
      <c r="B15" s="58" t="s">
        <v>190</v>
      </c>
      <c r="C15" s="58"/>
      <c r="D15" s="58"/>
      <c r="E15" s="58"/>
      <c r="F15" s="58"/>
      <c r="G15" s="58"/>
      <c r="H15" s="58"/>
      <c r="I15" s="58"/>
      <c r="J15" s="58"/>
      <c r="K15" s="58"/>
      <c r="L15" s="58"/>
      <c r="M15" s="58"/>
      <c r="N15" s="58"/>
      <c r="O15" s="58"/>
      <c r="P15" s="58"/>
    </row>
    <row r="16" spans="1:16">
      <c r="A16" s="58" t="s">
        <v>9</v>
      </c>
      <c r="B16" s="201" t="s">
        <v>198</v>
      </c>
      <c r="C16" s="58"/>
      <c r="D16" s="58"/>
      <c r="E16" s="58"/>
      <c r="F16" s="58"/>
      <c r="G16" s="58"/>
      <c r="H16" s="58"/>
      <c r="I16" s="58"/>
      <c r="J16" s="58"/>
      <c r="K16" s="58"/>
      <c r="L16" s="58"/>
      <c r="M16" s="58"/>
      <c r="N16" s="58"/>
      <c r="O16" s="58"/>
      <c r="P16" s="58"/>
    </row>
    <row r="17" spans="1:16">
      <c r="A17" s="58" t="s">
        <v>11</v>
      </c>
      <c r="B17" s="201" t="s">
        <v>199</v>
      </c>
      <c r="C17" s="58"/>
      <c r="D17" s="58"/>
      <c r="E17" s="58"/>
      <c r="F17" s="58"/>
      <c r="G17" s="58"/>
      <c r="H17" s="58"/>
      <c r="I17" s="58"/>
      <c r="J17" s="58"/>
      <c r="K17" s="58"/>
      <c r="L17" s="58"/>
      <c r="M17" s="58"/>
      <c r="N17" s="58"/>
      <c r="O17" s="58"/>
      <c r="P17" s="58"/>
    </row>
    <row r="18" spans="1:16">
      <c r="A18" s="58" t="s">
        <v>13</v>
      </c>
      <c r="B18" s="58" t="s">
        <v>59</v>
      </c>
      <c r="C18" s="58"/>
      <c r="D18" s="58"/>
      <c r="E18" s="58"/>
      <c r="F18" s="58"/>
      <c r="G18" s="58"/>
      <c r="H18" s="58"/>
      <c r="I18" s="58"/>
      <c r="J18" s="58"/>
      <c r="K18" s="58"/>
      <c r="L18" s="58"/>
      <c r="M18" s="58"/>
      <c r="N18" s="58"/>
      <c r="O18" s="58"/>
      <c r="P18" s="58"/>
    </row>
    <row r="19" spans="1:16">
      <c r="A19" s="58" t="s">
        <v>15</v>
      </c>
      <c r="B19" s="58">
        <v>1</v>
      </c>
      <c r="C19" s="58"/>
      <c r="D19" s="58"/>
      <c r="E19" s="58"/>
      <c r="F19" s="58"/>
      <c r="G19" s="58"/>
      <c r="H19" s="58"/>
      <c r="I19" s="58"/>
      <c r="J19" s="58"/>
      <c r="K19" s="58"/>
      <c r="L19" s="58"/>
      <c r="M19" s="58"/>
      <c r="N19" s="58"/>
      <c r="O19" s="58"/>
      <c r="P19" s="58"/>
    </row>
    <row r="20" spans="1:16">
      <c r="A20" s="58" t="s">
        <v>16</v>
      </c>
      <c r="B20" s="58" t="s">
        <v>17</v>
      </c>
      <c r="C20" s="58"/>
      <c r="D20" s="58"/>
      <c r="E20" s="58"/>
      <c r="F20" s="58"/>
      <c r="G20" s="58"/>
      <c r="H20" s="58"/>
      <c r="I20" s="58"/>
      <c r="J20" s="58"/>
      <c r="K20" s="58"/>
      <c r="L20" s="58"/>
      <c r="M20" s="58"/>
      <c r="N20" s="58"/>
      <c r="O20" s="58"/>
      <c r="P20" s="58"/>
    </row>
    <row r="21" spans="1:16">
      <c r="A21" s="58" t="s">
        <v>18</v>
      </c>
      <c r="B21" s="58" t="s">
        <v>18</v>
      </c>
      <c r="C21" s="58"/>
      <c r="D21" s="58"/>
      <c r="E21" s="58" t="s">
        <v>185</v>
      </c>
      <c r="F21" s="58"/>
      <c r="G21" s="58"/>
      <c r="H21" s="58"/>
      <c r="I21" s="58"/>
      <c r="J21" s="58"/>
      <c r="K21" s="58"/>
      <c r="L21" s="58"/>
      <c r="M21" s="58"/>
      <c r="N21" s="58"/>
      <c r="O21" s="58"/>
      <c r="P21" s="58"/>
    </row>
    <row r="22" spans="1:16" ht="15.6">
      <c r="A22" s="181" t="s">
        <v>19</v>
      </c>
      <c r="B22" s="58"/>
      <c r="C22" s="58"/>
      <c r="D22" s="58"/>
      <c r="E22" s="58"/>
      <c r="F22" s="58"/>
      <c r="G22" s="58"/>
      <c r="H22" s="58"/>
      <c r="I22" s="58"/>
      <c r="J22" s="58"/>
      <c r="K22" s="58"/>
      <c r="L22" s="58"/>
      <c r="M22" s="58"/>
      <c r="N22" s="58"/>
      <c r="O22" s="58"/>
      <c r="P22" s="58"/>
    </row>
    <row r="23" spans="1:16" ht="15.6">
      <c r="A23" s="181" t="s">
        <v>20</v>
      </c>
      <c r="B23" s="181" t="s">
        <v>21</v>
      </c>
      <c r="C23" s="181" t="s">
        <v>186</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187</v>
      </c>
    </row>
    <row r="24" spans="1:16" ht="15.6">
      <c r="A24" s="180" t="s">
        <v>197</v>
      </c>
      <c r="B24" s="180">
        <v>1</v>
      </c>
      <c r="C24" s="180"/>
      <c r="D24" s="180" t="s">
        <v>18</v>
      </c>
      <c r="E24" s="58" t="s">
        <v>2</v>
      </c>
      <c r="F24" s="58" t="s">
        <v>193</v>
      </c>
      <c r="G24" s="180" t="s">
        <v>59</v>
      </c>
      <c r="H24" s="58" t="s">
        <v>30</v>
      </c>
      <c r="I24" s="58">
        <v>0</v>
      </c>
      <c r="J24" s="180" t="s">
        <v>31</v>
      </c>
      <c r="K24" s="180" t="s">
        <v>31</v>
      </c>
      <c r="L24" s="180" t="s">
        <v>31</v>
      </c>
      <c r="M24" s="180" t="s">
        <v>31</v>
      </c>
      <c r="N24" s="180" t="s">
        <v>31</v>
      </c>
      <c r="O24" s="58" t="s">
        <v>200</v>
      </c>
      <c r="P24" s="58"/>
    </row>
    <row r="25" spans="1:16" ht="15.6">
      <c r="A25" t="s">
        <v>201</v>
      </c>
      <c r="B25" s="202">
        <v>32.021300000000004</v>
      </c>
      <c r="C25" s="180"/>
      <c r="D25" s="180" t="s">
        <v>37</v>
      </c>
      <c r="E25" s="37" t="s">
        <v>40</v>
      </c>
      <c r="F25" s="58" t="s">
        <v>193</v>
      </c>
      <c r="G25" t="s">
        <v>82</v>
      </c>
      <c r="H25" s="58" t="s">
        <v>33</v>
      </c>
      <c r="I25" s="58">
        <v>0</v>
      </c>
      <c r="J25" s="180" t="s">
        <v>31</v>
      </c>
      <c r="K25" s="180" t="s">
        <v>31</v>
      </c>
      <c r="L25" s="180" t="s">
        <v>31</v>
      </c>
      <c r="M25" s="180" t="s">
        <v>31</v>
      </c>
      <c r="N25" s="180" t="s">
        <v>31</v>
      </c>
      <c r="O25" s="58"/>
      <c r="P25" s="58"/>
    </row>
    <row r="26" spans="1:16" ht="15.6">
      <c r="A26" t="s">
        <v>202</v>
      </c>
      <c r="B26" s="202">
        <v>32.021300000000004</v>
      </c>
      <c r="C26" s="22" t="s">
        <v>203</v>
      </c>
      <c r="D26" t="s">
        <v>37</v>
      </c>
      <c r="E26" s="188" t="s">
        <v>40</v>
      </c>
      <c r="F26" s="58" t="s">
        <v>193</v>
      </c>
      <c r="G26" t="s">
        <v>82</v>
      </c>
      <c r="H26" s="58" t="s">
        <v>33</v>
      </c>
      <c r="I26" s="58">
        <v>0</v>
      </c>
      <c r="J26" s="180" t="s">
        <v>31</v>
      </c>
      <c r="K26" s="180" t="s">
        <v>31</v>
      </c>
      <c r="L26" s="180" t="s">
        <v>31</v>
      </c>
      <c r="M26" s="180" t="s">
        <v>31</v>
      </c>
      <c r="N26" s="180" t="s">
        <v>31</v>
      </c>
      <c r="O26" t="s">
        <v>204</v>
      </c>
    </row>
    <row r="27" spans="1:16" ht="15.6">
      <c r="A27" t="s">
        <v>205</v>
      </c>
      <c r="B27">
        <f>B26*0.9</f>
        <v>28.819170000000003</v>
      </c>
      <c r="D27" t="s">
        <v>37</v>
      </c>
      <c r="E27" s="188" t="s">
        <v>40</v>
      </c>
      <c r="F27" s="58" t="s">
        <v>193</v>
      </c>
      <c r="G27" t="s">
        <v>59</v>
      </c>
      <c r="H27" s="58" t="s">
        <v>136</v>
      </c>
      <c r="I27" s="58">
        <v>0</v>
      </c>
      <c r="J27" s="180" t="s">
        <v>31</v>
      </c>
      <c r="K27" s="180" t="s">
        <v>31</v>
      </c>
      <c r="L27" s="180" t="s">
        <v>31</v>
      </c>
      <c r="M27" s="180" t="s">
        <v>31</v>
      </c>
      <c r="N27" s="180" t="s">
        <v>31</v>
      </c>
      <c r="O27" s="58" t="s">
        <v>206</v>
      </c>
    </row>
    <row r="28" spans="1:16" ht="15.6">
      <c r="A28" t="s">
        <v>207</v>
      </c>
      <c r="B28" s="203">
        <v>22.540399999999998</v>
      </c>
      <c r="C28" t="s">
        <v>208</v>
      </c>
      <c r="D28" t="s">
        <v>37</v>
      </c>
      <c r="E28" s="188" t="s">
        <v>40</v>
      </c>
      <c r="F28" s="58" t="s">
        <v>193</v>
      </c>
      <c r="G28" t="s">
        <v>82</v>
      </c>
      <c r="H28" t="s">
        <v>33</v>
      </c>
      <c r="I28" s="58">
        <v>0</v>
      </c>
      <c r="J28" s="180" t="s">
        <v>31</v>
      </c>
      <c r="K28" s="180" t="s">
        <v>31</v>
      </c>
      <c r="L28" s="180" t="s">
        <v>31</v>
      </c>
      <c r="M28" s="180" t="s">
        <v>31</v>
      </c>
      <c r="N28" s="180" t="s">
        <v>31</v>
      </c>
    </row>
    <row r="29" spans="1:16" ht="15.6">
      <c r="A29" t="s">
        <v>209</v>
      </c>
      <c r="B29">
        <f>0.9*B28</f>
        <v>20.286359999999998</v>
      </c>
      <c r="D29" t="s">
        <v>37</v>
      </c>
      <c r="E29" s="188" t="s">
        <v>40</v>
      </c>
      <c r="F29" s="58" t="s">
        <v>193</v>
      </c>
      <c r="G29" t="s">
        <v>59</v>
      </c>
      <c r="H29" t="s">
        <v>136</v>
      </c>
      <c r="I29" s="58">
        <v>0</v>
      </c>
      <c r="J29" s="180" t="s">
        <v>31</v>
      </c>
      <c r="K29" s="180" t="s">
        <v>31</v>
      </c>
      <c r="L29" s="180" t="s">
        <v>31</v>
      </c>
      <c r="M29" s="180" t="s">
        <v>31</v>
      </c>
      <c r="N29" s="180" t="s">
        <v>31</v>
      </c>
      <c r="O29" s="58" t="s">
        <v>206</v>
      </c>
    </row>
    <row r="30" spans="1:16" ht="16.5" customHeight="1">
      <c r="A30" t="s">
        <v>210</v>
      </c>
      <c r="B30" s="204">
        <f>-((B28-B29)+(B26-B27)+5.1011)</f>
        <v>-10.557269999999999</v>
      </c>
      <c r="D30" t="s">
        <v>37</v>
      </c>
      <c r="E30" s="84" t="s">
        <v>40</v>
      </c>
      <c r="F30" s="58" t="s">
        <v>193</v>
      </c>
      <c r="G30" t="s">
        <v>59</v>
      </c>
      <c r="H30" t="s">
        <v>33</v>
      </c>
      <c r="I30">
        <v>0</v>
      </c>
      <c r="J30" t="s">
        <v>31</v>
      </c>
      <c r="K30" t="s">
        <v>31</v>
      </c>
      <c r="L30" t="s">
        <v>31</v>
      </c>
      <c r="M30" t="s">
        <v>31</v>
      </c>
      <c r="N30" t="s">
        <v>31</v>
      </c>
      <c r="O30" s="17" t="s">
        <v>211</v>
      </c>
    </row>
    <row r="31" spans="1:16" s="185" customFormat="1" ht="15.6">
      <c r="A31" s="182" t="s">
        <v>5</v>
      </c>
      <c r="B31" s="182" t="s">
        <v>212</v>
      </c>
      <c r="C31" s="182"/>
      <c r="D31" s="183"/>
      <c r="E31" s="184"/>
      <c r="F31" s="184"/>
      <c r="G31" s="184"/>
      <c r="H31" s="184"/>
      <c r="I31" s="184"/>
      <c r="J31" s="184"/>
      <c r="K31" s="184"/>
      <c r="L31" s="184"/>
      <c r="M31" s="184"/>
      <c r="N31" s="184"/>
      <c r="O31" s="184"/>
      <c r="P31" s="184"/>
    </row>
    <row r="32" spans="1:16">
      <c r="A32" s="58" t="s">
        <v>7</v>
      </c>
      <c r="B32" s="58" t="s">
        <v>190</v>
      </c>
      <c r="C32" s="58"/>
      <c r="D32" s="58"/>
      <c r="E32" s="58"/>
      <c r="F32" s="58"/>
      <c r="G32" s="58"/>
      <c r="H32" s="58"/>
      <c r="I32" s="58"/>
      <c r="J32" s="58"/>
      <c r="K32" s="58"/>
      <c r="L32" s="58"/>
      <c r="M32" s="58"/>
      <c r="N32" s="58"/>
      <c r="O32" s="58"/>
      <c r="P32" s="58"/>
    </row>
    <row r="33" spans="1:16">
      <c r="A33" s="58" t="s">
        <v>9</v>
      </c>
      <c r="B33" s="201" t="s">
        <v>213</v>
      </c>
      <c r="C33" s="58"/>
      <c r="D33" s="58"/>
      <c r="E33" s="58"/>
      <c r="F33" s="58"/>
      <c r="G33" s="58"/>
      <c r="H33" s="58"/>
      <c r="I33" s="58"/>
      <c r="J33" s="58"/>
      <c r="K33" s="58"/>
      <c r="L33" s="58"/>
      <c r="M33" s="58"/>
      <c r="N33" s="58"/>
      <c r="O33" s="58"/>
      <c r="P33" s="58"/>
    </row>
    <row r="34" spans="1:16">
      <c r="A34" s="58" t="s">
        <v>11</v>
      </c>
      <c r="B34" s="58" t="s">
        <v>214</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c r="A38" s="58" t="s">
        <v>18</v>
      </c>
      <c r="B38" s="58" t="s">
        <v>18</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
        <v>212</v>
      </c>
      <c r="B41" s="180">
        <v>1</v>
      </c>
      <c r="C41" s="180"/>
      <c r="D41" s="180" t="s">
        <v>18</v>
      </c>
      <c r="E41" s="58" t="s">
        <v>2</v>
      </c>
      <c r="F41" s="58" t="s">
        <v>193</v>
      </c>
      <c r="G41" s="180" t="s">
        <v>59</v>
      </c>
      <c r="H41" s="58" t="s">
        <v>30</v>
      </c>
      <c r="I41" s="58">
        <v>0</v>
      </c>
      <c r="J41" s="180" t="s">
        <v>31</v>
      </c>
      <c r="K41" s="180" t="s">
        <v>31</v>
      </c>
      <c r="L41" s="180" t="s">
        <v>31</v>
      </c>
      <c r="M41" s="180" t="s">
        <v>31</v>
      </c>
      <c r="N41" s="180" t="s">
        <v>31</v>
      </c>
      <c r="O41" s="58" t="s">
        <v>215</v>
      </c>
      <c r="P41" s="58"/>
    </row>
    <row r="42" spans="1:16" ht="15.6">
      <c r="A42" s="84" t="s">
        <v>216</v>
      </c>
      <c r="B42" s="175">
        <v>-8.6300000000000008</v>
      </c>
      <c r="D42" t="s">
        <v>37</v>
      </c>
      <c r="E42" s="188" t="s">
        <v>40</v>
      </c>
      <c r="F42" s="58" t="s">
        <v>193</v>
      </c>
      <c r="G42" t="s">
        <v>82</v>
      </c>
      <c r="H42" t="s">
        <v>33</v>
      </c>
      <c r="I42" s="58">
        <v>0</v>
      </c>
      <c r="J42" s="180" t="s">
        <v>31</v>
      </c>
      <c r="K42" s="180" t="s">
        <v>31</v>
      </c>
      <c r="L42" s="180" t="s">
        <v>31</v>
      </c>
      <c r="M42" s="180" t="s">
        <v>31</v>
      </c>
      <c r="N42" s="180" t="s">
        <v>31</v>
      </c>
      <c r="O42" s="58" t="s">
        <v>215</v>
      </c>
      <c r="P42" s="180" t="s">
        <v>217</v>
      </c>
    </row>
    <row r="43" spans="1:16" ht="15.6">
      <c r="A43" t="s">
        <v>38</v>
      </c>
      <c r="B43">
        <f>B44*0.277777777</f>
        <v>41.687694327718901</v>
      </c>
      <c r="D43" t="s">
        <v>39</v>
      </c>
      <c r="E43" s="188" t="s">
        <v>40</v>
      </c>
      <c r="F43" s="58" t="s">
        <v>193</v>
      </c>
      <c r="G43" t="s">
        <v>59</v>
      </c>
      <c r="H43" s="58" t="s">
        <v>136</v>
      </c>
      <c r="I43" s="58">
        <v>0</v>
      </c>
      <c r="J43" s="180" t="s">
        <v>31</v>
      </c>
      <c r="K43" s="180" t="s">
        <v>31</v>
      </c>
      <c r="L43" s="180" t="s">
        <v>31</v>
      </c>
      <c r="M43" s="180" t="s">
        <v>31</v>
      </c>
      <c r="N43" s="180" t="s">
        <v>31</v>
      </c>
      <c r="O43" t="s">
        <v>218</v>
      </c>
    </row>
    <row r="44" spans="1:16" ht="15.6">
      <c r="A44" t="s">
        <v>70</v>
      </c>
      <c r="B44">
        <f>-B42*0.5*34.78</f>
        <v>150.07570000000001</v>
      </c>
      <c r="D44" t="s">
        <v>71</v>
      </c>
      <c r="E44" s="188" t="s">
        <v>40</v>
      </c>
      <c r="F44" s="58" t="s">
        <v>193</v>
      </c>
      <c r="G44" t="s">
        <v>59</v>
      </c>
      <c r="H44" s="58" t="s">
        <v>136</v>
      </c>
      <c r="I44" s="58">
        <v>0</v>
      </c>
      <c r="J44" s="180" t="s">
        <v>31</v>
      </c>
      <c r="K44" s="180" t="s">
        <v>31</v>
      </c>
      <c r="L44" s="180" t="s">
        <v>31</v>
      </c>
      <c r="M44" s="180" t="s">
        <v>31</v>
      </c>
      <c r="N44" s="180" t="s">
        <v>31</v>
      </c>
      <c r="O44" t="s">
        <v>219</v>
      </c>
    </row>
    <row r="45" spans="1:16" s="185" customFormat="1" ht="15.6">
      <c r="A45" s="182" t="s">
        <v>5</v>
      </c>
      <c r="B45" s="182" t="s">
        <v>220</v>
      </c>
      <c r="C45" s="182"/>
      <c r="D45" s="183"/>
      <c r="E45" s="184"/>
      <c r="F45" s="184"/>
      <c r="G45" s="184"/>
      <c r="H45" s="184"/>
      <c r="I45" s="184"/>
      <c r="J45" s="184"/>
      <c r="K45" s="184"/>
      <c r="L45" s="184"/>
      <c r="M45" s="184"/>
      <c r="N45" s="184"/>
      <c r="O45" s="184"/>
      <c r="P45" s="184"/>
    </row>
    <row r="46" spans="1:16">
      <c r="A46" s="58" t="s">
        <v>7</v>
      </c>
      <c r="B46" s="58" t="s">
        <v>190</v>
      </c>
      <c r="C46" s="58"/>
      <c r="D46" s="58"/>
      <c r="E46" s="58"/>
      <c r="F46" s="58"/>
      <c r="G46" s="58"/>
      <c r="H46" s="58"/>
      <c r="I46" s="58"/>
      <c r="J46" s="58"/>
      <c r="K46" s="58"/>
      <c r="L46" s="58"/>
      <c r="M46" s="58"/>
      <c r="N46" s="58"/>
      <c r="O46" s="58"/>
      <c r="P46" s="58"/>
    </row>
    <row r="47" spans="1:16">
      <c r="A47" s="58" t="s">
        <v>9</v>
      </c>
      <c r="B47" s="201" t="s">
        <v>221</v>
      </c>
      <c r="C47" s="58"/>
      <c r="D47" s="58"/>
      <c r="E47" s="58"/>
      <c r="F47" s="58"/>
      <c r="G47" s="58"/>
      <c r="H47" s="58"/>
      <c r="I47" s="58"/>
      <c r="J47" s="58"/>
      <c r="K47" s="58"/>
      <c r="L47" s="58"/>
      <c r="M47" s="58"/>
      <c r="N47" s="58"/>
      <c r="O47" s="58"/>
      <c r="P47" s="58"/>
    </row>
    <row r="48" spans="1:16">
      <c r="A48" s="58" t="s">
        <v>11</v>
      </c>
      <c r="B48" s="58" t="s">
        <v>222</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c r="A52" s="58" t="s">
        <v>18</v>
      </c>
      <c r="B52" s="58" t="s">
        <v>18</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
        <v>220</v>
      </c>
      <c r="B55" s="180">
        <v>1</v>
      </c>
      <c r="C55" s="180"/>
      <c r="D55" s="180" t="s">
        <v>18</v>
      </c>
      <c r="E55" s="58" t="s">
        <v>2</v>
      </c>
      <c r="F55" s="58" t="s">
        <v>193</v>
      </c>
      <c r="G55" s="180" t="s">
        <v>59</v>
      </c>
      <c r="H55" s="58" t="s">
        <v>30</v>
      </c>
      <c r="I55" s="58">
        <v>0</v>
      </c>
      <c r="J55" s="180" t="s">
        <v>31</v>
      </c>
      <c r="K55" s="180" t="s">
        <v>31</v>
      </c>
      <c r="L55" s="180" t="s">
        <v>31</v>
      </c>
      <c r="M55" s="180" t="s">
        <v>31</v>
      </c>
      <c r="N55" s="180" t="s">
        <v>31</v>
      </c>
      <c r="O55" s="58"/>
      <c r="P55" s="58"/>
    </row>
    <row r="56" spans="1:16" ht="15.6">
      <c r="A56" s="84" t="s">
        <v>223</v>
      </c>
      <c r="B56" s="58">
        <f>-1.78</f>
        <v>-1.78</v>
      </c>
      <c r="D56" t="s">
        <v>37</v>
      </c>
      <c r="E56" s="188" t="s">
        <v>40</v>
      </c>
      <c r="F56" s="58" t="s">
        <v>193</v>
      </c>
      <c r="G56" t="s">
        <v>82</v>
      </c>
      <c r="H56" t="s">
        <v>33</v>
      </c>
      <c r="I56" s="58">
        <v>0</v>
      </c>
      <c r="J56" s="180" t="s">
        <v>31</v>
      </c>
      <c r="K56" s="180" t="s">
        <v>31</v>
      </c>
      <c r="L56" s="180" t="s">
        <v>31</v>
      </c>
      <c r="M56" s="180" t="s">
        <v>31</v>
      </c>
      <c r="N56" s="180" t="s">
        <v>31</v>
      </c>
      <c r="O56" s="180" t="s">
        <v>224</v>
      </c>
    </row>
    <row r="57" spans="1:16" s="185" customFormat="1" ht="15.6">
      <c r="A57" s="182" t="s">
        <v>5</v>
      </c>
      <c r="B57" s="182" t="s">
        <v>225</v>
      </c>
      <c r="C57" s="182"/>
      <c r="D57" s="183"/>
      <c r="E57" s="184"/>
      <c r="F57" s="184"/>
      <c r="G57" s="184"/>
      <c r="H57" s="184"/>
      <c r="I57" s="184"/>
      <c r="J57" s="184"/>
      <c r="K57" s="184"/>
      <c r="L57" s="184"/>
      <c r="M57" s="184"/>
      <c r="N57" s="184"/>
      <c r="O57" s="184"/>
      <c r="P57" s="184"/>
    </row>
    <row r="58" spans="1:16">
      <c r="A58" s="58" t="s">
        <v>7</v>
      </c>
      <c r="B58" s="58" t="s">
        <v>190</v>
      </c>
      <c r="C58" s="58"/>
      <c r="D58" s="58"/>
      <c r="E58" s="58"/>
      <c r="F58" s="58"/>
      <c r="G58" s="58"/>
      <c r="H58" s="58"/>
      <c r="I58" s="58"/>
      <c r="J58" s="58"/>
      <c r="K58" s="58"/>
      <c r="L58" s="58"/>
      <c r="M58" s="58"/>
      <c r="N58" s="58"/>
      <c r="O58" s="58"/>
      <c r="P58" s="58"/>
    </row>
    <row r="59" spans="1:16">
      <c r="A59" s="58" t="s">
        <v>9</v>
      </c>
      <c r="B59" s="201" t="s">
        <v>226</v>
      </c>
      <c r="C59" s="58"/>
      <c r="D59" s="58"/>
      <c r="E59" s="58"/>
      <c r="F59" s="58"/>
      <c r="G59" s="58"/>
      <c r="H59" s="58"/>
      <c r="I59" s="58"/>
      <c r="J59" s="58"/>
      <c r="K59" s="58"/>
      <c r="L59" s="58"/>
      <c r="M59" s="58"/>
      <c r="N59" s="58"/>
      <c r="O59" s="58"/>
      <c r="P59" s="58"/>
    </row>
    <row r="60" spans="1:16">
      <c r="A60" s="58" t="s">
        <v>11</v>
      </c>
      <c r="B60" s="58" t="s">
        <v>227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c r="A64" s="58" t="s">
        <v>18</v>
      </c>
      <c r="B64" s="58" t="s">
        <v>18</v>
      </c>
      <c r="C64" s="58"/>
      <c r="D64" s="58"/>
      <c r="E64" s="58" t="s">
        <v>185</v>
      </c>
      <c r="F64" s="58"/>
      <c r="G64" s="58"/>
      <c r="H64" s="58"/>
      <c r="I64" s="58"/>
      <c r="J64" s="58"/>
      <c r="K64" s="58"/>
      <c r="L64" s="58"/>
      <c r="M64" s="58"/>
      <c r="N64" s="58"/>
      <c r="O64" s="58"/>
      <c r="P64" s="58"/>
    </row>
    <row r="65" spans="1:16" ht="15.6">
      <c r="A65" s="181" t="s">
        <v>19</v>
      </c>
      <c r="B65" s="58"/>
      <c r="C65" s="58"/>
      <c r="D65" s="58"/>
      <c r="E65" s="58"/>
      <c r="F65" s="58"/>
      <c r="G65" s="58"/>
      <c r="H65" s="58"/>
      <c r="I65" s="58"/>
      <c r="J65" s="58"/>
      <c r="K65" s="58"/>
      <c r="L65" s="58"/>
      <c r="M65" s="58"/>
      <c r="N65" s="58"/>
      <c r="O65" s="58"/>
      <c r="P65" s="58"/>
    </row>
    <row r="66" spans="1:16"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6">
      <c r="A67" s="180" t="s">
        <v>225</v>
      </c>
      <c r="B67" s="180">
        <v>1</v>
      </c>
      <c r="C67" s="180"/>
      <c r="D67" s="180" t="s">
        <v>18</v>
      </c>
      <c r="E67" s="58" t="s">
        <v>2</v>
      </c>
      <c r="F67" s="58" t="s">
        <v>193</v>
      </c>
      <c r="G67" s="180" t="s">
        <v>59</v>
      </c>
      <c r="H67" s="58" t="s">
        <v>30</v>
      </c>
      <c r="I67" s="58">
        <v>0</v>
      </c>
      <c r="J67" s="180" t="s">
        <v>31</v>
      </c>
      <c r="K67" s="180" t="s">
        <v>31</v>
      </c>
      <c r="L67" s="180" t="s">
        <v>31</v>
      </c>
      <c r="M67" s="180" t="s">
        <v>31</v>
      </c>
      <c r="N67" s="180" t="s">
        <v>31</v>
      </c>
      <c r="O67" s="58"/>
      <c r="P67" s="58"/>
    </row>
    <row r="68" spans="1:16" ht="15.6">
      <c r="A68" t="str">
        <f>B2</f>
        <v>treatment of circuit components, EoL power electronics, SOFC-bat, Long-Term</v>
      </c>
      <c r="B68" s="180">
        <v>1</v>
      </c>
      <c r="D68" s="180" t="s">
        <v>18</v>
      </c>
      <c r="E68" s="58" t="s">
        <v>2</v>
      </c>
      <c r="F68" s="58" t="s">
        <v>193</v>
      </c>
      <c r="G68" s="180" t="s">
        <v>59</v>
      </c>
      <c r="H68" t="s">
        <v>33</v>
      </c>
      <c r="I68" s="58">
        <v>0</v>
      </c>
      <c r="J68" s="180" t="s">
        <v>31</v>
      </c>
      <c r="K68" s="180" t="s">
        <v>31</v>
      </c>
      <c r="L68" s="180" t="s">
        <v>31</v>
      </c>
      <c r="M68" s="180" t="s">
        <v>31</v>
      </c>
      <c r="N68" s="180" t="s">
        <v>31</v>
      </c>
    </row>
    <row r="69" spans="1:16" ht="15.6">
      <c r="A69" t="str">
        <f>B14</f>
        <v>treatment of metals, EoL power electronics, SOFC-bat, Long-Term</v>
      </c>
      <c r="B69" s="180">
        <v>1</v>
      </c>
      <c r="D69" s="180" t="s">
        <v>18</v>
      </c>
      <c r="E69" s="58" t="s">
        <v>2</v>
      </c>
      <c r="F69" s="58" t="s">
        <v>193</v>
      </c>
      <c r="G69" s="180" t="s">
        <v>59</v>
      </c>
      <c r="H69" t="s">
        <v>33</v>
      </c>
      <c r="I69" s="58">
        <v>0</v>
      </c>
      <c r="J69" s="180" t="s">
        <v>31</v>
      </c>
      <c r="K69" s="180" t="s">
        <v>31</v>
      </c>
      <c r="L69" s="180" t="s">
        <v>31</v>
      </c>
      <c r="M69" s="180" t="s">
        <v>31</v>
      </c>
      <c r="N69" s="180" t="s">
        <v>31</v>
      </c>
    </row>
    <row r="70" spans="1:16" ht="15.6">
      <c r="A70" t="str">
        <f>B31</f>
        <v>treatment of plastics, EoL power electronics, SOFC-bat, Long-Term</v>
      </c>
      <c r="B70" s="180">
        <v>1</v>
      </c>
      <c r="D70" s="180" t="s">
        <v>18</v>
      </c>
      <c r="E70" s="58" t="s">
        <v>2</v>
      </c>
      <c r="F70" s="58" t="s">
        <v>193</v>
      </c>
      <c r="G70" s="180" t="s">
        <v>59</v>
      </c>
      <c r="H70" t="s">
        <v>33</v>
      </c>
      <c r="I70" s="58">
        <v>0</v>
      </c>
      <c r="J70" s="180" t="s">
        <v>31</v>
      </c>
      <c r="K70" s="180" t="s">
        <v>31</v>
      </c>
      <c r="L70" s="180" t="s">
        <v>31</v>
      </c>
      <c r="M70" s="180" t="s">
        <v>31</v>
      </c>
      <c r="N70" s="180" t="s">
        <v>31</v>
      </c>
    </row>
    <row r="71" spans="1:16" ht="15.6">
      <c r="A71" t="str">
        <f>B45</f>
        <v>treatment of remaining material components, EoL power electronics, SOFC-bat, Long-Term</v>
      </c>
      <c r="B71" s="180">
        <v>1</v>
      </c>
      <c r="D71" s="180" t="s">
        <v>18</v>
      </c>
      <c r="E71" s="58" t="s">
        <v>2</v>
      </c>
      <c r="F71" s="58" t="s">
        <v>193</v>
      </c>
      <c r="G71" s="180" t="s">
        <v>59</v>
      </c>
      <c r="H71" t="s">
        <v>33</v>
      </c>
      <c r="I71" s="58">
        <v>0</v>
      </c>
      <c r="J71" s="180" t="s">
        <v>31</v>
      </c>
      <c r="K71" s="180" t="s">
        <v>31</v>
      </c>
      <c r="L71" s="180" t="s">
        <v>31</v>
      </c>
      <c r="M71" s="180" t="s">
        <v>31</v>
      </c>
      <c r="N71" s="180" t="s">
        <v>31</v>
      </c>
    </row>
    <row r="72" spans="1:16" ht="15.6">
      <c r="A72" s="84" t="s">
        <v>228</v>
      </c>
      <c r="B72">
        <f>-70.74</f>
        <v>-70.739999999999995</v>
      </c>
      <c r="D72" s="180" t="s">
        <v>37</v>
      </c>
      <c r="E72" s="58" t="s">
        <v>40</v>
      </c>
      <c r="F72" s="58" t="s">
        <v>193</v>
      </c>
      <c r="G72" s="180" t="s">
        <v>82</v>
      </c>
      <c r="H72" t="s">
        <v>33</v>
      </c>
      <c r="I72" s="58">
        <v>0</v>
      </c>
      <c r="J72" s="180" t="s">
        <v>31</v>
      </c>
      <c r="K72" s="180" t="s">
        <v>31</v>
      </c>
      <c r="L72" s="180" t="s">
        <v>31</v>
      </c>
      <c r="M72" s="180" t="s">
        <v>31</v>
      </c>
      <c r="N72" s="180" t="s">
        <v>31</v>
      </c>
      <c r="O72" s="180" t="s">
        <v>229</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E35C-1A53-4F1F-A3BF-EA62D676D5F9}">
  <sheetPr>
    <tabColor theme="9"/>
  </sheetPr>
  <dimension ref="A1:Y85"/>
  <sheetViews>
    <sheetView zoomScale="85" zoomScaleNormal="85" workbookViewId="0">
      <selection activeCell="B5" sqref="B5"/>
    </sheetView>
  </sheetViews>
  <sheetFormatPr defaultRowHeight="14.4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73" customFormat="1" ht="15.6">
      <c r="A2" s="178" t="s">
        <v>5</v>
      </c>
      <c r="B2" s="178" t="s">
        <v>230</v>
      </c>
      <c r="C2" s="178"/>
      <c r="D2" s="74"/>
      <c r="E2" s="150"/>
      <c r="F2" s="150"/>
      <c r="G2" s="150"/>
      <c r="H2" s="150"/>
      <c r="I2" s="150"/>
      <c r="J2" s="150"/>
      <c r="K2" s="150"/>
      <c r="L2" s="150"/>
      <c r="M2" s="150"/>
      <c r="N2" s="150"/>
      <c r="O2" s="150"/>
      <c r="P2" s="150"/>
    </row>
    <row r="3" spans="1:18">
      <c r="A3" s="58" t="s">
        <v>7</v>
      </c>
      <c r="B3" s="58" t="s">
        <v>231</v>
      </c>
      <c r="C3" s="58"/>
      <c r="D3" s="58"/>
      <c r="E3" s="58"/>
      <c r="F3" s="58"/>
      <c r="G3" s="58"/>
      <c r="H3" s="58"/>
      <c r="I3" s="58"/>
      <c r="J3" s="58"/>
      <c r="K3" s="58"/>
      <c r="L3" s="58"/>
      <c r="M3" s="58"/>
      <c r="N3" s="58"/>
      <c r="O3" s="58"/>
      <c r="P3" s="58"/>
    </row>
    <row r="4" spans="1:18">
      <c r="A4" s="58" t="s">
        <v>9</v>
      </c>
      <c r="B4" s="201" t="s">
        <v>232</v>
      </c>
      <c r="C4" s="58"/>
      <c r="D4" s="58"/>
      <c r="E4" s="58"/>
      <c r="F4" s="58"/>
      <c r="G4" s="58"/>
      <c r="H4" s="58"/>
      <c r="I4" s="58"/>
      <c r="J4" s="58"/>
      <c r="K4" s="58"/>
      <c r="L4" s="58"/>
      <c r="M4" s="58"/>
      <c r="N4" s="58"/>
      <c r="O4" s="58"/>
      <c r="P4" s="58"/>
    </row>
    <row r="5" spans="1:18">
      <c r="A5" s="58" t="s">
        <v>11</v>
      </c>
      <c r="B5" s="58" t="s">
        <v>233</v>
      </c>
      <c r="C5" s="58"/>
      <c r="D5" s="58"/>
      <c r="E5" s="58"/>
      <c r="F5" s="58"/>
      <c r="G5" s="58"/>
      <c r="H5" s="58"/>
      <c r="I5" s="58"/>
      <c r="J5" s="58"/>
      <c r="K5" s="58"/>
      <c r="L5" s="58"/>
      <c r="M5" s="58"/>
      <c r="N5" s="58"/>
      <c r="O5" s="58"/>
      <c r="P5" s="58"/>
    </row>
    <row r="6" spans="1:18">
      <c r="A6" s="58" t="s">
        <v>13</v>
      </c>
      <c r="B6" s="58" t="s">
        <v>59</v>
      </c>
      <c r="C6" s="58"/>
      <c r="D6" s="58"/>
      <c r="E6" s="58"/>
      <c r="F6" s="58"/>
      <c r="G6" s="58"/>
      <c r="H6" s="58"/>
      <c r="I6" s="58"/>
      <c r="J6" s="58"/>
      <c r="K6" s="58"/>
      <c r="L6" s="58"/>
      <c r="M6" s="58"/>
      <c r="N6" s="58"/>
      <c r="O6" s="58"/>
      <c r="P6" s="58"/>
    </row>
    <row r="7" spans="1:18">
      <c r="A7" s="58" t="s">
        <v>15</v>
      </c>
      <c r="B7" s="58">
        <v>1</v>
      </c>
      <c r="C7" s="58"/>
      <c r="D7" s="58"/>
      <c r="E7" s="58"/>
      <c r="F7" s="58"/>
      <c r="G7" s="58"/>
      <c r="H7" s="58"/>
      <c r="I7" s="58"/>
      <c r="J7" s="58"/>
      <c r="K7" s="58"/>
      <c r="L7" s="58"/>
      <c r="M7" s="58"/>
      <c r="N7" s="58"/>
      <c r="O7" s="58"/>
      <c r="P7" s="58"/>
    </row>
    <row r="8" spans="1:18">
      <c r="A8" s="58" t="s">
        <v>16</v>
      </c>
      <c r="B8" s="58" t="s">
        <v>17</v>
      </c>
      <c r="C8" s="58"/>
      <c r="D8" s="58"/>
      <c r="E8" s="58"/>
      <c r="F8" s="58"/>
      <c r="G8" s="58"/>
      <c r="H8" s="58"/>
      <c r="I8" s="58"/>
      <c r="J8" s="58"/>
      <c r="K8" s="58"/>
      <c r="L8" s="58"/>
      <c r="M8" s="58"/>
      <c r="N8" s="58"/>
      <c r="O8" s="58"/>
      <c r="P8" s="58"/>
    </row>
    <row r="9" spans="1:18" ht="15.6">
      <c r="A9" s="58" t="s">
        <v>18</v>
      </c>
      <c r="B9" s="180" t="s">
        <v>37</v>
      </c>
      <c r="C9" s="58"/>
      <c r="D9" s="58"/>
      <c r="E9" s="58" t="s">
        <v>185</v>
      </c>
      <c r="F9" s="58"/>
      <c r="G9" s="58"/>
      <c r="H9" s="58"/>
      <c r="I9" s="58"/>
      <c r="J9" s="58"/>
      <c r="K9" s="58"/>
      <c r="L9" s="58"/>
      <c r="M9" s="58"/>
      <c r="N9" s="58"/>
      <c r="O9" s="58"/>
      <c r="P9" s="58"/>
    </row>
    <row r="10" spans="1:18" ht="15.6">
      <c r="A10" s="181" t="s">
        <v>19</v>
      </c>
      <c r="B10" s="58"/>
      <c r="C10" s="58"/>
      <c r="D10" s="58"/>
      <c r="E10" s="58"/>
      <c r="F10" s="58"/>
      <c r="G10" s="58"/>
      <c r="H10" s="58"/>
      <c r="I10" s="58"/>
      <c r="J10" s="58"/>
      <c r="K10" s="58"/>
      <c r="L10" s="58"/>
      <c r="M10" s="58"/>
      <c r="N10" s="58"/>
      <c r="O10" s="58"/>
      <c r="P10" s="58"/>
    </row>
    <row r="11" spans="1:18"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8" ht="15.6">
      <c r="A12" s="180" t="s">
        <v>230</v>
      </c>
      <c r="B12" s="180">
        <v>1</v>
      </c>
      <c r="C12" s="180"/>
      <c r="D12" s="180" t="s">
        <v>37</v>
      </c>
      <c r="E12" s="58" t="s">
        <v>2</v>
      </c>
      <c r="F12" s="58" t="s">
        <v>234</v>
      </c>
      <c r="G12" s="180" t="s">
        <v>59</v>
      </c>
      <c r="H12" s="58" t="s">
        <v>30</v>
      </c>
      <c r="I12" s="58">
        <v>0</v>
      </c>
      <c r="J12" s="180" t="s">
        <v>31</v>
      </c>
      <c r="K12" s="180" t="s">
        <v>31</v>
      </c>
      <c r="L12" s="180" t="s">
        <v>31</v>
      </c>
      <c r="M12" s="180" t="s">
        <v>31</v>
      </c>
      <c r="N12" s="180" t="s">
        <v>31</v>
      </c>
      <c r="O12" s="58"/>
      <c r="P12" s="58"/>
    </row>
    <row r="13" spans="1:18" ht="15.6">
      <c r="A13" t="s">
        <v>135</v>
      </c>
      <c r="B13" s="23">
        <f>0.8</f>
        <v>0.8</v>
      </c>
      <c r="C13" s="180"/>
      <c r="D13" s="180" t="s">
        <v>37</v>
      </c>
      <c r="E13" s="84" t="s">
        <v>40</v>
      </c>
      <c r="F13" s="58" t="s">
        <v>29</v>
      </c>
      <c r="G13" s="180" t="s">
        <v>82</v>
      </c>
      <c r="H13" s="58" t="s">
        <v>33</v>
      </c>
      <c r="I13" s="58">
        <v>0</v>
      </c>
      <c r="J13" s="180" t="s">
        <v>31</v>
      </c>
      <c r="K13" s="180" t="s">
        <v>31</v>
      </c>
      <c r="L13" s="180" t="s">
        <v>31</v>
      </c>
      <c r="M13" s="180" t="s">
        <v>31</v>
      </c>
      <c r="N13" s="180" t="s">
        <v>31</v>
      </c>
      <c r="O13" s="58"/>
      <c r="P13" s="58" t="s">
        <v>235</v>
      </c>
      <c r="R13" t="s">
        <v>236</v>
      </c>
    </row>
    <row r="14" spans="1:18" ht="15.6">
      <c r="A14" t="s">
        <v>237</v>
      </c>
      <c r="B14" s="23">
        <f>0.8*0.9</f>
        <v>0.72000000000000008</v>
      </c>
      <c r="C14" s="180"/>
      <c r="D14" s="180" t="s">
        <v>37</v>
      </c>
      <c r="E14" s="84" t="s">
        <v>40</v>
      </c>
      <c r="F14" s="58" t="s">
        <v>29</v>
      </c>
      <c r="G14" s="180" t="s">
        <v>59</v>
      </c>
      <c r="H14" s="58" t="s">
        <v>136</v>
      </c>
      <c r="I14" s="58">
        <v>0</v>
      </c>
      <c r="J14" s="180" t="s">
        <v>31</v>
      </c>
      <c r="K14" s="180" t="s">
        <v>31</v>
      </c>
      <c r="L14" s="180" t="s">
        <v>31</v>
      </c>
      <c r="M14" s="180" t="s">
        <v>31</v>
      </c>
      <c r="N14" s="180" t="s">
        <v>31</v>
      </c>
      <c r="O14" s="58"/>
      <c r="P14" s="58" t="s">
        <v>206</v>
      </c>
      <c r="R14" t="s">
        <v>236</v>
      </c>
    </row>
    <row r="15" spans="1:18" ht="16.5" customHeight="1">
      <c r="A15" t="s">
        <v>210</v>
      </c>
      <c r="B15" s="23">
        <v>-0.2</v>
      </c>
      <c r="D15" t="s">
        <v>37</v>
      </c>
      <c r="E15" s="84" t="s">
        <v>40</v>
      </c>
      <c r="F15" s="58" t="s">
        <v>234</v>
      </c>
      <c r="G15" t="s">
        <v>59</v>
      </c>
      <c r="H15" t="s">
        <v>33</v>
      </c>
      <c r="I15">
        <v>0</v>
      </c>
      <c r="J15" t="s">
        <v>31</v>
      </c>
      <c r="K15" t="s">
        <v>31</v>
      </c>
      <c r="L15" t="s">
        <v>31</v>
      </c>
      <c r="M15" t="s">
        <v>31</v>
      </c>
      <c r="N15" t="s">
        <v>31</v>
      </c>
      <c r="O15" s="17"/>
      <c r="P15" s="58" t="s">
        <v>238</v>
      </c>
      <c r="R15" t="s">
        <v>236</v>
      </c>
    </row>
    <row r="16" spans="1:18" s="73" customFormat="1" ht="15.6">
      <c r="A16" s="178" t="s">
        <v>5</v>
      </c>
      <c r="B16" s="178" t="s">
        <v>239</v>
      </c>
      <c r="C16" s="178"/>
      <c r="D16" s="74"/>
      <c r="E16" s="150"/>
      <c r="F16" s="150"/>
      <c r="G16" s="150"/>
      <c r="H16" s="150"/>
      <c r="I16" s="150"/>
      <c r="J16" s="150"/>
      <c r="K16" s="150"/>
      <c r="L16" s="150"/>
      <c r="M16" s="150"/>
      <c r="N16" s="150"/>
      <c r="O16" s="150"/>
      <c r="P16" s="150"/>
    </row>
    <row r="17" spans="1:16">
      <c r="A17" s="58" t="s">
        <v>7</v>
      </c>
      <c r="B17" s="58" t="s">
        <v>231</v>
      </c>
      <c r="C17" s="58"/>
      <c r="D17" s="58"/>
      <c r="E17" s="58"/>
      <c r="F17" s="58"/>
      <c r="G17" s="58"/>
      <c r="H17" s="58"/>
      <c r="I17" s="58"/>
      <c r="J17" s="58"/>
      <c r="K17" s="58"/>
      <c r="L17" s="58"/>
      <c r="M17" s="58"/>
      <c r="N17" s="58"/>
      <c r="O17" s="58"/>
      <c r="P17" s="58"/>
    </row>
    <row r="18" spans="1:16">
      <c r="A18" s="58" t="s">
        <v>9</v>
      </c>
      <c r="B18" s="201" t="s">
        <v>240</v>
      </c>
      <c r="C18" s="58"/>
      <c r="D18" s="58"/>
      <c r="E18" s="58"/>
      <c r="F18" s="58"/>
      <c r="G18" s="58"/>
      <c r="H18" s="58"/>
      <c r="I18" s="58"/>
      <c r="J18" s="58"/>
      <c r="K18" s="58"/>
      <c r="L18" s="58"/>
      <c r="M18" s="58"/>
      <c r="N18" s="58"/>
      <c r="O18" s="58"/>
      <c r="P18" s="58"/>
    </row>
    <row r="19" spans="1:16">
      <c r="A19" s="58" t="s">
        <v>11</v>
      </c>
      <c r="B19" s="58" t="s">
        <v>233</v>
      </c>
      <c r="C19" s="58"/>
      <c r="D19" s="58"/>
      <c r="E19" s="58"/>
      <c r="F19" s="58"/>
      <c r="G19" s="58"/>
      <c r="H19" s="58"/>
      <c r="I19" s="58"/>
      <c r="J19" s="58"/>
      <c r="K19" s="58"/>
      <c r="L19" s="58"/>
      <c r="M19" s="58"/>
      <c r="N19" s="58"/>
      <c r="O19" s="58"/>
      <c r="P19" s="58"/>
    </row>
    <row r="20" spans="1:16">
      <c r="A20" s="58" t="s">
        <v>13</v>
      </c>
      <c r="B20" s="58" t="s">
        <v>59</v>
      </c>
      <c r="C20" s="58"/>
      <c r="D20" s="58"/>
      <c r="E20" s="58"/>
      <c r="F20" s="58"/>
      <c r="G20" s="58"/>
      <c r="H20" s="58"/>
      <c r="I20" s="58"/>
      <c r="J20" s="58"/>
      <c r="K20" s="58"/>
      <c r="L20" s="58"/>
      <c r="M20" s="58"/>
      <c r="N20" s="58"/>
      <c r="O20" s="58"/>
      <c r="P20" s="58"/>
    </row>
    <row r="21" spans="1:16">
      <c r="A21" s="58" t="s">
        <v>15</v>
      </c>
      <c r="B21" s="58">
        <v>1</v>
      </c>
      <c r="C21" s="58"/>
      <c r="D21" s="58"/>
      <c r="E21" s="58"/>
      <c r="F21" s="58"/>
      <c r="G21" s="58"/>
      <c r="H21" s="58"/>
      <c r="I21" s="58"/>
      <c r="J21" s="58"/>
      <c r="K21" s="58"/>
      <c r="L21" s="58"/>
      <c r="M21" s="58"/>
      <c r="N21" s="58"/>
      <c r="O21" s="58"/>
      <c r="P21" s="58"/>
    </row>
    <row r="22" spans="1:16">
      <c r="A22" s="58" t="s">
        <v>16</v>
      </c>
      <c r="B22" s="58" t="s">
        <v>17</v>
      </c>
      <c r="C22" s="58"/>
      <c r="D22" s="58"/>
      <c r="E22" s="58"/>
      <c r="F22" s="58"/>
      <c r="G22" s="58"/>
      <c r="H22" s="58"/>
      <c r="I22" s="58"/>
      <c r="J22" s="58"/>
      <c r="K22" s="58"/>
      <c r="L22" s="58"/>
      <c r="M22" s="58"/>
      <c r="N22" s="58"/>
      <c r="O22" s="58"/>
      <c r="P22" s="58"/>
    </row>
    <row r="23" spans="1:16" ht="15.6">
      <c r="A23" s="58" t="s">
        <v>18</v>
      </c>
      <c r="B23" s="180" t="s">
        <v>37</v>
      </c>
      <c r="C23" s="58"/>
      <c r="D23" s="58"/>
      <c r="E23" s="58" t="s">
        <v>185</v>
      </c>
      <c r="F23" s="58"/>
      <c r="G23" s="58"/>
      <c r="H23" s="58"/>
      <c r="I23" s="58"/>
      <c r="J23" s="58"/>
      <c r="K23" s="58"/>
      <c r="L23" s="58"/>
      <c r="M23" s="58"/>
      <c r="N23" s="58"/>
      <c r="O23" s="58"/>
      <c r="P23" s="58"/>
    </row>
    <row r="24" spans="1:16" ht="15.6">
      <c r="A24" s="181" t="s">
        <v>19</v>
      </c>
      <c r="B24" s="58"/>
      <c r="C24" s="58"/>
      <c r="D24" s="58"/>
      <c r="E24" s="58"/>
      <c r="F24" s="58"/>
      <c r="G24" s="58"/>
      <c r="H24" s="58"/>
      <c r="I24" s="58"/>
      <c r="J24" s="58"/>
      <c r="K24" s="58"/>
      <c r="L24" s="58"/>
      <c r="M24" s="58"/>
      <c r="N24" s="58"/>
      <c r="O24" s="58"/>
      <c r="P24" s="58"/>
    </row>
    <row r="25" spans="1:16" ht="15.6">
      <c r="A25" s="181" t="s">
        <v>20</v>
      </c>
      <c r="B25" s="181" t="s">
        <v>21</v>
      </c>
      <c r="C25" s="181" t="s">
        <v>186</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187</v>
      </c>
    </row>
    <row r="26" spans="1:16" ht="15.6">
      <c r="A26" s="180" t="str">
        <f>B16</f>
        <v>treatment of aluminium, motors and drives, SOFC-bat, Long-Term</v>
      </c>
      <c r="B26" s="180">
        <v>1</v>
      </c>
      <c r="C26" s="180"/>
      <c r="D26" s="180" t="s">
        <v>37</v>
      </c>
      <c r="E26" s="58" t="s">
        <v>2</v>
      </c>
      <c r="F26" s="58" t="s">
        <v>234</v>
      </c>
      <c r="G26" s="180" t="s">
        <v>59</v>
      </c>
      <c r="H26" s="58" t="s">
        <v>30</v>
      </c>
      <c r="I26" s="58">
        <v>0</v>
      </c>
      <c r="J26" s="180" t="s">
        <v>31</v>
      </c>
      <c r="K26" s="180" t="s">
        <v>31</v>
      </c>
      <c r="L26" s="180" t="s">
        <v>31</v>
      </c>
      <c r="M26" s="180" t="s">
        <v>31</v>
      </c>
      <c r="N26" s="180" t="s">
        <v>31</v>
      </c>
      <c r="O26" s="58"/>
      <c r="P26" s="58"/>
    </row>
    <row r="27" spans="1:16" ht="15.6">
      <c r="A27" t="s">
        <v>201</v>
      </c>
      <c r="B27" s="23">
        <f>0.8</f>
        <v>0.8</v>
      </c>
      <c r="C27" s="180"/>
      <c r="D27" s="180" t="s">
        <v>37</v>
      </c>
      <c r="E27" s="37" t="s">
        <v>40</v>
      </c>
      <c r="F27" s="58" t="s">
        <v>234</v>
      </c>
      <c r="G27" s="180" t="s">
        <v>82</v>
      </c>
      <c r="H27" s="58" t="s">
        <v>33</v>
      </c>
      <c r="I27" s="58">
        <v>0</v>
      </c>
      <c r="J27" s="180" t="s">
        <v>31</v>
      </c>
      <c r="K27" s="180" t="s">
        <v>31</v>
      </c>
      <c r="L27" s="180" t="s">
        <v>31</v>
      </c>
      <c r="M27" s="180" t="s">
        <v>31</v>
      </c>
      <c r="N27" s="180" t="s">
        <v>31</v>
      </c>
      <c r="O27" s="58" t="s">
        <v>241</v>
      </c>
      <c r="P27" s="58"/>
    </row>
    <row r="28" spans="1:16" ht="15.6">
      <c r="A28" t="s">
        <v>202</v>
      </c>
      <c r="B28" s="23">
        <f>0.8</f>
        <v>0.8</v>
      </c>
      <c r="C28" s="22" t="s">
        <v>203</v>
      </c>
      <c r="D28" t="s">
        <v>37</v>
      </c>
      <c r="E28" s="188" t="s">
        <v>40</v>
      </c>
      <c r="F28" s="58" t="s">
        <v>234</v>
      </c>
      <c r="G28" t="s">
        <v>82</v>
      </c>
      <c r="H28" s="58" t="s">
        <v>33</v>
      </c>
      <c r="I28" s="58">
        <v>0</v>
      </c>
      <c r="J28" s="180" t="s">
        <v>31</v>
      </c>
      <c r="K28" s="180" t="s">
        <v>31</v>
      </c>
      <c r="L28" s="180" t="s">
        <v>31</v>
      </c>
      <c r="M28" s="180" t="s">
        <v>31</v>
      </c>
      <c r="N28" s="180" t="s">
        <v>31</v>
      </c>
      <c r="O28" t="s">
        <v>204</v>
      </c>
    </row>
    <row r="29" spans="1:16" ht="15.6">
      <c r="A29" t="s">
        <v>205</v>
      </c>
      <c r="B29" s="23">
        <f>0.8*0.9</f>
        <v>0.72000000000000008</v>
      </c>
      <c r="D29" t="s">
        <v>37</v>
      </c>
      <c r="E29" s="188" t="s">
        <v>40</v>
      </c>
      <c r="F29" s="58" t="s">
        <v>234</v>
      </c>
      <c r="G29" t="s">
        <v>59</v>
      </c>
      <c r="H29" s="58" t="s">
        <v>136</v>
      </c>
      <c r="I29" s="58">
        <v>0</v>
      </c>
      <c r="J29" s="180" t="s">
        <v>31</v>
      </c>
      <c r="K29" s="180" t="s">
        <v>31</v>
      </c>
      <c r="L29" s="180" t="s">
        <v>31</v>
      </c>
      <c r="M29" s="180" t="s">
        <v>31</v>
      </c>
      <c r="N29" s="180" t="s">
        <v>31</v>
      </c>
      <c r="O29" s="58" t="s">
        <v>206</v>
      </c>
    </row>
    <row r="30" spans="1:16" ht="16.5" customHeight="1">
      <c r="A30" t="s">
        <v>210</v>
      </c>
      <c r="B30" s="23">
        <v>-0.2</v>
      </c>
      <c r="D30" t="s">
        <v>37</v>
      </c>
      <c r="E30" s="84" t="s">
        <v>40</v>
      </c>
      <c r="F30" s="58" t="s">
        <v>234</v>
      </c>
      <c r="G30" t="s">
        <v>59</v>
      </c>
      <c r="H30" t="s">
        <v>33</v>
      </c>
      <c r="I30">
        <v>0</v>
      </c>
      <c r="J30" t="s">
        <v>31</v>
      </c>
      <c r="K30" t="s">
        <v>31</v>
      </c>
      <c r="L30" t="s">
        <v>31</v>
      </c>
      <c r="M30" t="s">
        <v>31</v>
      </c>
      <c r="N30" t="s">
        <v>31</v>
      </c>
      <c r="O30" s="58" t="s">
        <v>238</v>
      </c>
    </row>
    <row r="31" spans="1:16" s="73" customFormat="1" ht="15.6">
      <c r="A31" s="178" t="s">
        <v>5</v>
      </c>
      <c r="B31" s="178" t="s">
        <v>242</v>
      </c>
      <c r="C31" s="178"/>
      <c r="D31" s="74"/>
      <c r="E31" s="150"/>
      <c r="F31" s="150"/>
      <c r="G31" s="150"/>
      <c r="H31" s="150"/>
      <c r="I31" s="150"/>
      <c r="J31" s="150"/>
      <c r="K31" s="150"/>
      <c r="L31" s="150"/>
      <c r="M31" s="150"/>
      <c r="N31" s="150"/>
      <c r="O31" s="150"/>
      <c r="P31" s="150"/>
    </row>
    <row r="32" spans="1:16">
      <c r="A32" s="58" t="s">
        <v>7</v>
      </c>
      <c r="B32" s="58" t="s">
        <v>231</v>
      </c>
      <c r="C32" s="58"/>
      <c r="D32" s="58"/>
      <c r="E32" s="58"/>
      <c r="F32" s="58"/>
      <c r="G32" s="58"/>
      <c r="H32" s="58"/>
      <c r="I32" s="58"/>
      <c r="J32" s="58"/>
      <c r="K32" s="58"/>
      <c r="L32" s="58"/>
      <c r="M32" s="58"/>
      <c r="N32" s="58"/>
      <c r="O32" s="58"/>
      <c r="P32" s="58"/>
    </row>
    <row r="33" spans="1:25">
      <c r="A33" s="58" t="s">
        <v>9</v>
      </c>
      <c r="B33" s="201" t="s">
        <v>243</v>
      </c>
      <c r="C33" s="58"/>
      <c r="D33" s="58"/>
      <c r="E33" s="58"/>
      <c r="F33" s="58"/>
      <c r="G33" s="58"/>
      <c r="H33" s="58"/>
      <c r="I33" s="58"/>
      <c r="J33" s="58"/>
      <c r="K33" s="58"/>
      <c r="L33" s="58"/>
      <c r="M33" s="58"/>
      <c r="N33" s="58"/>
      <c r="O33" s="58"/>
      <c r="P33" s="58"/>
    </row>
    <row r="34" spans="1:25">
      <c r="A34" s="58" t="s">
        <v>11</v>
      </c>
      <c r="B34" s="58" t="s">
        <v>233</v>
      </c>
      <c r="C34" s="58"/>
      <c r="D34" s="58"/>
      <c r="E34" s="58"/>
      <c r="F34" s="58"/>
      <c r="G34" s="58"/>
      <c r="H34" s="58"/>
      <c r="I34" s="58"/>
      <c r="J34" s="58"/>
      <c r="K34" s="58"/>
      <c r="L34" s="58"/>
      <c r="M34" s="58"/>
      <c r="N34" s="58"/>
      <c r="O34" s="58"/>
      <c r="P34" s="58"/>
    </row>
    <row r="35" spans="1:25">
      <c r="A35" s="58" t="s">
        <v>13</v>
      </c>
      <c r="B35" s="58" t="s">
        <v>59</v>
      </c>
      <c r="C35" s="58"/>
      <c r="D35" s="58"/>
      <c r="E35" s="58"/>
      <c r="F35" s="58"/>
      <c r="G35" s="58"/>
      <c r="H35" s="58"/>
      <c r="I35" s="58"/>
      <c r="J35" s="58"/>
      <c r="K35" s="58"/>
      <c r="L35" s="58"/>
      <c r="M35" s="58"/>
      <c r="N35" s="58"/>
      <c r="O35" s="58"/>
      <c r="P35" s="58"/>
    </row>
    <row r="36" spans="1:25">
      <c r="A36" s="58" t="s">
        <v>15</v>
      </c>
      <c r="B36" s="58">
        <v>1</v>
      </c>
      <c r="C36" s="58"/>
      <c r="D36" s="58"/>
      <c r="E36" s="58"/>
      <c r="F36" s="58"/>
      <c r="G36" s="58"/>
      <c r="H36" s="58"/>
      <c r="I36" s="58"/>
      <c r="J36" s="58"/>
      <c r="K36" s="58"/>
      <c r="L36" s="58"/>
      <c r="M36" s="58"/>
      <c r="N36" s="58"/>
      <c r="O36" s="58"/>
      <c r="P36" s="58"/>
    </row>
    <row r="37" spans="1:25">
      <c r="A37" s="58" t="s">
        <v>16</v>
      </c>
      <c r="B37" s="58" t="s">
        <v>17</v>
      </c>
      <c r="C37" s="58"/>
      <c r="D37" s="58"/>
      <c r="E37" s="58"/>
      <c r="F37" s="58"/>
      <c r="G37" s="58"/>
      <c r="H37" s="58"/>
      <c r="I37" s="58"/>
      <c r="J37" s="58"/>
      <c r="K37" s="58"/>
      <c r="L37" s="58"/>
      <c r="M37" s="58"/>
      <c r="N37" s="58"/>
      <c r="O37" s="58"/>
      <c r="P37" s="58"/>
    </row>
    <row r="38" spans="1:25" ht="15.6">
      <c r="A38" s="58" t="s">
        <v>18</v>
      </c>
      <c r="B38" s="180" t="s">
        <v>37</v>
      </c>
      <c r="C38" s="58"/>
      <c r="D38" s="58"/>
      <c r="E38" s="58" t="s">
        <v>185</v>
      </c>
      <c r="F38" s="58"/>
      <c r="G38" s="58"/>
      <c r="H38" s="58"/>
      <c r="I38" s="58"/>
      <c r="J38" s="58"/>
      <c r="K38" s="58"/>
      <c r="L38" s="58"/>
      <c r="M38" s="58"/>
      <c r="N38" s="58"/>
      <c r="O38" s="58"/>
      <c r="P38" s="58"/>
    </row>
    <row r="39" spans="1:25" ht="15.6">
      <c r="A39" s="181" t="s">
        <v>19</v>
      </c>
      <c r="B39" s="58"/>
      <c r="C39" s="58"/>
      <c r="D39" s="58"/>
      <c r="E39" s="58"/>
      <c r="F39" s="58"/>
      <c r="G39" s="58"/>
      <c r="H39" s="58"/>
      <c r="I39" s="58"/>
      <c r="J39" s="58"/>
      <c r="K39" s="58"/>
      <c r="L39" s="58"/>
      <c r="M39" s="58"/>
      <c r="N39" s="58"/>
      <c r="O39" s="58"/>
      <c r="P39" s="58"/>
    </row>
    <row r="40" spans="1:25"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25" ht="15.6">
      <c r="A41" s="180" t="str">
        <f>B31</f>
        <v>treatment of copper, motors and drives, SOFC-bat, Long-Term</v>
      </c>
      <c r="B41" s="180">
        <v>1</v>
      </c>
      <c r="C41" s="180"/>
      <c r="D41" s="180" t="s">
        <v>37</v>
      </c>
      <c r="E41" s="58" t="s">
        <v>2</v>
      </c>
      <c r="F41" s="58" t="s">
        <v>234</v>
      </c>
      <c r="G41" s="180" t="s">
        <v>59</v>
      </c>
      <c r="H41" s="58" t="s">
        <v>30</v>
      </c>
      <c r="I41" s="58">
        <v>0</v>
      </c>
      <c r="J41" s="180" t="s">
        <v>31</v>
      </c>
      <c r="K41" s="180" t="s">
        <v>31</v>
      </c>
      <c r="L41" s="180" t="s">
        <v>31</v>
      </c>
      <c r="M41" s="180" t="s">
        <v>31</v>
      </c>
      <c r="N41" s="180" t="s">
        <v>31</v>
      </c>
      <c r="O41" s="58" t="s">
        <v>241</v>
      </c>
      <c r="P41" s="58"/>
    </row>
    <row r="42" spans="1:25">
      <c r="A42" s="205" t="s">
        <v>207</v>
      </c>
      <c r="B42" s="23">
        <f>0.8</f>
        <v>0.8</v>
      </c>
      <c r="C42" s="116" t="s">
        <v>208</v>
      </c>
      <c r="D42" s="22" t="s">
        <v>37</v>
      </c>
      <c r="E42" s="22" t="s">
        <v>40</v>
      </c>
      <c r="F42" s="58" t="s">
        <v>234</v>
      </c>
      <c r="G42" s="22" t="s">
        <v>82</v>
      </c>
      <c r="H42" s="22" t="s">
        <v>33</v>
      </c>
      <c r="I42">
        <v>0</v>
      </c>
      <c r="J42" t="s">
        <v>31</v>
      </c>
      <c r="K42" t="s">
        <v>31</v>
      </c>
      <c r="L42" t="s">
        <v>31</v>
      </c>
      <c r="M42" t="s">
        <v>31</v>
      </c>
      <c r="N42" t="s">
        <v>31</v>
      </c>
      <c r="O42" t="s">
        <v>204</v>
      </c>
      <c r="P42" s="22"/>
      <c r="Q42" s="22"/>
      <c r="R42" s="22"/>
      <c r="S42" s="22"/>
      <c r="T42" s="22"/>
      <c r="U42" s="22"/>
      <c r="V42" s="22"/>
      <c r="W42" s="22"/>
      <c r="X42" s="22"/>
      <c r="Y42" s="22"/>
    </row>
    <row r="43" spans="1:25">
      <c r="A43" s="205" t="s">
        <v>209</v>
      </c>
      <c r="B43" s="23">
        <f>0.8*0.9</f>
        <v>0.72000000000000008</v>
      </c>
      <c r="C43" s="22"/>
      <c r="D43" s="22" t="s">
        <v>37</v>
      </c>
      <c r="E43" s="22" t="s">
        <v>40</v>
      </c>
      <c r="F43" s="58" t="s">
        <v>234</v>
      </c>
      <c r="G43" s="22" t="s">
        <v>59</v>
      </c>
      <c r="H43" s="22" t="s">
        <v>136</v>
      </c>
      <c r="I43">
        <v>0</v>
      </c>
      <c r="J43" t="s">
        <v>31</v>
      </c>
      <c r="K43" t="s">
        <v>31</v>
      </c>
      <c r="L43" t="s">
        <v>31</v>
      </c>
      <c r="M43" t="s">
        <v>31</v>
      </c>
      <c r="N43" t="s">
        <v>31</v>
      </c>
      <c r="O43" s="58" t="s">
        <v>206</v>
      </c>
      <c r="P43" s="22"/>
      <c r="Q43" s="22"/>
      <c r="R43" s="22"/>
      <c r="S43" s="22"/>
      <c r="T43" s="22"/>
      <c r="U43" s="22"/>
      <c r="V43" s="22"/>
      <c r="W43" s="22"/>
      <c r="X43" s="22"/>
      <c r="Y43" s="22"/>
    </row>
    <row r="44" spans="1:25" ht="16.5" customHeight="1">
      <c r="A44" t="s">
        <v>210</v>
      </c>
      <c r="B44" s="23">
        <v>-0.2</v>
      </c>
      <c r="D44" t="s">
        <v>37</v>
      </c>
      <c r="E44" s="84" t="s">
        <v>40</v>
      </c>
      <c r="F44" s="58" t="s">
        <v>234</v>
      </c>
      <c r="G44" t="s">
        <v>59</v>
      </c>
      <c r="H44" t="s">
        <v>33</v>
      </c>
      <c r="I44">
        <v>0</v>
      </c>
      <c r="J44" t="s">
        <v>31</v>
      </c>
      <c r="K44" t="s">
        <v>31</v>
      </c>
      <c r="L44" t="s">
        <v>31</v>
      </c>
      <c r="M44" t="s">
        <v>31</v>
      </c>
      <c r="N44" t="s">
        <v>31</v>
      </c>
      <c r="O44" s="58" t="s">
        <v>238</v>
      </c>
    </row>
    <row r="45" spans="1:25" s="73" customFormat="1" ht="15.6">
      <c r="A45" s="178" t="s">
        <v>5</v>
      </c>
      <c r="B45" s="178" t="s">
        <v>244</v>
      </c>
      <c r="C45" s="178"/>
      <c r="D45" s="74"/>
      <c r="E45" s="150"/>
      <c r="F45" s="150"/>
      <c r="G45" s="150"/>
      <c r="H45" s="150"/>
      <c r="I45" s="150"/>
      <c r="J45" s="150"/>
      <c r="K45" s="150"/>
      <c r="L45" s="150"/>
      <c r="M45" s="150"/>
      <c r="N45" s="150"/>
      <c r="O45" s="150"/>
      <c r="P45" s="150"/>
    </row>
    <row r="46" spans="1:25">
      <c r="A46" s="58" t="s">
        <v>7</v>
      </c>
      <c r="B46" s="58" t="s">
        <v>231</v>
      </c>
      <c r="C46" s="58"/>
      <c r="D46" s="58"/>
      <c r="E46" s="58"/>
      <c r="F46" s="58"/>
      <c r="G46" s="58"/>
      <c r="H46" s="58"/>
      <c r="I46" s="58"/>
      <c r="J46" s="58"/>
      <c r="K46" s="58"/>
      <c r="L46" s="58"/>
      <c r="M46" s="58"/>
      <c r="N46" s="58"/>
      <c r="O46" s="58"/>
      <c r="P46" s="58"/>
    </row>
    <row r="47" spans="1:25">
      <c r="A47" s="58" t="s">
        <v>9</v>
      </c>
      <c r="B47" s="201" t="s">
        <v>245</v>
      </c>
      <c r="C47" s="58"/>
      <c r="D47" s="58"/>
      <c r="E47" s="58"/>
      <c r="F47" s="58"/>
      <c r="G47" s="58"/>
      <c r="H47" s="58"/>
      <c r="I47" s="58"/>
      <c r="J47" s="58"/>
      <c r="K47" s="58"/>
      <c r="L47" s="58"/>
      <c r="M47" s="58"/>
      <c r="N47" s="58"/>
      <c r="O47" s="58"/>
      <c r="P47" s="58"/>
    </row>
    <row r="48" spans="1:25">
      <c r="A48" s="58" t="s">
        <v>11</v>
      </c>
      <c r="B48" s="58" t="s">
        <v>233</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6">
      <c r="A52" s="58" t="s">
        <v>18</v>
      </c>
      <c r="B52" s="180" t="s">
        <v>37</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tr">
        <f>B45</f>
        <v>treatment of permanent magnet, motors and drives, SOFC-bat, Long-Term</v>
      </c>
      <c r="B55" s="180">
        <v>1</v>
      </c>
      <c r="C55" s="180"/>
      <c r="D55" s="180" t="s">
        <v>37</v>
      </c>
      <c r="E55" s="58" t="s">
        <v>2</v>
      </c>
      <c r="F55" s="58" t="s">
        <v>234</v>
      </c>
      <c r="G55" s="180" t="s">
        <v>59</v>
      </c>
      <c r="H55" s="58" t="s">
        <v>30</v>
      </c>
      <c r="I55" s="58">
        <v>0</v>
      </c>
      <c r="J55" s="180" t="s">
        <v>31</v>
      </c>
      <c r="K55" s="180" t="s">
        <v>31</v>
      </c>
      <c r="L55" s="180" t="s">
        <v>31</v>
      </c>
      <c r="M55" s="180" t="s">
        <v>31</v>
      </c>
      <c r="N55" s="180" t="s">
        <v>31</v>
      </c>
      <c r="O55" s="58" t="s">
        <v>246</v>
      </c>
      <c r="P55" s="58"/>
    </row>
    <row r="56" spans="1:16" ht="15.6">
      <c r="A56" s="84" t="s">
        <v>247</v>
      </c>
      <c r="B56">
        <v>-1</v>
      </c>
      <c r="C56" s="180" t="s">
        <v>248</v>
      </c>
      <c r="D56" s="180" t="s">
        <v>37</v>
      </c>
      <c r="E56" s="192" t="s">
        <v>40</v>
      </c>
      <c r="F56" s="58" t="s">
        <v>234</v>
      </c>
      <c r="G56" s="180" t="s">
        <v>59</v>
      </c>
      <c r="H56" t="s">
        <v>33</v>
      </c>
      <c r="I56" s="58">
        <v>0</v>
      </c>
      <c r="J56" s="180" t="s">
        <v>31</v>
      </c>
      <c r="K56" s="180" t="s">
        <v>31</v>
      </c>
      <c r="L56" s="180" t="s">
        <v>31</v>
      </c>
      <c r="M56" s="180" t="s">
        <v>31</v>
      </c>
      <c r="N56" s="180" t="s">
        <v>31</v>
      </c>
      <c r="O56" t="s">
        <v>249</v>
      </c>
    </row>
    <row r="57" spans="1:16" ht="15.6">
      <c r="A57" s="192" t="s">
        <v>250</v>
      </c>
      <c r="B57">
        <f>0.65</f>
        <v>0.65</v>
      </c>
      <c r="D57" s="180" t="s">
        <v>37</v>
      </c>
      <c r="E57" s="192" t="s">
        <v>40</v>
      </c>
      <c r="F57" s="58" t="s">
        <v>234</v>
      </c>
      <c r="G57" s="192" t="s">
        <v>59</v>
      </c>
      <c r="H57" s="192" t="s">
        <v>136</v>
      </c>
      <c r="I57" s="58">
        <v>0</v>
      </c>
      <c r="J57" s="180" t="s">
        <v>31</v>
      </c>
      <c r="K57" s="180" t="s">
        <v>31</v>
      </c>
      <c r="L57" s="180" t="s">
        <v>31</v>
      </c>
      <c r="M57" s="180" t="s">
        <v>31</v>
      </c>
      <c r="N57" s="180" t="s">
        <v>31</v>
      </c>
      <c r="O57" t="s">
        <v>251</v>
      </c>
    </row>
    <row r="58" spans="1:16" ht="15.6">
      <c r="A58" s="84" t="s">
        <v>252</v>
      </c>
      <c r="B58" s="192">
        <f>-(1-B57)</f>
        <v>-0.35</v>
      </c>
      <c r="C58" s="192"/>
      <c r="D58" s="180" t="s">
        <v>37</v>
      </c>
      <c r="E58" s="192" t="s">
        <v>40</v>
      </c>
      <c r="F58" s="58" t="s">
        <v>234</v>
      </c>
      <c r="G58" s="192" t="s">
        <v>59</v>
      </c>
      <c r="H58" t="s">
        <v>33</v>
      </c>
      <c r="I58" s="58">
        <v>0</v>
      </c>
      <c r="J58" s="180" t="s">
        <v>31</v>
      </c>
      <c r="K58" s="180" t="s">
        <v>31</v>
      </c>
      <c r="L58" s="180" t="s">
        <v>31</v>
      </c>
      <c r="M58" s="180" t="s">
        <v>31</v>
      </c>
      <c r="N58" s="180" t="s">
        <v>31</v>
      </c>
      <c r="O58" s="180" t="s">
        <v>253</v>
      </c>
    </row>
    <row r="59" spans="1:16" s="185" customFormat="1" ht="15.6">
      <c r="A59" s="182" t="s">
        <v>5</v>
      </c>
      <c r="B59" s="182" t="s">
        <v>254</v>
      </c>
      <c r="C59" s="182"/>
      <c r="D59" s="183"/>
      <c r="E59" s="184"/>
      <c r="F59" s="184"/>
      <c r="G59" s="184"/>
      <c r="H59" s="184"/>
      <c r="I59" s="184"/>
      <c r="J59" s="184"/>
      <c r="K59" s="184"/>
      <c r="L59" s="184"/>
      <c r="M59" s="184"/>
      <c r="N59" s="184"/>
      <c r="O59" s="184"/>
      <c r="P59" s="184"/>
    </row>
    <row r="60" spans="1:16">
      <c r="A60" s="58" t="s">
        <v>7</v>
      </c>
      <c r="B60" s="58" t="s">
        <v>231</v>
      </c>
      <c r="C60" s="58"/>
      <c r="D60" s="58"/>
      <c r="E60" s="58"/>
      <c r="F60" s="58"/>
      <c r="G60" s="58"/>
      <c r="H60" s="58"/>
      <c r="I60" s="58"/>
      <c r="J60" s="58"/>
      <c r="K60" s="58"/>
      <c r="L60" s="58"/>
      <c r="M60" s="58"/>
      <c r="N60" s="58"/>
      <c r="O60" s="58"/>
      <c r="P60" s="58"/>
    </row>
    <row r="61" spans="1:16">
      <c r="A61" s="58" t="s">
        <v>9</v>
      </c>
      <c r="B61" s="201" t="s">
        <v>255</v>
      </c>
      <c r="C61" s="58"/>
      <c r="D61" s="58"/>
      <c r="E61" s="58"/>
      <c r="F61" s="58"/>
      <c r="G61" s="58"/>
      <c r="H61" s="58"/>
      <c r="I61" s="58"/>
      <c r="J61" s="58"/>
      <c r="K61" s="58"/>
      <c r="L61" s="58"/>
      <c r="M61" s="58"/>
      <c r="N61" s="58"/>
      <c r="O61" s="58"/>
      <c r="P61" s="58"/>
    </row>
    <row r="62" spans="1:16">
      <c r="A62" s="58" t="s">
        <v>11</v>
      </c>
      <c r="B62" s="58" t="s">
        <v>256</v>
      </c>
      <c r="C62" s="58"/>
      <c r="D62" s="58"/>
      <c r="E62" s="58"/>
      <c r="F62" s="58"/>
      <c r="G62" s="58"/>
      <c r="H62" s="58"/>
      <c r="I62" s="58"/>
      <c r="J62" s="58"/>
      <c r="K62" s="58"/>
      <c r="L62" s="58"/>
      <c r="M62" s="58"/>
      <c r="N62" s="58"/>
      <c r="O62" s="58"/>
      <c r="P62" s="58"/>
    </row>
    <row r="63" spans="1:16">
      <c r="A63" s="58" t="s">
        <v>13</v>
      </c>
      <c r="B63" s="58" t="s">
        <v>59</v>
      </c>
      <c r="C63" s="58"/>
      <c r="D63" s="58"/>
      <c r="E63" s="58"/>
      <c r="F63" s="58"/>
      <c r="G63" s="58"/>
      <c r="H63" s="58"/>
      <c r="I63" s="58"/>
      <c r="J63" s="58"/>
      <c r="K63" s="58"/>
      <c r="L63" s="58"/>
      <c r="M63" s="58"/>
      <c r="N63" s="58"/>
      <c r="O63" s="58"/>
      <c r="P63" s="58"/>
    </row>
    <row r="64" spans="1:16">
      <c r="A64" s="58" t="s">
        <v>15</v>
      </c>
      <c r="B64" s="58">
        <v>1</v>
      </c>
      <c r="C64" s="58"/>
      <c r="D64" s="58"/>
      <c r="E64" s="58"/>
      <c r="F64" s="58"/>
      <c r="G64" s="58"/>
      <c r="H64" s="58"/>
      <c r="I64" s="58"/>
      <c r="J64" s="58"/>
      <c r="K64" s="58"/>
      <c r="L64" s="58"/>
      <c r="M64" s="58"/>
      <c r="N64" s="58"/>
      <c r="O64" s="58"/>
      <c r="P64" s="58"/>
    </row>
    <row r="65" spans="1:16">
      <c r="A65" s="58" t="s">
        <v>16</v>
      </c>
      <c r="B65" s="58" t="s">
        <v>17</v>
      </c>
      <c r="C65" s="58"/>
      <c r="D65" s="58"/>
      <c r="E65" s="58"/>
      <c r="F65" s="58"/>
      <c r="G65" s="58"/>
      <c r="H65" s="58"/>
      <c r="I65" s="58"/>
      <c r="J65" s="58"/>
      <c r="K65" s="58"/>
      <c r="L65" s="58"/>
      <c r="M65" s="58"/>
      <c r="N65" s="58"/>
      <c r="O65" s="58"/>
      <c r="P65" s="58"/>
    </row>
    <row r="66" spans="1:16" ht="15.6">
      <c r="A66" s="58" t="s">
        <v>18</v>
      </c>
      <c r="B66" s="180" t="s">
        <v>18</v>
      </c>
      <c r="C66" s="58"/>
      <c r="D66" s="58"/>
      <c r="E66" s="58" t="s">
        <v>185</v>
      </c>
      <c r="F66" s="58"/>
      <c r="G66" s="58"/>
      <c r="H66" s="58"/>
      <c r="I66" s="58"/>
      <c r="J66" s="58"/>
      <c r="K66" s="58"/>
      <c r="L66" s="58"/>
      <c r="M66" s="58"/>
      <c r="N66" s="58"/>
      <c r="O66" s="58"/>
      <c r="P66" s="58"/>
    </row>
    <row r="67" spans="1:16" ht="15.6">
      <c r="A67" s="181" t="s">
        <v>19</v>
      </c>
      <c r="B67" s="58"/>
      <c r="C67" s="58"/>
      <c r="D67" s="58"/>
      <c r="E67" s="58"/>
      <c r="F67" s="58"/>
      <c r="G67" s="58"/>
      <c r="H67" s="58"/>
      <c r="I67" s="58"/>
      <c r="J67" s="58"/>
      <c r="K67" s="58"/>
      <c r="L67" s="58"/>
      <c r="M67" s="58"/>
      <c r="N67" s="58"/>
      <c r="O67" s="58"/>
      <c r="P67" s="58"/>
    </row>
    <row r="68" spans="1:16" ht="15.6">
      <c r="A68" s="181" t="s">
        <v>20</v>
      </c>
      <c r="B68" s="181" t="s">
        <v>21</v>
      </c>
      <c r="C68" s="181" t="s">
        <v>186</v>
      </c>
      <c r="D68" s="181" t="s">
        <v>18</v>
      </c>
      <c r="E68" s="181" t="s">
        <v>22</v>
      </c>
      <c r="F68" s="181" t="s">
        <v>7</v>
      </c>
      <c r="G68" s="181" t="s">
        <v>13</v>
      </c>
      <c r="H68" s="181" t="s">
        <v>16</v>
      </c>
      <c r="I68" s="181" t="s">
        <v>23</v>
      </c>
      <c r="J68" s="181" t="s">
        <v>24</v>
      </c>
      <c r="K68" s="181" t="s">
        <v>25</v>
      </c>
      <c r="L68" s="181" t="s">
        <v>26</v>
      </c>
      <c r="M68" s="181" t="s">
        <v>27</v>
      </c>
      <c r="N68" s="181" t="s">
        <v>28</v>
      </c>
      <c r="O68" s="181" t="s">
        <v>11</v>
      </c>
      <c r="P68" s="181" t="s">
        <v>187</v>
      </c>
    </row>
    <row r="69" spans="1:16" ht="15.6">
      <c r="A69" s="180" t="str">
        <f>$B$59</f>
        <v>treatment of motor, motors and drives, SOFC-bat, Long-Term</v>
      </c>
      <c r="B69" s="180">
        <v>1</v>
      </c>
      <c r="C69" s="180"/>
      <c r="D69" s="180" t="s">
        <v>18</v>
      </c>
      <c r="E69" s="58" t="s">
        <v>2</v>
      </c>
      <c r="F69" s="58" t="s">
        <v>234</v>
      </c>
      <c r="G69" s="180" t="s">
        <v>59</v>
      </c>
      <c r="H69" s="58" t="s">
        <v>30</v>
      </c>
      <c r="I69" s="58">
        <v>0</v>
      </c>
      <c r="J69" s="180" t="s">
        <v>31</v>
      </c>
      <c r="K69" s="180" t="s">
        <v>31</v>
      </c>
      <c r="L69" s="180" t="s">
        <v>31</v>
      </c>
      <c r="M69" s="180" t="s">
        <v>31</v>
      </c>
      <c r="N69" s="180" t="s">
        <v>31</v>
      </c>
      <c r="O69" s="58"/>
      <c r="P69" s="58"/>
    </row>
    <row r="70" spans="1:16" ht="15.6">
      <c r="A70" t="str">
        <f>$A$12</f>
        <v>treatment of steel, motors and drives, SOFC-bat, Long-Term</v>
      </c>
      <c r="B70">
        <v>42.317409999999995</v>
      </c>
      <c r="D70" t="s">
        <v>37</v>
      </c>
      <c r="E70" s="58" t="s">
        <v>2</v>
      </c>
      <c r="F70" s="58" t="s">
        <v>234</v>
      </c>
      <c r="G70" s="180" t="s">
        <v>59</v>
      </c>
      <c r="H70" s="58" t="s">
        <v>33</v>
      </c>
      <c r="I70" s="58">
        <v>0</v>
      </c>
      <c r="J70" s="180" t="s">
        <v>31</v>
      </c>
      <c r="K70" s="180" t="s">
        <v>31</v>
      </c>
      <c r="L70" s="180" t="s">
        <v>31</v>
      </c>
      <c r="M70" s="180" t="s">
        <v>31</v>
      </c>
      <c r="N70" s="180" t="s">
        <v>31</v>
      </c>
    </row>
    <row r="71" spans="1:16" ht="15.6">
      <c r="A71" t="str">
        <f>$B$16</f>
        <v>treatment of aluminium, motors and drives, SOFC-bat, Long-Term</v>
      </c>
      <c r="B71">
        <v>13.24</v>
      </c>
      <c r="D71" t="s">
        <v>37</v>
      </c>
      <c r="E71" s="58" t="s">
        <v>2</v>
      </c>
      <c r="F71" s="58" t="s">
        <v>234</v>
      </c>
      <c r="G71" s="180" t="s">
        <v>59</v>
      </c>
      <c r="H71" s="58" t="s">
        <v>33</v>
      </c>
      <c r="I71" s="58">
        <v>0</v>
      </c>
      <c r="J71" s="180" t="s">
        <v>31</v>
      </c>
      <c r="K71" s="180" t="s">
        <v>31</v>
      </c>
      <c r="L71" s="180" t="s">
        <v>31</v>
      </c>
      <c r="M71" s="180" t="s">
        <v>31</v>
      </c>
      <c r="N71" s="180" t="s">
        <v>31</v>
      </c>
    </row>
    <row r="72" spans="1:16" ht="15.6">
      <c r="A72" t="str">
        <f>$B$31</f>
        <v>treatment of copper, motors and drives, SOFC-bat, Long-Term</v>
      </c>
      <c r="B72">
        <v>8.0805000000000007</v>
      </c>
      <c r="D72" t="s">
        <v>37</v>
      </c>
      <c r="E72" s="58" t="s">
        <v>2</v>
      </c>
      <c r="F72" s="58" t="s">
        <v>234</v>
      </c>
      <c r="G72" s="180" t="s">
        <v>59</v>
      </c>
      <c r="H72" s="58" t="s">
        <v>33</v>
      </c>
      <c r="I72" s="58">
        <v>0</v>
      </c>
      <c r="J72" s="180" t="s">
        <v>31</v>
      </c>
      <c r="K72" s="180" t="s">
        <v>31</v>
      </c>
      <c r="L72" s="180" t="s">
        <v>31</v>
      </c>
      <c r="M72" s="180" t="s">
        <v>31</v>
      </c>
      <c r="N72" s="180" t="s">
        <v>31</v>
      </c>
    </row>
    <row r="73" spans="1:16" ht="15.6">
      <c r="A73" t="str">
        <f>$B$45</f>
        <v>treatment of permanent magnet, motors and drives, SOFC-bat, Long-Term</v>
      </c>
      <c r="B73" s="192">
        <v>2.3637600000000001</v>
      </c>
      <c r="D73" t="s">
        <v>37</v>
      </c>
      <c r="E73" s="58" t="s">
        <v>2</v>
      </c>
      <c r="F73" s="58" t="s">
        <v>234</v>
      </c>
      <c r="G73" s="180" t="s">
        <v>59</v>
      </c>
      <c r="H73" s="58" t="s">
        <v>33</v>
      </c>
      <c r="I73" s="58">
        <v>0</v>
      </c>
      <c r="J73" s="180" t="s">
        <v>31</v>
      </c>
      <c r="K73" s="180" t="s">
        <v>31</v>
      </c>
      <c r="L73" s="180" t="s">
        <v>31</v>
      </c>
      <c r="M73" s="180" t="s">
        <v>31</v>
      </c>
      <c r="N73" s="180" t="s">
        <v>31</v>
      </c>
    </row>
    <row r="74" spans="1:16" s="73" customFormat="1" ht="15.6">
      <c r="A74" s="178" t="s">
        <v>5</v>
      </c>
      <c r="B74" s="178" t="s">
        <v>257</v>
      </c>
      <c r="C74" s="178"/>
      <c r="D74" s="74"/>
      <c r="E74" s="150"/>
      <c r="F74" s="150"/>
      <c r="G74" s="150"/>
      <c r="H74" s="150"/>
      <c r="I74" s="150"/>
      <c r="J74" s="150"/>
      <c r="K74" s="150"/>
      <c r="L74" s="150"/>
      <c r="M74" s="150"/>
      <c r="N74" s="150"/>
      <c r="O74" s="150"/>
      <c r="P74" s="150"/>
    </row>
    <row r="75" spans="1:16">
      <c r="A75" s="58" t="s">
        <v>7</v>
      </c>
      <c r="B75" s="58" t="s">
        <v>231</v>
      </c>
      <c r="C75" s="58"/>
      <c r="D75" s="58"/>
      <c r="E75" s="58"/>
      <c r="F75" s="58"/>
      <c r="G75" s="58"/>
      <c r="H75" s="58"/>
      <c r="I75" s="58"/>
      <c r="J75" s="58"/>
      <c r="K75" s="58"/>
      <c r="L75" s="58"/>
      <c r="M75" s="58"/>
      <c r="N75" s="58"/>
      <c r="O75" s="58"/>
      <c r="P75" s="58"/>
    </row>
    <row r="76" spans="1:16">
      <c r="A76" s="58" t="s">
        <v>9</v>
      </c>
      <c r="B76" s="201" t="s">
        <v>258</v>
      </c>
      <c r="C76" s="58"/>
      <c r="D76" s="58"/>
      <c r="E76" s="58"/>
      <c r="F76" s="58"/>
      <c r="G76" s="58"/>
      <c r="H76" s="58"/>
      <c r="I76" s="58"/>
      <c r="J76" s="58"/>
      <c r="K76" s="58"/>
      <c r="L76" s="58"/>
      <c r="M76" s="58"/>
      <c r="N76" s="58"/>
      <c r="O76" s="58"/>
      <c r="P76" s="58"/>
    </row>
    <row r="77" spans="1:16">
      <c r="A77" s="58" t="s">
        <v>11</v>
      </c>
      <c r="B77" s="58" t="s">
        <v>259</v>
      </c>
      <c r="C77" s="58"/>
      <c r="D77" s="58"/>
      <c r="E77" s="58"/>
      <c r="F77" s="58"/>
      <c r="G77" s="58"/>
      <c r="H77" s="58"/>
      <c r="I77" s="58"/>
      <c r="J77" s="58"/>
      <c r="K77" s="58"/>
      <c r="L77" s="58"/>
      <c r="M77" s="58"/>
      <c r="N77" s="58"/>
      <c r="O77" s="58"/>
      <c r="P77" s="58"/>
    </row>
    <row r="78" spans="1:16">
      <c r="A78" s="58" t="s">
        <v>13</v>
      </c>
      <c r="B78" s="58" t="s">
        <v>59</v>
      </c>
      <c r="C78" s="58"/>
      <c r="D78" s="58"/>
      <c r="E78" s="58"/>
      <c r="F78" s="58"/>
      <c r="G78" s="58"/>
      <c r="H78" s="58"/>
      <c r="I78" s="58"/>
      <c r="J78" s="58"/>
      <c r="K78" s="58"/>
      <c r="L78" s="58"/>
      <c r="M78" s="58"/>
      <c r="N78" s="58"/>
      <c r="O78" s="58"/>
      <c r="P78" s="58"/>
    </row>
    <row r="79" spans="1:16">
      <c r="A79" s="58" t="s">
        <v>15</v>
      </c>
      <c r="B79" s="58">
        <v>1</v>
      </c>
      <c r="C79" s="58"/>
      <c r="D79" s="58"/>
      <c r="E79" s="58"/>
      <c r="F79" s="58"/>
      <c r="G79" s="58"/>
      <c r="H79" s="58"/>
      <c r="I79" s="58"/>
      <c r="J79" s="58"/>
      <c r="K79" s="58"/>
      <c r="L79" s="58"/>
      <c r="M79" s="58"/>
      <c r="N79" s="58"/>
      <c r="O79" s="58"/>
      <c r="P79" s="58"/>
    </row>
    <row r="80" spans="1:16">
      <c r="A80" s="58" t="s">
        <v>16</v>
      </c>
      <c r="B80" s="58" t="s">
        <v>17</v>
      </c>
      <c r="C80" s="58"/>
      <c r="D80" s="58"/>
      <c r="E80" s="58"/>
      <c r="F80" s="58"/>
      <c r="G80" s="58"/>
      <c r="H80" s="58"/>
      <c r="I80" s="58"/>
      <c r="J80" s="58"/>
      <c r="K80" s="58"/>
      <c r="L80" s="58"/>
      <c r="M80" s="58"/>
      <c r="N80" s="58"/>
      <c r="O80" s="58"/>
      <c r="P80" s="58"/>
    </row>
    <row r="81" spans="1:16" ht="15.6">
      <c r="A81" s="58" t="s">
        <v>18</v>
      </c>
      <c r="B81" s="180" t="s">
        <v>18</v>
      </c>
      <c r="C81" s="58"/>
      <c r="D81" s="58"/>
      <c r="E81" s="58" t="s">
        <v>185</v>
      </c>
      <c r="F81" s="58"/>
      <c r="G81" s="58"/>
      <c r="H81" s="58"/>
      <c r="I81" s="58"/>
      <c r="J81" s="58"/>
      <c r="K81" s="58"/>
      <c r="L81" s="58"/>
      <c r="M81" s="58"/>
      <c r="N81" s="58"/>
      <c r="O81" s="58"/>
      <c r="P81" s="58"/>
    </row>
    <row r="82" spans="1:16" ht="15.6">
      <c r="A82" s="181" t="s">
        <v>19</v>
      </c>
      <c r="B82" s="58"/>
      <c r="C82" s="58"/>
      <c r="D82" s="58"/>
      <c r="E82" s="58"/>
      <c r="F82" s="58"/>
      <c r="G82" s="58"/>
      <c r="H82" s="58"/>
      <c r="I82" s="58"/>
      <c r="J82" s="58"/>
      <c r="K82" s="58"/>
      <c r="L82" s="58"/>
      <c r="M82" s="58"/>
      <c r="N82" s="58"/>
      <c r="O82" s="58"/>
      <c r="P82" s="58"/>
    </row>
    <row r="83" spans="1:16" ht="15.6">
      <c r="A83" s="181" t="s">
        <v>20</v>
      </c>
      <c r="B83" s="181" t="s">
        <v>21</v>
      </c>
      <c r="C83" s="181" t="s">
        <v>186</v>
      </c>
      <c r="D83" s="181" t="s">
        <v>18</v>
      </c>
      <c r="E83" s="181" t="s">
        <v>22</v>
      </c>
      <c r="F83" s="181" t="s">
        <v>7</v>
      </c>
      <c r="G83" s="181" t="s">
        <v>13</v>
      </c>
      <c r="H83" s="181" t="s">
        <v>16</v>
      </c>
      <c r="I83" s="181" t="s">
        <v>23</v>
      </c>
      <c r="J83" s="181" t="s">
        <v>24</v>
      </c>
      <c r="K83" s="181" t="s">
        <v>25</v>
      </c>
      <c r="L83" s="181" t="s">
        <v>26</v>
      </c>
      <c r="M83" s="181" t="s">
        <v>27</v>
      </c>
      <c r="N83" s="181" t="s">
        <v>28</v>
      </c>
      <c r="O83" s="181" t="s">
        <v>11</v>
      </c>
      <c r="P83" s="181" t="s">
        <v>187</v>
      </c>
    </row>
    <row r="84" spans="1:16" ht="15.6">
      <c r="A84" s="180" t="str">
        <f>B74</f>
        <v>treatment of motors and drives, SOFC-bat, Long-Term</v>
      </c>
      <c r="B84" s="180">
        <v>1</v>
      </c>
      <c r="C84" s="180"/>
      <c r="D84" s="180" t="s">
        <v>18</v>
      </c>
      <c r="E84" s="58" t="s">
        <v>2</v>
      </c>
      <c r="F84" s="58" t="s">
        <v>234</v>
      </c>
      <c r="G84" s="180" t="s">
        <v>59</v>
      </c>
      <c r="H84" s="58" t="s">
        <v>30</v>
      </c>
      <c r="I84" s="58">
        <v>0</v>
      </c>
      <c r="J84" s="180" t="s">
        <v>31</v>
      </c>
      <c r="K84" s="180" t="s">
        <v>31</v>
      </c>
      <c r="L84" s="180" t="s">
        <v>31</v>
      </c>
      <c r="M84" s="180" t="s">
        <v>31</v>
      </c>
      <c r="N84" s="180" t="s">
        <v>31</v>
      </c>
      <c r="O84" s="58"/>
      <c r="P84" s="58"/>
    </row>
    <row r="85" spans="1:16">
      <c r="A85" t="str">
        <f>A69</f>
        <v>treatment of motor, motors and drives, SOFC-bat, Long-Term</v>
      </c>
      <c r="B85">
        <f t="shared" ref="B85:N85" si="0">B69</f>
        <v>1</v>
      </c>
      <c r="D85" t="str">
        <f t="shared" si="0"/>
        <v>unit</v>
      </c>
      <c r="E85" t="str">
        <f t="shared" si="0"/>
        <v>GENESIS_2050_SOFC-bat_Base</v>
      </c>
      <c r="F85" t="str">
        <f t="shared" si="0"/>
        <v>motors and drives, SOFC-bat, Long-Term</v>
      </c>
      <c r="G85" t="str">
        <f t="shared" si="0"/>
        <v>GLO</v>
      </c>
      <c r="H85" t="s">
        <v>33</v>
      </c>
      <c r="I85">
        <f t="shared" si="0"/>
        <v>0</v>
      </c>
      <c r="J85" t="str">
        <f t="shared" si="0"/>
        <v>(Unknown)</v>
      </c>
      <c r="K85" t="str">
        <f t="shared" si="0"/>
        <v>(Unknown)</v>
      </c>
      <c r="L85" t="str">
        <f t="shared" si="0"/>
        <v>(Unknown)</v>
      </c>
      <c r="M85" t="str">
        <f t="shared" si="0"/>
        <v>(Unknown)</v>
      </c>
      <c r="N85" t="str">
        <f t="shared" si="0"/>
        <v>(Unknown)</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Opret et nyt dokument." ma:contentTypeScope="" ma:versionID="8dfeb2d13d490bb0631e18522dcfe2b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59ab00f3fe4784bbf98a5730a4f0f30c"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ledmærker"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FC012B-D11A-464B-A816-788BC2BB1DE1}"/>
</file>

<file path=customXml/itemProps2.xml><?xml version="1.0" encoding="utf-8"?>
<ds:datastoreItem xmlns:ds="http://schemas.openxmlformats.org/officeDocument/2006/customXml" ds:itemID="{36F7B80F-DF29-4B25-8929-231CCF26BB64}"/>
</file>

<file path=customXml/itemProps3.xml><?xml version="1.0" encoding="utf-8"?>
<ds:datastoreItem xmlns:ds="http://schemas.openxmlformats.org/officeDocument/2006/customXml" ds:itemID="{85956176-631B-4BB6-AE97-84F0C46A8F5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2023-06-26T11:22:00Z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