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Long_term/Conventional/"/>
    </mc:Choice>
  </mc:AlternateContent>
  <xr:revisionPtr revIDLastSave="1948" documentId="8_{46D448AD-18E0-4123-883C-99FE432E0328}" xr6:coauthVersionLast="47" xr6:coauthVersionMax="47" xr10:uidLastSave="{EB9658F0-6546-414A-B036-11A56831F6EB}"/>
  <bookViews>
    <workbookView xWindow="-120" yWindow="-120" windowWidth="29040" windowHeight="15840" firstSheet="1" activeTab="1"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1. processes" sheetId="43" r:id="rId7"/>
    <sheet name="2. treatment processes" sheetId="44" r:id="rId8"/>
    <sheet name="SAF" sheetId="36" r:id="rId9"/>
    <sheet name="Airprot_use" sheetId="37" r:id="rId10"/>
    <sheet name="Airport_construction" sheetId="38" r:id="rId11"/>
    <sheet name="Airport_decommission " sheetId="39" r:id="rId12"/>
    <sheet name="MAIN EoL" sheetId="40" r:id="rId13"/>
    <sheet name="powerplant EoL LCI" sheetId="41" r:id="rId14"/>
    <sheet name="airframe EoL LCI" sheetId="42" r:id="rId15"/>
  </sheets>
  <externalReferences>
    <externalReference r:id="rId16"/>
  </externalReferences>
  <calcPr calcId="191028"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3" i="44" l="1"/>
  <c r="J101" i="43"/>
  <c r="J100" i="43"/>
  <c r="J99" i="43"/>
  <c r="J98" i="43"/>
  <c r="J97" i="43"/>
  <c r="U96" i="43"/>
  <c r="J96" i="43"/>
  <c r="J95" i="43"/>
  <c r="B92" i="43"/>
  <c r="J92" i="43" s="1"/>
  <c r="B87" i="43"/>
  <c r="B94" i="43" s="1"/>
  <c r="J94" i="43" s="1"/>
  <c r="B86" i="43"/>
  <c r="B91" i="43" s="1"/>
  <c r="B85" i="43"/>
  <c r="B88" i="43" s="1"/>
  <c r="J88" i="43" s="1"/>
  <c r="J73" i="43"/>
  <c r="J72" i="43"/>
  <c r="J71" i="43"/>
  <c r="J70" i="43"/>
  <c r="J69" i="43"/>
  <c r="U68" i="43"/>
  <c r="J68" i="43"/>
  <c r="J67" i="43"/>
  <c r="B60" i="43"/>
  <c r="B66" i="43" s="1"/>
  <c r="J66" i="43" s="1"/>
  <c r="B59" i="43"/>
  <c r="B63" i="43" s="1"/>
  <c r="J63" i="43" s="1"/>
  <c r="B58" i="43"/>
  <c r="J58" i="43" s="1"/>
  <c r="A57" i="43"/>
  <c r="J46" i="43"/>
  <c r="J45" i="43"/>
  <c r="J44" i="43"/>
  <c r="J43" i="43"/>
  <c r="J42" i="43"/>
  <c r="U41" i="43"/>
  <c r="J41" i="43"/>
  <c r="J40" i="43"/>
  <c r="B36" i="43"/>
  <c r="J36" i="43" s="1"/>
  <c r="B35" i="43"/>
  <c r="J35" i="43" s="1"/>
  <c r="B34" i="43"/>
  <c r="B39" i="43" s="1"/>
  <c r="J39" i="43" s="1"/>
  <c r="B33" i="43"/>
  <c r="J33" i="43" s="1"/>
  <c r="J21" i="43"/>
  <c r="J20" i="43"/>
  <c r="J19" i="43"/>
  <c r="J18" i="43"/>
  <c r="J17" i="43"/>
  <c r="U16" i="43"/>
  <c r="J16" i="43"/>
  <c r="J15" i="43"/>
  <c r="J14" i="43"/>
  <c r="A14" i="43"/>
  <c r="J13" i="43"/>
  <c r="J59" i="43" l="1"/>
  <c r="B64" i="43"/>
  <c r="J64" i="43" s="1"/>
  <c r="J85" i="43"/>
  <c r="S90" i="43"/>
  <c r="U90" i="43" s="1"/>
  <c r="J91" i="43"/>
  <c r="S89" i="43"/>
  <c r="U89" i="43" s="1"/>
  <c r="B61" i="43"/>
  <c r="J61" i="43" s="1"/>
  <c r="B65" i="43"/>
  <c r="J65" i="43" s="1"/>
  <c r="B90" i="43"/>
  <c r="J90" i="43" s="1"/>
  <c r="B93" i="43"/>
  <c r="J93" i="43" s="1"/>
  <c r="B38" i="43"/>
  <c r="J38" i="43" s="1"/>
  <c r="J60" i="43"/>
  <c r="J87" i="43"/>
  <c r="J34" i="43"/>
  <c r="B62" i="43"/>
  <c r="J62" i="43" s="1"/>
  <c r="B37" i="43"/>
  <c r="J37" i="43" s="1"/>
  <c r="J86" i="43"/>
  <c r="B89" i="43"/>
  <c r="J89" i="43" s="1"/>
  <c r="I18" i="30" l="1"/>
  <c r="N247" i="42"/>
  <c r="M247" i="42"/>
  <c r="L247" i="42"/>
  <c r="K247" i="42"/>
  <c r="J247" i="42"/>
  <c r="I247" i="42"/>
  <c r="G247" i="42"/>
  <c r="F247" i="42"/>
  <c r="E247" i="42"/>
  <c r="D247" i="42"/>
  <c r="B247" i="42"/>
  <c r="N246" i="42"/>
  <c r="M246" i="42"/>
  <c r="L246" i="42"/>
  <c r="K246" i="42"/>
  <c r="J246" i="42"/>
  <c r="I246" i="42"/>
  <c r="G246" i="42"/>
  <c r="E246" i="42"/>
  <c r="D246" i="42"/>
  <c r="B246" i="42"/>
  <c r="A246" i="42"/>
  <c r="N245" i="42"/>
  <c r="M245" i="42"/>
  <c r="L245" i="42"/>
  <c r="K245" i="42"/>
  <c r="J245" i="42"/>
  <c r="I245" i="42"/>
  <c r="G245" i="42"/>
  <c r="E245" i="42"/>
  <c r="D245" i="42"/>
  <c r="B245" i="42"/>
  <c r="N244" i="42"/>
  <c r="M244" i="42"/>
  <c r="L244" i="42"/>
  <c r="K244" i="42"/>
  <c r="J244" i="42"/>
  <c r="I244" i="42"/>
  <c r="G244" i="42"/>
  <c r="E244" i="42"/>
  <c r="D244" i="42"/>
  <c r="B244" i="42"/>
  <c r="N243" i="42"/>
  <c r="M243" i="42"/>
  <c r="L243" i="42"/>
  <c r="K243" i="42"/>
  <c r="J243" i="42"/>
  <c r="I243" i="42"/>
  <c r="G243" i="42"/>
  <c r="E243" i="42"/>
  <c r="D243" i="42"/>
  <c r="B243" i="42"/>
  <c r="A242" i="42"/>
  <c r="A224" i="42"/>
  <c r="A247" i="42" s="1"/>
  <c r="A213" i="42"/>
  <c r="A212" i="42"/>
  <c r="A211" i="42"/>
  <c r="A210" i="42"/>
  <c r="A209" i="42"/>
  <c r="A208" i="42"/>
  <c r="A243" i="42" s="1"/>
  <c r="A197" i="42"/>
  <c r="A196" i="42"/>
  <c r="A195" i="42"/>
  <c r="A194" i="42"/>
  <c r="A244" i="42" s="1"/>
  <c r="A183" i="42"/>
  <c r="A182" i="42"/>
  <c r="A181" i="42"/>
  <c r="A180" i="42"/>
  <c r="A179" i="42"/>
  <c r="A245" i="42" s="1"/>
  <c r="A160" i="42"/>
  <c r="A159" i="42"/>
  <c r="B148" i="42"/>
  <c r="U147" i="42"/>
  <c r="S147" i="42"/>
  <c r="B147" i="42"/>
  <c r="U146" i="42"/>
  <c r="B146" i="42" s="1"/>
  <c r="S146" i="42"/>
  <c r="A145" i="42"/>
  <c r="B133" i="42"/>
  <c r="B134" i="42" s="1"/>
  <c r="A131" i="42"/>
  <c r="B119" i="42"/>
  <c r="B118" i="42"/>
  <c r="A116" i="42"/>
  <c r="B104" i="42"/>
  <c r="B105" i="42" s="1"/>
  <c r="A101" i="42"/>
  <c r="B89" i="42"/>
  <c r="B88" i="42" s="1"/>
  <c r="A86" i="42"/>
  <c r="B75" i="42"/>
  <c r="B74" i="42"/>
  <c r="A71" i="42"/>
  <c r="B60" i="42"/>
  <c r="B59" i="42"/>
  <c r="J59" i="42" s="1"/>
  <c r="S58" i="42"/>
  <c r="U58" i="42" s="1"/>
  <c r="B58" i="42" s="1"/>
  <c r="U57" i="42"/>
  <c r="B57" i="42" s="1"/>
  <c r="S57" i="42"/>
  <c r="A56" i="42"/>
  <c r="B45" i="42"/>
  <c r="B44" i="42"/>
  <c r="A42" i="42"/>
  <c r="B30" i="42"/>
  <c r="B29" i="42" s="1"/>
  <c r="A27" i="42"/>
  <c r="B15" i="42"/>
  <c r="B16" i="42" s="1"/>
  <c r="A12" i="42"/>
  <c r="A129" i="41"/>
  <c r="A128" i="41"/>
  <c r="A127" i="41"/>
  <c r="A126" i="41"/>
  <c r="A125" i="41"/>
  <c r="B114" i="41"/>
  <c r="A113" i="41"/>
  <c r="B102" i="41"/>
  <c r="B101" i="41"/>
  <c r="A99" i="41"/>
  <c r="B88" i="41"/>
  <c r="A85" i="41"/>
  <c r="B74" i="41"/>
  <c r="A71" i="41"/>
  <c r="B60" i="41"/>
  <c r="A57" i="41"/>
  <c r="B46" i="41"/>
  <c r="A42" i="41"/>
  <c r="B31" i="41"/>
  <c r="B30" i="41"/>
  <c r="B29" i="41" s="1"/>
  <c r="A27" i="41"/>
  <c r="B16" i="41"/>
  <c r="J15" i="41"/>
  <c r="B15" i="41"/>
  <c r="S14" i="41"/>
  <c r="U14" i="41" s="1"/>
  <c r="B14" i="41" s="1"/>
  <c r="S13" i="41"/>
  <c r="U13" i="41" s="1"/>
  <c r="B13" i="41" s="1"/>
  <c r="A12" i="41"/>
  <c r="N14" i="40"/>
  <c r="M14" i="40"/>
  <c r="L14" i="40"/>
  <c r="K14" i="40"/>
  <c r="J14" i="40"/>
  <c r="I14" i="40"/>
  <c r="G14" i="40"/>
  <c r="F14" i="40"/>
  <c r="E14" i="40"/>
  <c r="D14" i="40"/>
  <c r="B14" i="40"/>
  <c r="A14" i="40"/>
  <c r="N13" i="40"/>
  <c r="M13" i="40"/>
  <c r="L13" i="40"/>
  <c r="K13" i="40"/>
  <c r="J13" i="40"/>
  <c r="I13" i="40"/>
  <c r="G13" i="40"/>
  <c r="F13" i="40"/>
  <c r="E13" i="40"/>
  <c r="D13" i="40"/>
  <c r="B13" i="40"/>
  <c r="A13" i="40"/>
  <c r="A12" i="40"/>
  <c r="B54" i="39" l="1"/>
  <c r="I54" i="39" s="1"/>
  <c r="B53" i="39"/>
  <c r="I53" i="39" s="1"/>
  <c r="F52" i="39"/>
  <c r="C52" i="39"/>
  <c r="B52" i="39"/>
  <c r="I52" i="39" s="1"/>
  <c r="A52" i="39"/>
  <c r="B41" i="39"/>
  <c r="I41" i="39" s="1"/>
  <c r="B40" i="39"/>
  <c r="I40" i="39" s="1"/>
  <c r="I39" i="39"/>
  <c r="F39" i="39"/>
  <c r="C39" i="39"/>
  <c r="B39" i="39"/>
  <c r="A39" i="39"/>
  <c r="B28" i="39"/>
  <c r="I28" i="39" s="1"/>
  <c r="B27" i="39"/>
  <c r="I27" i="39" s="1"/>
  <c r="I26" i="39"/>
  <c r="F26" i="39"/>
  <c r="C26" i="39"/>
  <c r="B26" i="39"/>
  <c r="A26" i="39"/>
  <c r="I12" i="39"/>
  <c r="F12" i="39"/>
  <c r="C12" i="39"/>
  <c r="B12" i="39"/>
  <c r="A12" i="39"/>
  <c r="Q8" i="39"/>
  <c r="B15" i="39" s="1"/>
  <c r="I15" i="39" s="1"/>
  <c r="Q7" i="39"/>
  <c r="B14" i="39" s="1"/>
  <c r="I14" i="39" s="1"/>
  <c r="Q6" i="39"/>
  <c r="B13" i="39" s="1"/>
  <c r="I13" i="39" s="1"/>
  <c r="Q5" i="39"/>
  <c r="I200" i="38"/>
  <c r="F199" i="38"/>
  <c r="C199" i="38"/>
  <c r="B199" i="38"/>
  <c r="I199" i="38" s="1"/>
  <c r="A199" i="38"/>
  <c r="I188" i="38"/>
  <c r="B188" i="38"/>
  <c r="I187" i="38"/>
  <c r="B187" i="38"/>
  <c r="B186" i="38"/>
  <c r="I186" i="38" s="1"/>
  <c r="B185" i="38"/>
  <c r="I185" i="38" s="1"/>
  <c r="B182" i="38"/>
  <c r="I182" i="38" s="1"/>
  <c r="I181" i="38"/>
  <c r="I180" i="38"/>
  <c r="F180" i="38"/>
  <c r="C180" i="38"/>
  <c r="B180" i="38"/>
  <c r="A180" i="38"/>
  <c r="B169" i="38"/>
  <c r="I169" i="38" s="1"/>
  <c r="B168" i="38"/>
  <c r="I168" i="38" s="1"/>
  <c r="I167" i="38"/>
  <c r="B167" i="38"/>
  <c r="B166" i="38"/>
  <c r="I166" i="38" s="1"/>
  <c r="B165" i="38"/>
  <c r="I165" i="38" s="1"/>
  <c r="B164" i="38"/>
  <c r="I164" i="38" s="1"/>
  <c r="I163" i="38"/>
  <c r="B163" i="38"/>
  <c r="I162" i="38"/>
  <c r="F161" i="38"/>
  <c r="C161" i="38"/>
  <c r="B161" i="38"/>
  <c r="I161" i="38" s="1"/>
  <c r="A161" i="38"/>
  <c r="I150" i="38"/>
  <c r="B150" i="38"/>
  <c r="B149" i="38"/>
  <c r="I149" i="38" s="1"/>
  <c r="B148" i="38"/>
  <c r="I148" i="38" s="1"/>
  <c r="B147" i="38"/>
  <c r="I147" i="38" s="1"/>
  <c r="B144" i="38"/>
  <c r="I144" i="38" s="1"/>
  <c r="I143" i="38"/>
  <c r="I142" i="38"/>
  <c r="F142" i="38"/>
  <c r="C142" i="38"/>
  <c r="B142" i="38"/>
  <c r="A142" i="38"/>
  <c r="B131" i="38"/>
  <c r="I131" i="38" s="1"/>
  <c r="B130" i="38"/>
  <c r="I128" i="38"/>
  <c r="F128" i="38"/>
  <c r="C128" i="38"/>
  <c r="B128" i="38"/>
  <c r="A128" i="38"/>
  <c r="B117" i="38"/>
  <c r="I117" i="38" s="1"/>
  <c r="B116" i="38"/>
  <c r="I116" i="38" s="1"/>
  <c r="B115" i="38"/>
  <c r="I113" i="38"/>
  <c r="F113" i="38"/>
  <c r="C113" i="38"/>
  <c r="B113" i="38"/>
  <c r="A113" i="38"/>
  <c r="B102" i="38"/>
  <c r="I102" i="38" s="1"/>
  <c r="I101" i="38"/>
  <c r="B101" i="38"/>
  <c r="B100" i="38"/>
  <c r="F98" i="38"/>
  <c r="C98" i="38"/>
  <c r="B98" i="38"/>
  <c r="I98" i="38" s="1"/>
  <c r="A98" i="38"/>
  <c r="I87" i="38"/>
  <c r="I86" i="38"/>
  <c r="I85" i="38"/>
  <c r="I84" i="38"/>
  <c r="I83" i="38"/>
  <c r="I82" i="38"/>
  <c r="I81" i="38"/>
  <c r="I80" i="38"/>
  <c r="F80" i="38"/>
  <c r="C80" i="38"/>
  <c r="B80" i="38"/>
  <c r="A80" i="38"/>
  <c r="B69" i="38"/>
  <c r="I69" i="38" s="1"/>
  <c r="I68" i="38"/>
  <c r="F68" i="38"/>
  <c r="C68" i="38"/>
  <c r="B68" i="38"/>
  <c r="A68" i="38"/>
  <c r="B56" i="38"/>
  <c r="I56" i="38" s="1"/>
  <c r="I55" i="38"/>
  <c r="I54" i="38"/>
  <c r="F54" i="38"/>
  <c r="C54" i="38"/>
  <c r="B54" i="38"/>
  <c r="A54" i="38"/>
  <c r="B43" i="38"/>
  <c r="I43" i="38" s="1"/>
  <c r="I42" i="38"/>
  <c r="B42" i="38"/>
  <c r="B41" i="38"/>
  <c r="I41" i="38" s="1"/>
  <c r="I40" i="38"/>
  <c r="F39" i="38"/>
  <c r="C39" i="38"/>
  <c r="B39" i="38"/>
  <c r="I39" i="38" s="1"/>
  <c r="A39" i="38"/>
  <c r="I28" i="38"/>
  <c r="I27" i="38"/>
  <c r="I26" i="38"/>
  <c r="F25" i="38"/>
  <c r="C25" i="38"/>
  <c r="B25" i="38"/>
  <c r="I25" i="38" s="1"/>
  <c r="A25" i="38"/>
  <c r="I14" i="38"/>
  <c r="I13" i="38"/>
  <c r="F12" i="38"/>
  <c r="C12" i="38"/>
  <c r="B12" i="38"/>
  <c r="I12" i="38" s="1"/>
  <c r="A12" i="38"/>
  <c r="P7" i="38"/>
  <c r="B184" i="38" s="1"/>
  <c r="I184" i="38" s="1"/>
  <c r="I45" i="37"/>
  <c r="F44" i="37"/>
  <c r="C44" i="37"/>
  <c r="B44" i="37"/>
  <c r="I44" i="37" s="1"/>
  <c r="A44" i="37"/>
  <c r="I33" i="37"/>
  <c r="F32" i="37"/>
  <c r="C32" i="37"/>
  <c r="B32" i="37"/>
  <c r="I32" i="37" s="1"/>
  <c r="A32" i="37"/>
  <c r="B21" i="37"/>
  <c r="I21" i="37" s="1"/>
  <c r="I20" i="37"/>
  <c r="B20" i="37"/>
  <c r="B19" i="37"/>
  <c r="I19" i="37" s="1"/>
  <c r="I18" i="37"/>
  <c r="I17" i="37"/>
  <c r="B16" i="37"/>
  <c r="I16" i="37" s="1"/>
  <c r="I15" i="37"/>
  <c r="B14" i="37"/>
  <c r="F12" i="37"/>
  <c r="C12" i="37"/>
  <c r="B12" i="37"/>
  <c r="I12" i="37" s="1"/>
  <c r="A12" i="37"/>
  <c r="Q7" i="37"/>
  <c r="Q6" i="37"/>
  <c r="B13" i="37" s="1"/>
  <c r="I13" i="37" s="1"/>
  <c r="Q5" i="37"/>
  <c r="B57" i="38" l="1"/>
  <c r="I57" i="38" s="1"/>
  <c r="B145" i="38"/>
  <c r="I145" i="38" s="1"/>
  <c r="B183" i="38"/>
  <c r="I183" i="38" s="1"/>
  <c r="B146" i="38"/>
  <c r="I146" i="38" s="1"/>
  <c r="N79" i="35" l="1"/>
  <c r="N80" i="35"/>
  <c r="N81" i="35"/>
  <c r="N82" i="35"/>
  <c r="N83" i="35"/>
  <c r="N78" i="35"/>
  <c r="B17" i="36"/>
  <c r="B16" i="36"/>
  <c r="B15" i="36"/>
  <c r="A12" i="36"/>
  <c r="N59" i="35" l="1"/>
  <c r="B59" i="35" s="1"/>
  <c r="I59" i="35" s="1"/>
  <c r="N60" i="35"/>
  <c r="N61" i="35"/>
  <c r="N62" i="35"/>
  <c r="B62" i="35" s="1"/>
  <c r="I62" i="35" s="1"/>
  <c r="N63" i="35"/>
  <c r="B63" i="35" s="1"/>
  <c r="I63" i="35" s="1"/>
  <c r="N58" i="35"/>
  <c r="B58" i="35" s="1"/>
  <c r="I58" i="35" s="1"/>
  <c r="N39" i="35"/>
  <c r="B39" i="35" s="1"/>
  <c r="I39" i="35" s="1"/>
  <c r="N40" i="35"/>
  <c r="B40" i="35" s="1"/>
  <c r="I40" i="35" s="1"/>
  <c r="N41" i="35"/>
  <c r="N42" i="35"/>
  <c r="B42" i="35" s="1"/>
  <c r="I42" i="35" s="1"/>
  <c r="N43" i="35"/>
  <c r="B43" i="35" s="1"/>
  <c r="I43" i="35" s="1"/>
  <c r="N38" i="35"/>
  <c r="B38" i="35" s="1"/>
  <c r="I38" i="35" s="1"/>
  <c r="I37" i="35"/>
  <c r="B83" i="35"/>
  <c r="I83" i="35" s="1"/>
  <c r="B82" i="35"/>
  <c r="I82" i="35" s="1"/>
  <c r="B81" i="35"/>
  <c r="I81" i="35" s="1"/>
  <c r="B80" i="35"/>
  <c r="I80" i="35" s="1"/>
  <c r="B79" i="35"/>
  <c r="I79" i="35" s="1"/>
  <c r="B78" i="35"/>
  <c r="I78" i="35" s="1"/>
  <c r="I77" i="35"/>
  <c r="B76" i="35"/>
  <c r="B75" i="35"/>
  <c r="B61" i="35"/>
  <c r="I61" i="35" s="1"/>
  <c r="B60" i="35"/>
  <c r="I60" i="35" s="1"/>
  <c r="I57" i="35"/>
  <c r="B56" i="35"/>
  <c r="B55" i="35"/>
  <c r="B41" i="35"/>
  <c r="I41" i="35" s="1"/>
  <c r="B36" i="35"/>
  <c r="B35" i="35"/>
  <c r="N19" i="35" l="1"/>
  <c r="B19" i="35" s="1"/>
  <c r="I19" i="35" s="1"/>
  <c r="N20" i="35"/>
  <c r="B20" i="35" s="1"/>
  <c r="I20" i="35" s="1"/>
  <c r="N21" i="35"/>
  <c r="B21" i="35" s="1"/>
  <c r="I21" i="35" s="1"/>
  <c r="N22" i="35"/>
  <c r="B22" i="35" s="1"/>
  <c r="I22" i="35" s="1"/>
  <c r="N23" i="35"/>
  <c r="B23" i="35" s="1"/>
  <c r="I23" i="35" s="1"/>
  <c r="N18" i="35"/>
  <c r="B18" i="35" s="1"/>
  <c r="I18" i="35" s="1"/>
  <c r="I17" i="35"/>
  <c r="B16" i="35"/>
  <c r="B15" i="35"/>
  <c r="N2" i="35" l="1"/>
  <c r="B73" i="31"/>
  <c r="B124" i="31"/>
  <c r="B123" i="31"/>
  <c r="B122" i="31"/>
  <c r="B121" i="31"/>
  <c r="B120" i="31"/>
  <c r="B118" i="31"/>
  <c r="B119" i="31"/>
  <c r="B117" i="31"/>
  <c r="B105" i="31"/>
  <c r="B104" i="31"/>
  <c r="B103" i="31"/>
  <c r="B102" i="31"/>
  <c r="B101" i="31"/>
  <c r="B100" i="31"/>
  <c r="B87" i="31"/>
  <c r="B86" i="31"/>
  <c r="B85" i="31"/>
  <c r="B72" i="31"/>
  <c r="B71" i="31"/>
  <c r="B25" i="29"/>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<sst xmlns="http://schemas.openxmlformats.org/spreadsheetml/2006/main" count="7527" uniqueCount="511">
  <si>
    <t>cutoff</t>
  </si>
  <si>
    <t>Database</t>
  </si>
  <si>
    <t>GENESIS_2050_conventional_Base</t>
  </si>
  <si>
    <t>format</t>
  </si>
  <si>
    <t>Excel spreadsheet</t>
  </si>
  <si>
    <t>Activity</t>
  </si>
  <si>
    <t>aircraft usage, design mission, conventional</t>
  </si>
  <si>
    <t>categories</t>
  </si>
  <si>
    <t>Use</t>
  </si>
  <si>
    <t>code</t>
  </si>
  <si>
    <t>0808F060E0F94D1BB0380DFA4A9065F5</t>
  </si>
  <si>
    <t>comment</t>
  </si>
  <si>
    <t>Table B1 of GENESIS_LCI_powerplant_long-term_conventional_v01.xlsx.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</si>
  <si>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</si>
  <si>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</si>
  <si>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</si>
  <si>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</si>
  <si>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</si>
  <si>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</si>
  <si>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</si>
  <si>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</si>
  <si>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</si>
  <si>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</si>
  <si>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</si>
  <si>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</si>
  <si>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</si>
  <si>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</si>
  <si>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</si>
  <si>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</si>
  <si>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</si>
  <si>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</si>
  <si>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</si>
  <si>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</si>
  <si>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</si>
  <si>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</si>
  <si>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</si>
  <si>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</si>
  <si>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</si>
  <si>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ecoinvent_remind_SSP2-Base_2050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</si>
  <si>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</si>
  <si>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</si>
  <si>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</si>
  <si>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</si>
  <si>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</si>
  <si>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</si>
  <si>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</si>
  <si>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</si>
  <si>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</si>
  <si>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</si>
  <si>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</si>
  <si>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</si>
  <si>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</si>
  <si>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GENESIS_LCI_powerplant_long-term_conventional_v01.xlsx. 1 unit corresponds to 1 flight over 378.057 km (design mission) with 50 passengers</t>
  </si>
  <si>
    <t>aircraft usage, design mission, conventional, SAF</t>
  </si>
  <si>
    <t>E60BCC7BBBB44E729CCC8156F32F7793</t>
  </si>
  <si>
    <t>Table B1 of GENESIS_LCI_powerplant_long-term_conventional_v01.xlsx. 1 unit corresponds to 1 flight over 1118.88 km (design mission) with 50 passengers using SAF</t>
  </si>
  <si>
    <t>SAF production, long-term, proxy</t>
  </si>
  <si>
    <t>GLO</t>
  </si>
  <si>
    <t>aircraft usage, typical mission, conventional, SAF</t>
  </si>
  <si>
    <t>70E4280FBBC24DC09EB5512226D396F6</t>
  </si>
  <si>
    <t>Table B1 of GENESIS_LCI_powerplant_long-term_conventional_v01.xlsx. 1 unit corresponds to 1 flight over 378.057 km (typical mission) with 50 passengers using SAF</t>
  </si>
  <si>
    <t>Airframe</t>
  </si>
  <si>
    <t>5A76A59B67D84E1F98171DC40856C584</t>
  </si>
  <si>
    <t>Table 00 of GENESIS_LCI_airframe_long-term_conventional_v01.xlsx. 1 unit corresponds to 10913.9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</si>
  <si>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</si>
  <si>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</si>
  <si>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</si>
  <si>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</si>
  <si>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</si>
  <si>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Long-Term</t>
  </si>
  <si>
    <t>EoL, conventional, Long-Term</t>
  </si>
  <si>
    <t>Aircraft</t>
  </si>
  <si>
    <t>866C8316FF114F9987EC0DEA4817F114</t>
  </si>
  <si>
    <t>Table 0 of GENESIS_LCI_airframe_long-term_conventional_v01.xlsx. 1 unit corresponds to 5438.3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</si>
  <si>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</si>
  <si>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</si>
  <si>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</si>
  <si>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</si>
  <si>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</si>
  <si>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</si>
  <si>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</si>
  <si>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kilowatt hour</t>
  </si>
  <si>
    <t>ecoinvent_remind_SSP2-NDC_2040</t>
  </si>
  <si>
    <t>market for natural gas, high pressure</t>
  </si>
  <si>
    <t>market group for heat, district or industrial, natural gas</t>
  </si>
  <si>
    <t>megajoule</t>
  </si>
  <si>
    <t>market for diesel</t>
  </si>
  <si>
    <t>market group for tap water</t>
  </si>
  <si>
    <t>market for wastewater, average</t>
  </si>
  <si>
    <t>VOC, volatile organic compounds, unspecified origin</t>
  </si>
  <si>
    <t>treatment of waste plastic, industrial electronics, municipal incineration</t>
  </si>
  <si>
    <t>RoW</t>
  </si>
  <si>
    <t>8C7E2D4A1D994218BDF436661E3C914A</t>
  </si>
  <si>
    <t>Table 1 of GENESIS_LCI_airframe_long-term_conventional_v01.xlsx. 1 unit corresponds to 1810.6 kg of airframe structure</t>
  </si>
  <si>
    <t>market for aluminium alloy, AlMg3</t>
  </si>
  <si>
    <t>market for reinforcing steel</t>
  </si>
  <si>
    <t>market for carbon fibre reinforced plastic, injection moulded</t>
  </si>
  <si>
    <t>market for titanium</t>
  </si>
  <si>
    <t>B7B89EF16E6F49B2B915051FE595481E</t>
  </si>
  <si>
    <t>Table 2 of GENESIS_LCI_airframe_long-term_conventional_v01.xlsx. 1 unit corresponds to 201 kg of the horizontal tail</t>
  </si>
  <si>
    <t>market for glass fibre reinforced plastic, polyamide, injection moulded</t>
  </si>
  <si>
    <t>7075311181464349930562CF352A2395</t>
  </si>
  <si>
    <t>Table 3 of GENESIS_LCI_airframe_long-term_conventional_v01.xlsx. 1 unit corresponds to 257.4 kg of the vertical tail</t>
  </si>
  <si>
    <t>AC4588891BD64434B1E4C5298240C664</t>
  </si>
  <si>
    <t>Table 4 of GENESIS_LCI_airframe_long-term_conventional_v01.xlsx. 1 unit corresponds to 2374.3 kg of the fuselage. Amount of misc material distributed evenly on the remaining materials</t>
  </si>
  <si>
    <t>C47E82889A394C4B94774DC085988AF0</t>
  </si>
  <si>
    <t>Table 5 of GENESIS_LCI_airframe_long-term_conventional_v01.xlsx. 1 unit corresponds to 644.1 kg of the main undercarriage.</t>
  </si>
  <si>
    <t>8B54AD66CA0D4F1CA284D579E5C59F02</t>
  </si>
  <si>
    <t>Table 5 of GENESIS_LCI_airframe_long-term_conventional_v01.xlsx. 1 unit corresponds to 151 kg of the nose undercarriage.</t>
  </si>
  <si>
    <t>BF18CFA1312848E58146221A89377C43</t>
  </si>
  <si>
    <t>Table 7 of GENESIS_LCI_airframe_long-term_conventional_v01.xlsx. 1 unit corresponds to 2247.9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</si>
  <si>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</si>
  <si>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</si>
  <si>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</si>
  <si>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</si>
  <si>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</si>
  <si>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</si>
  <si>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</si>
  <si>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GENESIS_LCI_airframe_long-term_conventional_v01.xlsx. 1 unit corresponds to 591.4 kg of the AC system.</t>
  </si>
  <si>
    <t>market for copper, cathode</t>
  </si>
  <si>
    <t>market for polypropylene, granulate</t>
  </si>
  <si>
    <t>813991AEA6A247DDACB78CAC8E547569</t>
  </si>
  <si>
    <t>Table 7 of GENESIS_LCI_airframe_long-term_conventional_v01.xlsx. 1 unit corresponds to 741.6 kg of the electrical systems.</t>
  </si>
  <si>
    <t>market for electronics, for control units</t>
  </si>
  <si>
    <t>079223B7950040C39F8AD4ED30BA9B32</t>
  </si>
  <si>
    <t>Table 11 of GENESIS_LCI_airframe_long-term_conventional_v01.xlsx. 1 unit corresponds to 411.9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</si>
  <si>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</si>
  <si>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</si>
  <si>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</si>
  <si>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</si>
  <si>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</si>
  <si>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</si>
  <si>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GENESIS_LCI_airframe_long-term_conventional_v01.xlsx. 1 unit corresponds to 97.826 kg of the valves.</t>
  </si>
  <si>
    <t>market for steel, low-alloyed</t>
  </si>
  <si>
    <t>treatment of waste reinforcement steel, recycling</t>
  </si>
  <si>
    <t>substitution</t>
  </si>
  <si>
    <t>9D134265CF7E44A2959739DBC2EB1D6E</t>
  </si>
  <si>
    <t>Table 11 of GENESIS_LCI_airframe_long-term_conventional_v01.xlsx. 1 unit corresponds to 36.041 kg of the filters.</t>
  </si>
  <si>
    <t>market for cellulose fibre</t>
  </si>
  <si>
    <t>B3BCA3A1A8CF4AFC9453A3E716E41333</t>
  </si>
  <si>
    <t>Table 11 of GENESIS_LCI_airframe_long-term_conventional_v01.xlsx. 1 unit corresponds to 97.826 kg of the pumps.</t>
  </si>
  <si>
    <t>treatment of aluminium scrap, post-consumer, prepared for recycling, at remelter</t>
  </si>
  <si>
    <t>7D66CED5A1DE431FB1B7CC137E878F78</t>
  </si>
  <si>
    <t>Table 11 of GENESIS_LCI_airframe_long-term_conventional_v01.xlsx. 1 unit corresponds to 180.206 kg of the lines/pipes.</t>
  </si>
  <si>
    <t>market for synthetic rubber</t>
  </si>
  <si>
    <t>treatment of waste rubber, unspecified, municipal incineration</t>
  </si>
  <si>
    <t>E3B2D1306BCB492290253CCC7115C36E</t>
  </si>
  <si>
    <t>Table 7 of GENESIS_LCI_airframe_long-term_conventional_v01.xlsx. 1 unit corresponds to 321.4 kg of the instruments.</t>
  </si>
  <si>
    <t>01C076B2C55841369149E7BC8A87212B</t>
  </si>
  <si>
    <t>Table 12 of GENESIS_LCI_airframe_medium-term_conventional_v01.xlsx. 1 unit corresponds to 181.6 kg of the APU.</t>
  </si>
  <si>
    <t>market for magnesium-alloy, AZ91</t>
  </si>
  <si>
    <t>market for iron-nickel-chromium alloy</t>
  </si>
  <si>
    <t>63A2F271D96742C49C5E0667AED70D92</t>
  </si>
  <si>
    <t>Table 8 of GENESIS_LCI_airframe_long-term_conventional_v01.xlsx. 1 unit corresponds to 1158.8 kg of furnishing</t>
  </si>
  <si>
    <t>market for nylon 6</t>
  </si>
  <si>
    <t>market for fibre, viscose</t>
  </si>
  <si>
    <t>market for polyurethane, flexible foam, flame retardant</t>
  </si>
  <si>
    <t>D0B1C6825EF140E7917496E3BE8AD9FD</t>
  </si>
  <si>
    <t>Table 9 of GENESIS_LCI_airframe_long-term_conventional_v01.xlsx.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</si>
  <si>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</si>
  <si>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</si>
  <si>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</si>
  <si>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</si>
  <si>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</si>
  <si>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</si>
  <si>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</si>
  <si>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</si>
  <si>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</si>
  <si>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</si>
  <si>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</si>
  <si>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</si>
  <si>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</si>
  <si>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</si>
  <si>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</si>
  <si>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</si>
  <si>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</si>
  <si>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</si>
  <si>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</si>
  <si>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</si>
  <si>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</si>
  <si>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</si>
  <si>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</si>
  <si>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</si>
  <si>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 xml:space="preserve"> </t>
  </si>
  <si>
    <t>-</t>
  </si>
  <si>
    <t>powerplant</t>
  </si>
  <si>
    <t>A772A04683084C47B542BA50838DE880</t>
  </si>
  <si>
    <t>Table 00 (lifetime: 20 years) of GENESIS_LCI_powerplant_long-term_conventional_16.01.2023_DTU_corrected</t>
  </si>
  <si>
    <t>full names</t>
  </si>
  <si>
    <t>reference product</t>
  </si>
  <si>
    <t>additional comment/assumptions</t>
  </si>
  <si>
    <t>Production of Gearbox, Conventional</t>
  </si>
  <si>
    <t>Unspecified "Further technological correlation"</t>
  </si>
  <si>
    <t>market group for electricity, high voltage</t>
  </si>
  <si>
    <t>kWh</t>
  </si>
  <si>
    <t>MJ</t>
  </si>
  <si>
    <t>Assumed water density of 997.42788 kg/m3</t>
  </si>
  <si>
    <t>D5B1EEBBB53B43DE9595BD18D42C3631</t>
  </si>
  <si>
    <t>Table B2 of GENESIS_LCI_powerplant_long-term_conventional_16.01.2023_DTU_corrected</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</si>
  <si>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</si>
  <si>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</si>
  <si>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</si>
  <si>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</si>
  <si>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</si>
  <si>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</si>
  <si>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</si>
  <si>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</si>
  <si>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</si>
  <si>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</si>
  <si>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</si>
  <si>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</si>
  <si>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</si>
  <si>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Production of DEP Propellers, Electric Motors</t>
  </si>
  <si>
    <t>7EA93756BCBC411B9AE2A7BD20654F39</t>
  </si>
  <si>
    <t>Table C2 of GENESIS_LCI_powerplant_long-term_conventional_16.01.2023_DTU_corrected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</si>
  <si>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</si>
  <si>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</si>
  <si>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</si>
  <si>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</si>
  <si>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</si>
  <si>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</si>
  <si>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</si>
  <si>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</si>
  <si>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</si>
  <si>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Production of Nacelle, Conventional</t>
  </si>
  <si>
    <t>7F96DFA75FAF471C811BC9CD4C12607E</t>
  </si>
  <si>
    <t>Table E1 of GENESIS_LCI_powerplant_long-term_conventional_16.01.2023_DTU_corrected</t>
  </si>
  <si>
    <t>assumed proxy for 20% of ASC-II composite material along with titanium alloy 80%</t>
  </si>
  <si>
    <t>market for titanium, triple-melt</t>
  </si>
  <si>
    <t>assumed proxy for Aluminium alloy (Al2023/Al2019/Al7000)</t>
  </si>
  <si>
    <t xml:space="preserve">assumed proxy for treatment of titanium 114MJ/kg, Rupcic et al. https://doi.org/10.1016/j.cirp.2022.04.047 </t>
  </si>
  <si>
    <t>60% el</t>
  </si>
  <si>
    <t>World</t>
  </si>
  <si>
    <t>assumed proxy for treatment of titanium 114MJ/kg from Rupcic et al. https://doi.org/10.1016/j.cirp.2022.04.047</t>
  </si>
  <si>
    <t>40% natural gas</t>
  </si>
  <si>
    <t>m3</t>
  </si>
  <si>
    <t>assumed proxy for substituted scraps of titanium triple-melt</t>
  </si>
  <si>
    <t>assumed proxy for treatment of Aluminium alloy (Al2023/Al2019/Al7000)</t>
  </si>
  <si>
    <t>assumed proxy for substituted scraps of Aluminium alloy (Al2023/Al2019/Al7000)</t>
  </si>
  <si>
    <t>14</t>
  </si>
  <si>
    <t>270886B1C6E84D2FA13EF981300DFAE3</t>
  </si>
  <si>
    <t>powerplant negative treatment processes</t>
  </si>
  <si>
    <t>GENESIS_2050_conventional_conventional</t>
  </si>
  <si>
    <t>Incineration of biowaste</t>
  </si>
  <si>
    <t>A9466DF448304EF1A171C0DBB2F89542</t>
  </si>
  <si>
    <t>treatment of biowaste, municipal incineration</t>
  </si>
  <si>
    <t>Incineration of waste rubber</t>
  </si>
  <si>
    <t>346D789EE798475B9911EA916A7F5301</t>
  </si>
  <si>
    <t xml:space="preserve">to start ignoring. Start counting columns from A (1), B (2), etc. </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</si>
  <si>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</si>
  <si>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</si>
  <si>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</si>
  <si>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</si>
  <si>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</si>
  <si>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</si>
  <si>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</si>
  <si>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</si>
  <si>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</si>
  <si>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</si>
  <si>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</si>
  <si>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</si>
  <si>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</si>
  <si>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</si>
  <si>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</si>
  <si>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</si>
  <si>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</si>
  <si>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</si>
  <si>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</si>
  <si>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</si>
  <si>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</si>
  <si>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</si>
  <si>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</si>
  <si>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</si>
  <si>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</si>
  <si>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</si>
  <si>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</si>
  <si>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</si>
  <si>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</si>
  <si>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</si>
  <si>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</si>
  <si>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</si>
  <si>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</si>
  <si>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</si>
  <si>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</si>
  <si>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</si>
  <si>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</si>
  <si>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</si>
  <si>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</si>
  <si>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</si>
  <si>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</si>
  <si>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</si>
  <si>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</si>
  <si>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</si>
  <si>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</si>
  <si>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</si>
  <si>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</si>
  <si>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</si>
  <si>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</si>
  <si>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</si>
  <si>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</si>
  <si>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</si>
  <si>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</si>
  <si>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</si>
  <si>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</si>
  <si>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</si>
  <si>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</si>
  <si>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</si>
  <si>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</si>
  <si>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</si>
  <si>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</si>
  <si>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</si>
  <si>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</si>
  <si>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</si>
  <si>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</si>
  <si>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</si>
  <si>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</si>
  <si>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</si>
  <si>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</si>
  <si>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</si>
  <si>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</si>
  <si>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</si>
  <si>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</si>
  <si>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</si>
  <si>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</si>
  <si>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</si>
  <si>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</si>
  <si>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</si>
  <si>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</si>
  <si>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</si>
  <si>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</si>
  <si>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</si>
  <si>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</si>
  <si>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</si>
  <si>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</si>
  <si>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</si>
  <si>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</si>
  <si>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</si>
  <si>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</si>
  <si>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</si>
  <si>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</si>
  <si>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</si>
  <si>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</si>
  <si>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</si>
  <si>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</si>
  <si>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</si>
  <si>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</si>
  <si>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</si>
  <si>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</si>
  <si>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</si>
  <si>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</si>
  <si>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</si>
  <si>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</si>
  <si>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</si>
  <si>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</si>
  <si>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</si>
  <si>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</si>
  <si>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</si>
  <si>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</si>
  <si>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</si>
  <si>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</si>
  <si>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</si>
  <si>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</si>
  <si>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</si>
  <si>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</si>
  <si>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</si>
  <si>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</si>
  <si>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</si>
  <si>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</si>
  <si>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</si>
  <si>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</si>
  <si>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</si>
  <si>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</si>
  <si>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</si>
  <si>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</si>
  <si>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</si>
  <si>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</si>
  <si>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</si>
  <si>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</si>
  <si>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</si>
  <si>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</si>
  <si>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</si>
  <si>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</si>
  <si>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</si>
  <si>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</si>
  <si>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</si>
  <si>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</si>
  <si>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</si>
  <si>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</si>
  <si>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</si>
  <si>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</si>
  <si>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</si>
  <si>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DD858848615E408D900D5088DEC25E04</t>
  </si>
  <si>
    <t>decomissioning master process for aiframe, powerplant and power electronics and drives</t>
  </si>
  <si>
    <t>comment 2</t>
  </si>
  <si>
    <t>treatment of titanium,powerplant, conventional, Long-Term</t>
  </si>
  <si>
    <t>powerplant EoL, conventional, Long-Term</t>
  </si>
  <si>
    <t>1FFF094F285B4A21B2B9B636F4481B6A</t>
  </si>
  <si>
    <t>from pamela: 50% recycled and 50% landfilled</t>
  </si>
  <si>
    <t>assumed proxy LHV: 114MJ/kg, Rupcic et al. https://doi.org/10.1016/j.cirp.2022.04.047 , 50% goes to be melted and recycled</t>
  </si>
  <si>
    <t>kg</t>
  </si>
  <si>
    <t>treatment of basic oxygen furnace secondary metallurgy slag, residual material landfill</t>
  </si>
  <si>
    <t>remaining 50% slag to landfill</t>
  </si>
  <si>
    <t>treatment of CFRP,powerplant, conventional, Long-Term</t>
  </si>
  <si>
    <t>94BE7376636A48FDB7CE21BC08CD57CA</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</si>
  <si>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</si>
  <si>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</si>
  <si>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</si>
  <si>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</si>
  <si>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</si>
  <si>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</si>
  <si>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</si>
  <si>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</si>
  <si>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Long-Term</t>
  </si>
  <si>
    <t>5154573CDF3C409E87151978A00BA61E</t>
  </si>
  <si>
    <t>from pamela: (using aluminium in "all materials") 85% recycled and 15% landfilled</t>
  </si>
  <si>
    <t>assuming same EoL percentages as specified for engine for steel in pamela project</t>
  </si>
  <si>
    <t>includes remelting</t>
  </si>
  <si>
    <t>market for aluminium, cast alloy</t>
  </si>
  <si>
    <t>treatment of iron-nickel chromium alloy,powerplant, conventional, Long-Term</t>
  </si>
  <si>
    <t>CC570CC4B8BF493D8E4E9D961F6E2927</t>
  </si>
  <si>
    <t>treatment of electronics scrap, metals recovery in copper smelter</t>
  </si>
  <si>
    <t>metal part of electronics scrap, in copper, anode</t>
  </si>
  <si>
    <t>treatment of nickel,powerplant, conventional, Long-Term</t>
  </si>
  <si>
    <t>0C34D12E78114ABC8A1D725E381E9BD9</t>
  </si>
  <si>
    <t>market for nickel, class 1</t>
  </si>
  <si>
    <t>treatment of copper,powerplant, conventional, Long-Term</t>
  </si>
  <si>
    <t>2F269AE8395E40308839A3EF372057FE</t>
  </si>
  <si>
    <t>market for copper-rich materials</t>
  </si>
  <si>
    <t>treatment of magnesium alloy powerplant, conventional, Long-Term</t>
  </si>
  <si>
    <t>DFDDDC067292418EA1844C49F9F4C861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</si>
  <si>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</si>
  <si>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</si>
  <si>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</si>
  <si>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</si>
  <si>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Long-Term</t>
  </si>
  <si>
    <t>A1BC98B60B3C4E87B88929B024FEC355</t>
  </si>
  <si>
    <t>no el or heat recovery</t>
  </si>
  <si>
    <t>market for hazardous waste, for incineration</t>
  </si>
  <si>
    <t>treatment of powerplant, conventional, Long-Term</t>
  </si>
  <si>
    <t>E0275C289B6A45EC9FBF691C3845373A</t>
  </si>
  <si>
    <t>treatment of aluminium, wing, airframe, conventional, Long-Term</t>
  </si>
  <si>
    <t>7F8D73B7508947FDBA666036DD7BF51A</t>
  </si>
  <si>
    <t>airframe EoL, same for all configs</t>
  </si>
  <si>
    <t>airframe EoL, conventional, Long-Term</t>
  </si>
  <si>
    <t>assuming % for wing aluminium -project Pamela</t>
  </si>
  <si>
    <t>assuming 90% of that is recovered</t>
  </si>
  <si>
    <t>treatment of CFRP, wing, airframe, conventional, Long-Term</t>
  </si>
  <si>
    <t>D10E6B745C074FEF9F050F4FE7386CF3</t>
  </si>
  <si>
    <t>assuming % for wing composites -project Pamela</t>
  </si>
  <si>
    <t>heat recovery from plastic , We assume 50% of electricity recovery from incinertion LHV = 34,78 MJ/kg</t>
  </si>
  <si>
    <t>treatment of steel, wing, airframe, conventional, Long-Term</t>
  </si>
  <si>
    <t>3A39F653304F496D8211F0C0890D9CF0</t>
  </si>
  <si>
    <t>assuming % for wing steel -project Pamela</t>
  </si>
  <si>
    <t>market for steel, low-alloyed, hot rolled</t>
  </si>
  <si>
    <t>crediting assuming 90% is recovered</t>
  </si>
  <si>
    <t>rest to slag landfill</t>
  </si>
  <si>
    <t>treatment of titanium, wing, airframe, conventional, Long-Term</t>
  </si>
  <si>
    <t>5801F4B3EB8E4ABC864FC66CE27D9A55</t>
  </si>
  <si>
    <t>required el from rupcic et al.</t>
  </si>
  <si>
    <t>required heat from Rupcic et al.</t>
  </si>
  <si>
    <t>treatment of aluminium, tail, airframe, conventional, Long-Term</t>
  </si>
  <si>
    <t>7EDBBF8ADD3441AB97B38DD1CEC5C5E0</t>
  </si>
  <si>
    <t>assuming % for tail aluminium -project Pamela</t>
  </si>
  <si>
    <t>treatment of composites, tail, airframe, conventional, Long-Term</t>
  </si>
  <si>
    <t>110A3E428C0941018A69B0E0DCDBF794</t>
  </si>
  <si>
    <t>airframe EoL, works for CFRP and GFRP, same for all configs</t>
  </si>
  <si>
    <t>assuming % for stabilising part composites -project Pamela</t>
  </si>
  <si>
    <t>treatment of aluminium, fuselage, airframe, conventional, Long-Term</t>
  </si>
  <si>
    <t>95C06A1B55254DD9AD947F6D0C8F3F3D</t>
  </si>
  <si>
    <t>assuming % for fuselage aluminium -project Pamela</t>
  </si>
  <si>
    <t>treatment of composites, fuselage, airframe, conventional, Long-Term</t>
  </si>
  <si>
    <t>56D40A64886D4192833C4BF44E72621B</t>
  </si>
  <si>
    <t>assuming % for fuesalage composites -project Pamela</t>
  </si>
  <si>
    <t>treatment of steel, fuselage, airframe, conventional, Long-Term</t>
  </si>
  <si>
    <t>D69733BFEC2D445DB20E7CD0D6D5C21F</t>
  </si>
  <si>
    <t>assuming % for fuselage steel -project Pamela</t>
  </si>
  <si>
    <t>treatment of titanium, fuselage, airframe, conventional, Long-Term</t>
  </si>
  <si>
    <t>0C95F0A7230B49448DB0819119D17734</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</si>
  <si>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</si>
  <si>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</si>
  <si>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</si>
  <si>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</si>
  <si>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</si>
  <si>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Long-Term</t>
  </si>
  <si>
    <t>BF46DB13BCAA426BABF926C28E8AB549</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</si>
  <si>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</si>
  <si>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</si>
  <si>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</si>
  <si>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</si>
  <si>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</si>
  <si>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</si>
  <si>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</si>
  <si>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</si>
  <si>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</si>
  <si>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Long-Term</t>
  </si>
  <si>
    <t>08E6C84FDC3C4F2FADD63D721425A28C</t>
  </si>
  <si>
    <t>airframe EoL, changes for different config</t>
  </si>
  <si>
    <t>treatment tail , airframe, conventional, Long-Term</t>
  </si>
  <si>
    <t>ACE60A769AEA4898A27BAD88B5266E36</t>
  </si>
  <si>
    <t>CFRP</t>
  </si>
  <si>
    <t>GFRP</t>
  </si>
  <si>
    <t>treatment fuselage , airframe, conventional, Long-Term</t>
  </si>
  <si>
    <t>814B5D36629E4DCD960C65C259C49C22</t>
  </si>
  <si>
    <t>treatment systems, airframe, conventional, Long-Term</t>
  </si>
  <si>
    <t>4C1CD32C709A46C69499A9498D20206F</t>
  </si>
  <si>
    <t>assuming same percentages as for fuselage</t>
  </si>
  <si>
    <t>assuming same tratment for copper as in powerplant</t>
  </si>
  <si>
    <t>treatment of electronics scrap from control units</t>
  </si>
  <si>
    <t>treatment of airframe , conventional, Long-Term</t>
  </si>
  <si>
    <t>1452EDD2452B443B9E26C5823DB137A9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</si>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</sst>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2">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0"/>
      <color theme="1"/>
      <name val="Arial Unicode MS"/>
    </font>
    <font>
      <sz val="11"/>
      <color rgb="FF000000"/>
      <name val="Calibri"/>
      <family val="2"/>
      <scheme val="minor"/>
    </font>
    <font>
      <b/>
      <sz val="10"/>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sz val="11"/>
      <color rgb="FF222222"/>
      <name val="Calibri"/>
      <family val="2"/>
      <scheme val="minor"/>
    </font>
    <font>
      <b/>
      <sz val="11"/>
      <color rgb="FFFF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s>
  <borders count="2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6">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9" fillId="3" borderId="4" xfId="0" applyFont="1" applyFill="1" applyBorder="1"/>
    <xf numFmtId="0" fontId="9" fillId="3" borderId="5" xfId="0" applyFont="1" applyFill="1" applyBorder="1"/>
    <xf numFmtId="0" fontId="0" fillId="3" borderId="5" xfId="0" applyFill="1" applyBorder="1"/>
    <xf numFmtId="0" fontId="0" fillId="3" borderId="6" xfId="0" applyFill="1" applyBorder="1"/>
    <xf numFmtId="0" fontId="11" fillId="0" borderId="0" xfId="0" applyFont="1" applyAlignment="1">
      <alignment vertical="center"/>
    </xf>
    <xf numFmtId="0" fontId="0" fillId="0" borderId="7" xfId="0" applyBorder="1"/>
    <xf numFmtId="0" fontId="0" fillId="0" borderId="8" xfId="0" applyBorder="1"/>
    <xf numFmtId="0" fontId="9" fillId="0" borderId="7" xfId="0" applyFont="1" applyBorder="1"/>
    <xf numFmtId="0" fontId="9" fillId="0" borderId="0" xfId="0" applyFont="1"/>
    <xf numFmtId="0" fontId="9" fillId="0" borderId="8" xfId="0" applyFont="1" applyBorder="1"/>
    <xf numFmtId="0" fontId="12"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10" xfId="0" applyFont="1" applyBorder="1" applyAlignment="1">
      <alignment vertical="center"/>
    </xf>
    <xf numFmtId="0" fontId="8" fillId="0" borderId="13" xfId="0" applyFont="1" applyBorder="1" applyAlignment="1">
      <alignment vertical="center"/>
    </xf>
    <xf numFmtId="0" fontId="8" fillId="0" borderId="11"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3" fillId="0" borderId="14" xfId="0" applyFont="1" applyBorder="1" applyAlignment="1">
      <alignment horizontal="center" vertical="center"/>
    </xf>
    <xf numFmtId="0" fontId="8" fillId="0" borderId="15" xfId="0" applyFont="1" applyBorder="1" applyAlignment="1">
      <alignment horizontal="center" vertical="center"/>
    </xf>
    <xf numFmtId="0" fontId="6" fillId="0" borderId="0" xfId="0" applyFont="1"/>
    <xf numFmtId="0" fontId="14" fillId="0" borderId="0" xfId="0" applyFont="1"/>
    <xf numFmtId="0" fontId="15" fillId="0" borderId="2" xfId="0" applyFont="1" applyBorder="1"/>
    <xf numFmtId="0" fontId="5" fillId="0" borderId="2" xfId="0" applyFont="1" applyBorder="1"/>
    <xf numFmtId="0" fontId="12" fillId="0" borderId="2" xfId="0" applyFont="1" applyBorder="1"/>
    <xf numFmtId="0" fontId="0" fillId="0" borderId="2" xfId="0" applyBorder="1"/>
    <xf numFmtId="0" fontId="12" fillId="5" borderId="0" xfId="0" applyFont="1" applyFill="1"/>
    <xf numFmtId="0" fontId="16" fillId="0" borderId="0" xfId="0" applyFont="1"/>
    <xf numFmtId="0" fontId="15" fillId="0" borderId="0" xfId="0" applyFont="1"/>
    <xf numFmtId="0" fontId="12" fillId="6" borderId="0" xfId="0" applyFont="1" applyFill="1"/>
    <xf numFmtId="0" fontId="6" fillId="0" borderId="0" xfId="0" applyFont="1" applyAlignment="1">
      <alignment horizontal="left" vertical="center"/>
    </xf>
    <xf numFmtId="0" fontId="6" fillId="0" borderId="0" xfId="0" applyFont="1" applyAlignment="1">
      <alignment vertical="center"/>
    </xf>
    <xf numFmtId="0" fontId="17" fillId="0" borderId="0" xfId="0" applyFont="1" applyAlignment="1">
      <alignment horizontal="left" vertical="center"/>
    </xf>
    <xf numFmtId="0" fontId="8" fillId="0" borderId="0" xfId="0" applyFont="1"/>
    <xf numFmtId="0" fontId="0" fillId="3" borderId="0" xfId="0" applyFill="1"/>
    <xf numFmtId="0" fontId="15"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8" fillId="7" borderId="16" xfId="0" applyFont="1" applyFill="1" applyBorder="1"/>
    <xf numFmtId="0" fontId="18" fillId="7" borderId="17" xfId="0" applyFont="1" applyFill="1" applyBorder="1"/>
    <xf numFmtId="0" fontId="19" fillId="0" borderId="0" xfId="0" applyFont="1"/>
    <xf numFmtId="0" fontId="0" fillId="4" borderId="0" xfId="0" applyFill="1"/>
    <xf numFmtId="0" fontId="6" fillId="8" borderId="0" xfId="0" applyFont="1" applyFill="1"/>
    <xf numFmtId="0" fontId="0" fillId="8" borderId="0" xfId="0" applyFill="1"/>
    <xf numFmtId="0" fontId="6" fillId="9" borderId="0" xfId="0" applyFont="1" applyFill="1"/>
    <xf numFmtId="0" fontId="0" fillId="9" borderId="0" xfId="0" applyFill="1"/>
    <xf numFmtId="0" fontId="9" fillId="10" borderId="2" xfId="0" applyFont="1" applyFill="1" applyBorder="1"/>
    <xf numFmtId="0" fontId="6" fillId="0" borderId="2" xfId="0" applyFont="1" applyBorder="1"/>
    <xf numFmtId="0" fontId="6" fillId="5" borderId="0" xfId="0" applyFont="1" applyFill="1"/>
    <xf numFmtId="0" fontId="0" fillId="0" borderId="0" xfId="0" applyAlignment="1">
      <alignment horizontal="left" vertical="center"/>
    </xf>
    <xf numFmtId="0" fontId="6" fillId="0" borderId="0" xfId="0" applyFont="1" applyAlignment="1">
      <alignment horizontal="right" vertical="center"/>
    </xf>
    <xf numFmtId="0" fontId="20" fillId="0" borderId="0" xfId="0" applyFont="1"/>
    <xf numFmtId="0" fontId="0" fillId="0" borderId="0" xfId="0" applyAlignment="1">
      <alignment horizontal="right" vertical="center"/>
    </xf>
    <xf numFmtId="0" fontId="0" fillId="9" borderId="0" xfId="0" applyFill="1" applyAlignment="1">
      <alignment horizontal="left" vertical="center"/>
    </xf>
    <xf numFmtId="0" fontId="0" fillId="8" borderId="1" xfId="0" applyFill="1" applyBorder="1" applyAlignment="1">
      <alignment horizontal="left" vertical="center"/>
    </xf>
    <xf numFmtId="0" fontId="0" fillId="8" borderId="2" xfId="0" applyFill="1" applyBorder="1"/>
    <xf numFmtId="0" fontId="6" fillId="0" borderId="9" xfId="0" applyFont="1" applyBorder="1"/>
    <xf numFmtId="0" fontId="0" fillId="8" borderId="11" xfId="0" applyFill="1" applyBorder="1" applyAlignment="1">
      <alignment horizontal="left" vertical="center"/>
    </xf>
    <xf numFmtId="0" fontId="0" fillId="8" borderId="12" xfId="0" applyFill="1" applyBorder="1"/>
    <xf numFmtId="0" fontId="6" fillId="0" borderId="13" xfId="0" applyFont="1" applyBorder="1"/>
    <xf numFmtId="0" fontId="0" fillId="8" borderId="3" xfId="0" applyFill="1" applyBorder="1" applyAlignment="1">
      <alignment horizontal="left" vertical="center"/>
    </xf>
    <xf numFmtId="0" fontId="6" fillId="0" borderId="10" xfId="0" applyFont="1" applyBorder="1"/>
    <xf numFmtId="164" fontId="0" fillId="0" borderId="0" xfId="0" applyNumberFormat="1" applyAlignment="1">
      <alignment horizontal="right" vertical="center"/>
    </xf>
    <xf numFmtId="0" fontId="21" fillId="10" borderId="2" xfId="0" applyFont="1" applyFill="1" applyBorder="1"/>
    <xf numFmtId="0" fontId="0" fillId="0" borderId="0" xfId="0" applyAlignment="1">
      <alignment horizontal="right"/>
    </xf>
    <xf numFmtId="164" fontId="0" fillId="9" borderId="0" xfId="0" applyNumberFormat="1" applyFill="1" applyAlignment="1">
      <alignment horizontal="right"/>
    </xf>
    <xf numFmtId="0" fontId="0" fillId="9" borderId="0" xfId="0" applyFill="1" applyAlignment="1">
      <alignment horizontal="right"/>
    </xf>
    <xf numFmtId="0" fontId="12" fillId="11" borderId="18" xfId="0" applyFont="1" applyFill="1" applyBorder="1"/>
    <xf numFmtId="0" fontId="6" fillId="8" borderId="19" xfId="0" applyFont="1" applyFill="1" applyBorder="1" applyAlignment="1">
      <alignment horizontal="right"/>
    </xf>
    <xf numFmtId="0" fontId="6" fillId="8" borderId="19" xfId="0" applyFont="1" applyFill="1" applyBorder="1"/>
    <xf numFmtId="0" fontId="6" fillId="0" borderId="20" xfId="0" applyFont="1" applyBorder="1"/>
    <xf numFmtId="0" fontId="10" fillId="0" borderId="0" xfId="0" applyFont="1"/>
    <xf numFmtId="0" fontId="6" fillId="8" borderId="2" xfId="0" applyFont="1" applyFill="1" applyBorder="1" applyAlignment="1">
      <alignment horizontal="right"/>
    </xf>
    <xf numFmtId="0" fontId="6" fillId="8" borderId="2" xfId="0" applyFont="1" applyFill="1" applyBorder="1"/>
    <xf numFmtId="0" fontId="6" fillId="8" borderId="12" xfId="0" applyFont="1" applyFill="1" applyBorder="1" applyAlignment="1">
      <alignment horizontal="right"/>
    </xf>
    <xf numFmtId="0" fontId="6" fillId="8" borderId="12" xfId="0" applyFont="1" applyFill="1" applyBorder="1"/>
    <xf numFmtId="0" fontId="6" fillId="8" borderId="0" xfId="0" applyFont="1" applyFill="1" applyAlignment="1">
      <alignment horizontal="right"/>
    </xf>
    <xf numFmtId="0" fontId="0" fillId="8" borderId="12" xfId="0" applyFill="1" applyBorder="1" applyAlignment="1">
      <alignment horizontal="right"/>
    </xf>
    <xf numFmtId="0" fontId="6" fillId="0" borderId="0" xfId="0" applyFont="1" applyAlignment="1">
      <alignment horizontal="right"/>
    </xf>
    <xf numFmtId="0" fontId="10" fillId="9" borderId="0" xfId="0" applyFont="1" applyFill="1" applyAlignment="1">
      <alignment horizontal="left" vertical="center"/>
    </xf>
    <xf numFmtId="0" fontId="10" fillId="9" borderId="0" xfId="0" applyFont="1" applyFill="1"/>
    <xf numFmtId="0" fontId="6" fillId="8" borderId="19" xfId="0" applyFont="1" applyFill="1" applyBorder="1" applyAlignment="1">
      <alignment horizontal="right" vertical="center"/>
    </xf>
    <xf numFmtId="0" fontId="6" fillId="8" borderId="1" xfId="0" applyFont="1" applyFill="1" applyBorder="1" applyAlignment="1">
      <alignment horizontal="left" vertical="center"/>
    </xf>
    <xf numFmtId="0" fontId="6" fillId="8" borderId="2" xfId="0" applyFont="1" applyFill="1" applyBorder="1" applyAlignment="1">
      <alignment vertical="center"/>
    </xf>
    <xf numFmtId="0" fontId="6" fillId="8" borderId="3" xfId="0" applyFont="1" applyFill="1" applyBorder="1" applyAlignment="1">
      <alignment horizontal="left" vertical="center"/>
    </xf>
    <xf numFmtId="0" fontId="6" fillId="8" borderId="0" xfId="0" applyFont="1" applyFill="1" applyAlignment="1">
      <alignment vertical="center"/>
    </xf>
    <xf numFmtId="0" fontId="0" fillId="8" borderId="12" xfId="0" applyFill="1" applyBorder="1" applyAlignment="1">
      <alignment horizontal="right" vertical="center"/>
    </xf>
    <xf numFmtId="0" fontId="0" fillId="8" borderId="2" xfId="0" applyFill="1" applyBorder="1" applyAlignment="1">
      <alignment horizontal="right" vertical="center"/>
    </xf>
    <xf numFmtId="0" fontId="0" fillId="8" borderId="0" xfId="0" applyFill="1" applyAlignment="1">
      <alignment horizontal="right" vertical="center"/>
    </xf>
    <xf numFmtId="49" fontId="0" fillId="0" borderId="0" xfId="0" applyNumberFormat="1"/>
    <xf numFmtId="49" fontId="6" fillId="0" borderId="0" xfId="0" applyNumberFormat="1" applyFont="1"/>
    <xf numFmtId="0" fontId="0" fillId="0" borderId="12" xfId="0" applyBorder="1" applyAlignment="1">
      <alignment horizontal="left" vertical="center"/>
    </xf>
    <xf numFmtId="0" fontId="0" fillId="0" borderId="12" xfId="0" applyBorder="1"/>
    <xf numFmtId="0" fontId="17" fillId="0" borderId="12" xfId="0" applyFont="1" applyBorder="1" applyAlignment="1">
      <alignment horizontal="left" vertical="center"/>
    </xf>
    <xf numFmtId="0" fontId="0" fillId="9" borderId="12" xfId="0" applyFill="1" applyBorder="1"/>
    <xf numFmtId="0" fontId="6" fillId="0" borderId="12" xfId="0" applyFont="1" applyBorder="1"/>
    <xf numFmtId="49" fontId="12"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9" xfId="0" applyFont="1" applyBorder="1" applyAlignment="1">
      <alignment horizontal="center" vertical="center"/>
    </xf>
  </cellXfs>
  <cellStyles count="29">
    <cellStyle name="Followed Hyperlink" xfId="28" builtinId="9" hidden="1"/>
    <cellStyle name="Followed Hyperlink" xfId="26" builtinId="9" hidden="1"/>
    <cellStyle name="Followed Hyperlink" xfId="22" builtinId="9" hidden="1"/>
    <cellStyle name="Followed Hyperlink" xfId="24"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Followed Hyperlink" xfId="18" builtinId="9" hidden="1"/>
    <cellStyle name="Followed Hyperlink" xfId="8" builtinId="9" hidden="1"/>
    <cellStyle name="Followed Hyperlink" xfId="2" builtinId="9" hidden="1"/>
    <cellStyle name="Followed Hyperlink" xfId="4" builtinId="9" hidden="1"/>
    <cellStyle name="Followed Hyperlink" xfId="6" builtinId="9" hidden="1"/>
    <cellStyle name="Hyperlink" xfId="27" builtinId="8" hidden="1"/>
    <cellStyle name="Hyperlink" xfId="23" builtinId="8" hidden="1"/>
    <cellStyle name="Hyperlink" xfId="25" builtinId="8" hidden="1"/>
    <cellStyle name="Hyperlink" xfId="15" builtinId="8" hidden="1"/>
    <cellStyle name="Hyperlink" xfId="17" builtinId="8" hidden="1"/>
    <cellStyle name="Hyperlink" xfId="19" builtinId="8" hidden="1"/>
    <cellStyle name="Hyperlink" xfId="21" builtinId="8" hidden="1"/>
    <cellStyle name="Hyperlink" xfId="1" builtinId="8" hidden="1"/>
    <cellStyle name="Hyperlink" xfId="3" builtinId="8" hidden="1"/>
    <cellStyle name="Hyperlink" xfId="5" builtinId="8" hidden="1"/>
    <cellStyle name="Hyperlink" xfId="13" builtinId="8" hidden="1"/>
    <cellStyle name="Hyperlink" xfId="7" builtinId="8" hidden="1"/>
    <cellStyle name="Hyperlink" xfId="9" builtinId="8" hidden="1"/>
    <cellStyle name="Hyperlink" xfId="11"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3_Long-term/GENESIS_LCI_powerplant_long-term_conventional_v01.xlsx" TargetMode="External"/><Relationship Id="rId1" Type="http://schemas.openxmlformats.org/officeDocument/2006/relationships/externalLinkPath" Target="/sites/GENESIS/Delte%20dokumenter/General/3_Collaboration/2_Deliverables/WP3/D3.2/Annex/ANNEX%203.2-B%20LCI%20files/3_Long-term/GENESIS_LCI_powerplant_long-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0.1522979365342694</v>
          </cell>
          <cell r="I171">
            <v>2.9784908777057393E-2</v>
          </cell>
          <cell r="J171">
            <v>0.86957492898666622</v>
          </cell>
          <cell r="K171">
            <v>4.6030637096918232</v>
          </cell>
          <cell r="L171">
            <v>0.1633988690431436</v>
          </cell>
          <cell r="Q171">
            <v>3.8632675821138711E-2</v>
          </cell>
        </row>
        <row r="172">
          <cell r="H172">
            <v>1.3964518916295379</v>
          </cell>
          <cell r="I172">
            <v>1.1716410361325344E-3</v>
          </cell>
          <cell r="J172">
            <v>3.9155480403803393E-2</v>
          </cell>
          <cell r="K172">
            <v>0.29459504197306252</v>
          </cell>
          <cell r="L172">
            <v>0.12685551823223887</v>
          </cell>
          <cell r="Q172">
            <v>4.5543551564724283E-2</v>
          </cell>
        </row>
        <row r="173">
          <cell r="H173">
            <v>0.11336418041552709</v>
          </cell>
          <cell r="I173">
            <v>1.092252003344214E-4</v>
          </cell>
          <cell r="J173">
            <v>4.1633184951058878E-3</v>
          </cell>
          <cell r="K173">
            <v>3.3035344224012234E-2</v>
          </cell>
          <cell r="L173">
            <v>4.5276196355311287E-3</v>
          </cell>
          <cell r="Q173">
            <v>4.0948463051457525E-3</v>
          </cell>
        </row>
        <row r="174">
          <cell r="H174">
            <v>127.97640954337281</v>
          </cell>
          <cell r="I174">
            <v>6.615907449655217</v>
          </cell>
          <cell r="J174">
            <v>191.75453974226076</v>
          </cell>
          <cell r="K174">
            <v>1124.997042499846</v>
          </cell>
          <cell r="L174">
            <v>76.650135417242723</v>
          </cell>
          <cell r="Q174">
            <v>17.058535442649433</v>
          </cell>
        </row>
        <row r="175">
          <cell r="H175">
            <v>49.987609951841399</v>
          </cell>
          <cell r="I175">
            <v>2.584174710408357</v>
          </cell>
          <cell r="J175">
            <v>74.899359759600117</v>
          </cell>
          <cell r="K175">
            <v>439.42405915363946</v>
          </cell>
          <cell r="L175">
            <v>29.9395574986372</v>
          </cell>
          <cell r="Q175">
            <v>6.6630671941755493</v>
          </cell>
        </row>
        <row r="176">
          <cell r="H176">
            <v>3.41378799671112E-2</v>
          </cell>
          <cell r="I176">
            <v>1.7648022412544877E-3</v>
          </cell>
          <cell r="J176">
            <v>5.1150782274848858E-2</v>
          </cell>
          <cell r="K176">
            <v>0.30009447942199768</v>
          </cell>
          <cell r="L176">
            <v>2.0446527072240036E-2</v>
          </cell>
          <cell r="Q176">
            <v>4.5503873521198866E-3</v>
          </cell>
        </row>
        <row r="357">
          <cell r="H357">
            <v>0.1522979365342694</v>
          </cell>
          <cell r="I357">
            <v>2.8844730576348766E-2</v>
          </cell>
          <cell r="J357">
            <v>0.82638151965423168</v>
          </cell>
          <cell r="K357">
            <v>1.0492903465573213</v>
          </cell>
          <cell r="L357">
            <v>0.1633918833792678</v>
          </cell>
          <cell r="Q357">
            <v>3.8640042079943704E-2</v>
          </cell>
        </row>
        <row r="358">
          <cell r="H358">
            <v>1.3964518916295379</v>
          </cell>
          <cell r="I358">
            <v>1.1346578910822215E-3</v>
          </cell>
          <cell r="J358">
            <v>3.7193890659489331E-2</v>
          </cell>
          <cell r="K358">
            <v>6.6147111561008914E-2</v>
          </cell>
          <cell r="L358">
            <v>0.12685007266682014</v>
          </cell>
          <cell r="Q358">
            <v>4.5569491075941514E-2</v>
          </cell>
        </row>
        <row r="359">
          <cell r="H359">
            <v>0.11336418041552709</v>
          </cell>
          <cell r="I359">
            <v>1.0577721227228786E-4</v>
          </cell>
          <cell r="J359">
            <v>3.9537999302970538E-3</v>
          </cell>
          <cell r="K359">
            <v>7.4206922371415022E-3</v>
          </cell>
          <cell r="L359">
            <v>4.5273908192576279E-3</v>
          </cell>
          <cell r="Q359">
            <v>4.0975131446031581E-3</v>
          </cell>
        </row>
        <row r="360">
          <cell r="H360">
            <v>127.97640954337281</v>
          </cell>
          <cell r="I360">
            <v>6.4070724316053091</v>
          </cell>
          <cell r="J360">
            <v>182.24524658709714</v>
          </cell>
          <cell r="K360">
            <v>252.56965828866421</v>
          </cell>
          <cell r="L360">
            <v>76.646798838540306</v>
          </cell>
          <cell r="Q360">
            <v>17.06274609810297</v>
          </cell>
        </row>
        <row r="361">
          <cell r="H361">
            <v>49.987609951841399</v>
          </cell>
          <cell r="I361">
            <v>2.5026037125673328</v>
          </cell>
          <cell r="J361">
            <v>71.18502804132406</v>
          </cell>
          <cell r="K361">
            <v>98.653756651335968</v>
          </cell>
          <cell r="L361">
            <v>29.938254230360297</v>
          </cell>
          <cell r="Q361">
            <v>6.6647118769979841</v>
          </cell>
        </row>
        <row r="362">
          <cell r="H362">
            <v>3.41378799671112E-2</v>
          </cell>
          <cell r="I362">
            <v>1.709095218338666E-3</v>
          </cell>
          <cell r="J362">
            <v>4.8614165491635941E-2</v>
          </cell>
          <cell r="K362">
            <v>6.7373297225302609E-2</v>
          </cell>
          <cell r="L362">
            <v>2.0445637035368006E-2</v>
          </cell>
          <cell r="Q362">
            <v>4.5515105501449642E-3</v>
          </cell>
        </row>
      </sheetData>
      <sheetData sheetId="3">
        <row r="171">
          <cell r="H171">
            <v>0.14985566622198071</v>
          </cell>
          <cell r="I171">
            <v>2.9257685288164664E-2</v>
          </cell>
          <cell r="J171">
            <v>0.85418255926864517</v>
          </cell>
          <cell r="K171">
            <v>4.521584752452628</v>
          </cell>
          <cell r="L171">
            <v>0.16055735302448212</v>
          </cell>
          <cell r="Q171">
            <v>3.7971780555151935E-2</v>
          </cell>
        </row>
        <row r="172">
          <cell r="H172">
            <v>1.071315650384159</v>
          </cell>
          <cell r="I172">
            <v>8.9784167611419298E-4</v>
          </cell>
          <cell r="J172">
            <v>2.9999809021090684E-2</v>
          </cell>
          <cell r="K172">
            <v>0.22567443823806646</v>
          </cell>
          <cell r="L172">
            <v>9.7219690957836627E-2</v>
          </cell>
          <cell r="Q172">
            <v>3.4952259696487312E-2</v>
          </cell>
        </row>
        <row r="173">
          <cell r="H173">
            <v>0.11064290359223428</v>
          </cell>
          <cell r="I173">
            <v>1.0718806609436291E-4</v>
          </cell>
          <cell r="J173">
            <v>4.0853728536651797E-3</v>
          </cell>
          <cell r="K173">
            <v>3.2424926426985995E-2</v>
          </cell>
          <cell r="L173">
            <v>4.4347951389411538E-3</v>
          </cell>
          <cell r="Q173">
            <v>3.9896112865625555E-3</v>
          </cell>
        </row>
        <row r="174">
          <cell r="H174">
            <v>123.75503095310302</v>
          </cell>
          <cell r="I174">
            <v>6.3976777762112551</v>
          </cell>
          <cell r="J174">
            <v>185.42940129257897</v>
          </cell>
          <cell r="K174">
            <v>1087.8883406205662</v>
          </cell>
          <cell r="L174">
            <v>74.121784748973923</v>
          </cell>
          <cell r="Q174">
            <v>16.495849424531748</v>
          </cell>
        </row>
        <row r="175">
          <cell r="H175">
            <v>54.013055683606943</v>
          </cell>
          <cell r="I175">
            <v>2.7922753791174961</v>
          </cell>
          <cell r="J175">
            <v>80.930920547297831</v>
          </cell>
          <cell r="K175">
            <v>474.8103819856226</v>
          </cell>
          <cell r="L175">
            <v>32.350556225320645</v>
          </cell>
          <cell r="Q175">
            <v>7.1996364645027633</v>
          </cell>
        </row>
        <row r="176">
          <cell r="H176">
            <v>8.7187371480412102E-3</v>
          </cell>
          <cell r="I176">
            <v>4.5072649135200382E-4</v>
          </cell>
          <cell r="J176">
            <v>1.3063793826703508E-2</v>
          </cell>
          <cell r="K176">
            <v>7.6643449686371018E-2</v>
          </cell>
          <cell r="L176">
            <v>5.2219966589874571E-3</v>
          </cell>
          <cell r="Q176">
            <v>1.1621586133388055E-3</v>
          </cell>
        </row>
        <row r="357">
          <cell r="H357">
            <v>0.14985566622198071</v>
          </cell>
          <cell r="I357">
            <v>2.8334149207627325E-2</v>
          </cell>
          <cell r="J357">
            <v>0.81175371766196314</v>
          </cell>
          <cell r="K357">
            <v>1.0307168292934534</v>
          </cell>
          <cell r="L357">
            <v>0.16055048681739573</v>
          </cell>
          <cell r="Q357">
            <v>3.7979025828134984E-2</v>
          </cell>
        </row>
        <row r="358">
          <cell r="H358">
            <v>1.071315650384159</v>
          </cell>
          <cell r="I358">
            <v>8.695010693495663E-4</v>
          </cell>
          <cell r="J358">
            <v>2.849690937739835E-2</v>
          </cell>
          <cell r="K358">
            <v>5.0671886933843883E-2</v>
          </cell>
          <cell r="L358">
            <v>9.7215516695625212E-2</v>
          </cell>
          <cell r="Q358">
            <v>3.497217465273629E-2</v>
          </cell>
        </row>
        <row r="359">
          <cell r="H359">
            <v>0.11064290359223428</v>
          </cell>
          <cell r="I359">
            <v>1.0380438960478005E-4</v>
          </cell>
          <cell r="J359">
            <v>3.8797766995060912E-3</v>
          </cell>
          <cell r="K359">
            <v>7.2835064634027219E-3</v>
          </cell>
          <cell r="L359">
            <v>4.4345714451994546E-3</v>
          </cell>
          <cell r="Q359">
            <v>3.9922090591195305E-3</v>
          </cell>
        </row>
        <row r="360">
          <cell r="H360">
            <v>123.75503095310302</v>
          </cell>
          <cell r="I360">
            <v>6.195731306427704</v>
          </cell>
          <cell r="J360">
            <v>176.23377787293171</v>
          </cell>
          <cell r="K360">
            <v>244.23849669524432</v>
          </cell>
          <cell r="L360">
            <v>74.118558229320271</v>
          </cell>
          <cell r="Q360">
            <v>16.499921188990875</v>
          </cell>
        </row>
        <row r="361">
          <cell r="H361">
            <v>54.013055683606943</v>
          </cell>
          <cell r="I361">
            <v>2.7041355610145832</v>
          </cell>
          <cell r="J361">
            <v>76.91747789381003</v>
          </cell>
          <cell r="K361">
            <v>106.59823217271722</v>
          </cell>
          <cell r="L361">
            <v>32.349148006322395</v>
          </cell>
          <cell r="Q361">
            <v>7.2014135917740161</v>
          </cell>
        </row>
        <row r="362">
          <cell r="H362">
            <v>8.7187371480412102E-3</v>
          </cell>
          <cell r="I362">
            <v>4.3649904399525874E-4</v>
          </cell>
          <cell r="J362">
            <v>1.2415947651151598E-2</v>
          </cell>
          <cell r="K362">
            <v>1.720698736623906E-2</v>
          </cell>
          <cell r="L362">
            <v>5.2217693455881842E-3</v>
          </cell>
          <cell r="Q362">
            <v>1.1624454755679566E-3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52F5-7166-449C-8A27-3559BEDB6534}">
  <dimension ref="A1:N83"/>
  <sheetViews>
    <sheetView workbookViewId="0">
      <selection activeCell="N2" sqref="N2"/>
    </sheetView>
  </sheetViews>
  <sheetFormatPr defaultRowHeight="15"/>
  <cols>
    <col min="1" max="1" width="4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6" t="s">
        <v>1</v>
      </c>
      <c r="B2" s="16" t="s">
        <v>2</v>
      </c>
      <c r="D2" s="16"/>
      <c r="E2" s="16"/>
      <c r="F2" s="16"/>
      <c r="G2" s="16"/>
      <c r="H2" s="16"/>
      <c r="I2" s="16"/>
      <c r="J2" s="16"/>
      <c r="K2" s="16"/>
      <c r="L2" s="16"/>
      <c r="M2" s="16"/>
      <c r="N2" s="17" t="str">
        <f ca="1">UPPER(CONCATENATE(DEC2HEX(RANDBETWEEN(0,POWER(16,8)),8),DEC2HEX(RANDBETWEEN(0,POWER(16,4)),4),"4",DEC2HEX(RANDBETWEEN(0,POWER(16,3)),3),DEC2HEX(RANDBETWEEN(8,11)),DEC2HEX(RANDBETWEEN(0,POWER(16,3)),3),DEC2HEX(RANDBETWEEN(0,POWER(16,8)),8),DEC2HEX(RANDBETWEEN(0,POWER(16,4)),4)))</f>
        <v>8D85495411864671A20D74F79D16B6E0</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981.3</v>
      </c>
      <c r="C17" t="s">
        <v>37</v>
      </c>
      <c r="D17" t="s">
        <v>38</v>
      </c>
      <c r="E17" t="s">
        <v>29</v>
      </c>
      <c r="F17" t="s">
        <v>39</v>
      </c>
      <c r="G17" t="s">
        <v>33</v>
      </c>
      <c r="H17">
        <v>2</v>
      </c>
      <c r="I17">
        <f>LN(B17)</f>
        <v>6.8888782232124477</v>
      </c>
      <c r="J17">
        <v>5.0990195135927806E-2</v>
      </c>
      <c r="K17" t="s">
        <v>31</v>
      </c>
      <c r="L17" t="s">
        <v>31</v>
      </c>
      <c r="M17" t="s">
        <v>31</v>
      </c>
    </row>
    <row r="18" spans="1:14">
      <c r="A18" t="s">
        <v>40</v>
      </c>
      <c r="B18">
        <f>2*N18</f>
        <v>11.713506057708196</v>
      </c>
      <c r="C18" t="s">
        <v>37</v>
      </c>
      <c r="D18" t="s">
        <v>41</v>
      </c>
      <c r="E18" t="s">
        <v>42</v>
      </c>
      <c r="F18" t="s">
        <v>29</v>
      </c>
      <c r="G18" t="s">
        <v>43</v>
      </c>
      <c r="H18">
        <v>2</v>
      </c>
      <c r="I18">
        <f>LN(B18)</f>
        <v>2.4607425399446874</v>
      </c>
      <c r="J18">
        <v>5.0990195135927806E-2</v>
      </c>
      <c r="K18" t="s">
        <v>31</v>
      </c>
      <c r="L18" t="s">
        <v>31</v>
      </c>
      <c r="M18" t="s">
        <v>31</v>
      </c>
      <c r="N18">
        <f>SUM('[1]Use (kerosene)'!H171:L171,'[1]Use (kerosene)'!Q171)</f>
        <v>5.8567530288540981</v>
      </c>
    </row>
    <row r="19" spans="1:14">
      <c r="A19" t="s">
        <v>44</v>
      </c>
      <c r="B19">
        <f t="shared" ref="B19:B23" si="0">2*N19</f>
        <v>3.8075462496789987</v>
      </c>
      <c r="C19" t="s">
        <v>37</v>
      </c>
      <c r="D19" t="s">
        <v>41</v>
      </c>
      <c r="E19" t="s">
        <v>42</v>
      </c>
      <c r="F19" t="s">
        <v>29</v>
      </c>
      <c r="G19" t="s">
        <v>43</v>
      </c>
      <c r="H19">
        <v>2</v>
      </c>
      <c r="I19">
        <f t="shared" ref="I19:I23" si="1">LN(B19)</f>
        <v>1.3369849527072333</v>
      </c>
      <c r="J19">
        <v>5.0990195135927806E-2</v>
      </c>
      <c r="K19" t="s">
        <v>31</v>
      </c>
      <c r="L19" t="s">
        <v>31</v>
      </c>
      <c r="M19" t="s">
        <v>31</v>
      </c>
      <c r="N19">
        <f>SUM('[1]Use (kerosene)'!H172:L172,'[1]Use (kerosene)'!Q172)</f>
        <v>1.9037731248394993</v>
      </c>
    </row>
    <row r="20" spans="1:14">
      <c r="A20" t="s">
        <v>45</v>
      </c>
      <c r="B20">
        <f t="shared" si="0"/>
        <v>0.31858906855131308</v>
      </c>
      <c r="C20" t="s">
        <v>37</v>
      </c>
      <c r="D20" t="s">
        <v>41</v>
      </c>
      <c r="E20" t="s">
        <v>42</v>
      </c>
      <c r="F20" t="s">
        <v>29</v>
      </c>
      <c r="G20" t="s">
        <v>43</v>
      </c>
      <c r="H20">
        <v>2</v>
      </c>
      <c r="I20">
        <f t="shared" si="1"/>
        <v>-1.1438531929820994</v>
      </c>
      <c r="J20">
        <v>5.0990195135927806E-2</v>
      </c>
      <c r="K20" t="s">
        <v>31</v>
      </c>
      <c r="L20" t="s">
        <v>31</v>
      </c>
      <c r="M20" t="s">
        <v>31</v>
      </c>
      <c r="N20">
        <f>SUM('[1]Use (kerosene)'!H173:L173,'[1]Use (kerosene)'!Q173)</f>
        <v>0.15929453427565654</v>
      </c>
    </row>
    <row r="21" spans="1:14">
      <c r="A21" t="s">
        <v>46</v>
      </c>
      <c r="B21">
        <f t="shared" si="0"/>
        <v>3090.105140190054</v>
      </c>
      <c r="C21" t="s">
        <v>37</v>
      </c>
      <c r="D21" t="s">
        <v>41</v>
      </c>
      <c r="E21" t="s">
        <v>42</v>
      </c>
      <c r="F21" t="s">
        <v>29</v>
      </c>
      <c r="G21" t="s">
        <v>43</v>
      </c>
      <c r="H21">
        <v>2</v>
      </c>
      <c r="I21">
        <f t="shared" si="1"/>
        <v>8.0359603952643948</v>
      </c>
      <c r="J21">
        <v>5.0990195135927806E-2</v>
      </c>
      <c r="K21" t="s">
        <v>31</v>
      </c>
      <c r="L21" t="s">
        <v>31</v>
      </c>
      <c r="M21" t="s">
        <v>31</v>
      </c>
      <c r="N21">
        <f>SUM('[1]Use (kerosene)'!H174:L174,'[1]Use (kerosene)'!Q174)</f>
        <v>1545.052570095027</v>
      </c>
    </row>
    <row r="22" spans="1:14">
      <c r="A22" t="s">
        <v>47</v>
      </c>
      <c r="B22">
        <f>2*N22/1000</f>
        <v>1.2069956565366042</v>
      </c>
      <c r="C22" t="s">
        <v>48</v>
      </c>
      <c r="D22" t="s">
        <v>41</v>
      </c>
      <c r="E22" t="s">
        <v>42</v>
      </c>
      <c r="F22" t="s">
        <v>29</v>
      </c>
      <c r="G22" t="s">
        <v>43</v>
      </c>
      <c r="H22">
        <v>2</v>
      </c>
      <c r="I22">
        <f t="shared" si="1"/>
        <v>0.18813434354769695</v>
      </c>
      <c r="J22">
        <v>5.0990195135927806E-2</v>
      </c>
      <c r="K22" t="s">
        <v>31</v>
      </c>
      <c r="L22" t="s">
        <v>31</v>
      </c>
      <c r="M22" t="s">
        <v>31</v>
      </c>
      <c r="N22">
        <f>SUM('[1]Use (kerosene)'!H175:L175,'[1]Use (kerosene)'!Q175)</f>
        <v>603.4978282683021</v>
      </c>
    </row>
    <row r="23" spans="1:14">
      <c r="A23" t="s">
        <v>49</v>
      </c>
      <c r="B23">
        <f t="shared" si="0"/>
        <v>0.8242897166591443</v>
      </c>
      <c r="C23" t="s">
        <v>37</v>
      </c>
      <c r="D23" t="s">
        <v>41</v>
      </c>
      <c r="E23" t="s">
        <v>42</v>
      </c>
      <c r="F23" t="s">
        <v>29</v>
      </c>
      <c r="G23" t="s">
        <v>43</v>
      </c>
      <c r="H23">
        <v>2</v>
      </c>
      <c r="I23">
        <f t="shared" si="1"/>
        <v>-0.193233212981407</v>
      </c>
      <c r="J23">
        <v>5.0990195135927806E-2</v>
      </c>
      <c r="K23" t="s">
        <v>31</v>
      </c>
      <c r="L23" t="s">
        <v>31</v>
      </c>
      <c r="M23" t="s">
        <v>31</v>
      </c>
      <c r="N23">
        <f>SUM('[1]Use (kerosene)'!H176:L176,'[1]Use (kerosene)'!Q176)</f>
        <v>0.41214485832957215</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v>421.03</v>
      </c>
      <c r="C37" t="s">
        <v>37</v>
      </c>
      <c r="D37" t="s">
        <v>38</v>
      </c>
      <c r="E37" t="s">
        <v>29</v>
      </c>
      <c r="F37" t="s">
        <v>39</v>
      </c>
      <c r="G37" t="s">
        <v>33</v>
      </c>
      <c r="H37">
        <v>2</v>
      </c>
      <c r="I37">
        <f>LN(B37)</f>
        <v>6.0427040900509494</v>
      </c>
      <c r="J37">
        <v>5.0990195135927806E-2</v>
      </c>
      <c r="K37" t="s">
        <v>31</v>
      </c>
      <c r="L37" t="s">
        <v>31</v>
      </c>
      <c r="M37" t="s">
        <v>31</v>
      </c>
    </row>
    <row r="38" spans="1:14">
      <c r="A38" t="s">
        <v>40</v>
      </c>
      <c r="B38">
        <f>2*N38</f>
        <v>4.5176929175627656</v>
      </c>
      <c r="C38" t="s">
        <v>37</v>
      </c>
      <c r="D38" t="s">
        <v>41</v>
      </c>
      <c r="E38" t="s">
        <v>42</v>
      </c>
      <c r="F38" t="s">
        <v>29</v>
      </c>
      <c r="G38" t="s">
        <v>43</v>
      </c>
      <c r="H38">
        <v>2</v>
      </c>
      <c r="I38">
        <f>LN(B38)</f>
        <v>1.5080014470688972</v>
      </c>
      <c r="J38">
        <v>5.0990195135927806E-2</v>
      </c>
      <c r="K38" t="s">
        <v>31</v>
      </c>
      <c r="L38" t="s">
        <v>31</v>
      </c>
      <c r="M38" t="s">
        <v>31</v>
      </c>
      <c r="N38">
        <f>SUM('[1]Use (kerosene)'!H357:L357,'[1]Use (kerosene)'!Q357)</f>
        <v>2.2588464587813828</v>
      </c>
    </row>
    <row r="39" spans="1:14">
      <c r="A39" t="s">
        <v>44</v>
      </c>
      <c r="B39">
        <f t="shared" ref="B39:B40" si="2">2*N39</f>
        <v>3.3466942309677594</v>
      </c>
      <c r="C39" t="s">
        <v>37</v>
      </c>
      <c r="D39" t="s">
        <v>41</v>
      </c>
      <c r="E39" t="s">
        <v>42</v>
      </c>
      <c r="F39" t="s">
        <v>29</v>
      </c>
      <c r="G39" t="s">
        <v>43</v>
      </c>
      <c r="H39">
        <v>2</v>
      </c>
      <c r="I39">
        <f t="shared" ref="I39:I43" si="3">LN(B39)</f>
        <v>1.207973061906503</v>
      </c>
      <c r="J39">
        <v>5.0990195135927806E-2</v>
      </c>
      <c r="K39" t="s">
        <v>31</v>
      </c>
      <c r="L39" t="s">
        <v>31</v>
      </c>
      <c r="M39" t="s">
        <v>31</v>
      </c>
      <c r="N39">
        <f>SUM('[1]Use (kerosene)'!H358:L358,'[1]Use (kerosene)'!Q358)</f>
        <v>1.6733471154838797</v>
      </c>
    </row>
    <row r="40" spans="1:14">
      <c r="A40" t="s">
        <v>45</v>
      </c>
      <c r="B40">
        <f t="shared" si="2"/>
        <v>0.26693870751819748</v>
      </c>
      <c r="C40" t="s">
        <v>37</v>
      </c>
      <c r="D40" t="s">
        <v>41</v>
      </c>
      <c r="E40" t="s">
        <v>42</v>
      </c>
      <c r="F40" t="s">
        <v>29</v>
      </c>
      <c r="G40" t="s">
        <v>43</v>
      </c>
      <c r="H40">
        <v>2</v>
      </c>
      <c r="I40">
        <f t="shared" si="3"/>
        <v>-1.3207362067917228</v>
      </c>
      <c r="J40">
        <v>5.0990195135927806E-2</v>
      </c>
      <c r="K40" t="s">
        <v>31</v>
      </c>
      <c r="L40" t="s">
        <v>31</v>
      </c>
      <c r="M40" t="s">
        <v>31</v>
      </c>
      <c r="N40">
        <f>SUM('[1]Use (kerosene)'!H359:L359,'[1]Use (kerosene)'!Q359)</f>
        <v>0.13346935375909874</v>
      </c>
    </row>
    <row r="41" spans="1:14">
      <c r="A41" t="s">
        <v>46</v>
      </c>
      <c r="B41">
        <f>2*N41</f>
        <v>1325.8158635747654</v>
      </c>
      <c r="C41" t="s">
        <v>37</v>
      </c>
      <c r="D41" t="s">
        <v>41</v>
      </c>
      <c r="E41" t="s">
        <v>42</v>
      </c>
      <c r="F41" t="s">
        <v>29</v>
      </c>
      <c r="G41" t="s">
        <v>43</v>
      </c>
      <c r="H41">
        <v>2</v>
      </c>
      <c r="I41">
        <f t="shared" si="3"/>
        <v>7.189783295020642</v>
      </c>
      <c r="J41">
        <v>5.0990195135927806E-2</v>
      </c>
      <c r="K41" t="s">
        <v>31</v>
      </c>
      <c r="L41" t="s">
        <v>31</v>
      </c>
      <c r="M41" t="s">
        <v>31</v>
      </c>
      <c r="N41">
        <f>SUM('[1]Use (kerosene)'!H360:L360,'[1]Use (kerosene)'!Q360)</f>
        <v>662.90793178738272</v>
      </c>
    </row>
    <row r="42" spans="1:14">
      <c r="A42" t="s">
        <v>47</v>
      </c>
      <c r="B42">
        <f>2*N42/1000</f>
        <v>0.51786392892885413</v>
      </c>
      <c r="C42" t="s">
        <v>48</v>
      </c>
      <c r="D42" t="s">
        <v>41</v>
      </c>
      <c r="E42" t="s">
        <v>42</v>
      </c>
      <c r="F42" t="s">
        <v>29</v>
      </c>
      <c r="G42" t="s">
        <v>43</v>
      </c>
      <c r="H42">
        <v>2</v>
      </c>
      <c r="I42">
        <f t="shared" si="3"/>
        <v>-0.65804275669605672</v>
      </c>
      <c r="J42">
        <v>5.0990195135927806E-2</v>
      </c>
      <c r="K42" t="s">
        <v>31</v>
      </c>
      <c r="L42" t="s">
        <v>31</v>
      </c>
      <c r="M42" t="s">
        <v>31</v>
      </c>
      <c r="N42">
        <f>SUM('[1]Use (kerosene)'!H361:L361,'[1]Use (kerosene)'!Q361)</f>
        <v>258.93196446442704</v>
      </c>
    </row>
    <row r="43" spans="1:14">
      <c r="A43" t="s">
        <v>49</v>
      </c>
      <c r="B43">
        <f t="shared" ref="B43" si="4">2*N43</f>
        <v>0.3536631709758028</v>
      </c>
      <c r="C43" t="s">
        <v>37</v>
      </c>
      <c r="D43" t="s">
        <v>41</v>
      </c>
      <c r="E43" t="s">
        <v>42</v>
      </c>
      <c r="F43" t="s">
        <v>29</v>
      </c>
      <c r="G43" t="s">
        <v>43</v>
      </c>
      <c r="H43">
        <v>2</v>
      </c>
      <c r="I43">
        <f t="shared" si="3"/>
        <v>-1.0394103132251606</v>
      </c>
      <c r="J43">
        <v>5.0990195135927806E-2</v>
      </c>
      <c r="K43" t="s">
        <v>31</v>
      </c>
      <c r="L43" t="s">
        <v>31</v>
      </c>
      <c r="M43" t="s">
        <v>31</v>
      </c>
      <c r="N43">
        <f>SUM('[1]Use (kerosene)'!H362:L362,'[1]Use (kerosene)'!Q362)</f>
        <v>0.1768315854879014</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963.93</v>
      </c>
      <c r="C57" t="s">
        <v>37</v>
      </c>
      <c r="D57" t="s">
        <v>2</v>
      </c>
      <c r="E57" t="s">
        <v>29</v>
      </c>
      <c r="F57" t="s">
        <v>57</v>
      </c>
      <c r="G57" t="s">
        <v>33</v>
      </c>
      <c r="H57">
        <v>2</v>
      </c>
      <c r="I57">
        <f>LN(B57)</f>
        <v>6.8710186778661297</v>
      </c>
      <c r="J57">
        <v>5.0990195135927806E-2</v>
      </c>
      <c r="K57" t="s">
        <v>31</v>
      </c>
      <c r="L57" t="s">
        <v>31</v>
      </c>
      <c r="M57" t="s">
        <v>31</v>
      </c>
    </row>
    <row r="58" spans="1:14">
      <c r="A58" t="s">
        <v>40</v>
      </c>
      <c r="B58">
        <f>2*N58</f>
        <v>11.506819593622106</v>
      </c>
      <c r="C58" t="s">
        <v>37</v>
      </c>
      <c r="D58" t="s">
        <v>41</v>
      </c>
      <c r="E58" t="s">
        <v>42</v>
      </c>
      <c r="F58" t="s">
        <v>29</v>
      </c>
      <c r="G58" t="s">
        <v>43</v>
      </c>
      <c r="H58">
        <v>2</v>
      </c>
      <c r="I58">
        <f>LN(B58)</f>
        <v>2.4429398677504106</v>
      </c>
      <c r="J58">
        <v>5.0990195135927806E-2</v>
      </c>
      <c r="K58" t="s">
        <v>31</v>
      </c>
      <c r="L58" t="s">
        <v>31</v>
      </c>
      <c r="M58" t="s">
        <v>31</v>
      </c>
      <c r="N58">
        <f>SUM('[1]Use (HEFA)'!H171:L171,'[1]Use (HEFA)'!Q171)</f>
        <v>5.7534097968110531</v>
      </c>
    </row>
    <row r="59" spans="1:14">
      <c r="A59" t="s">
        <v>44</v>
      </c>
      <c r="B59">
        <f t="shared" ref="B59:B61" si="5">2*N59</f>
        <v>2.9201193799475087</v>
      </c>
      <c r="C59" t="s">
        <v>37</v>
      </c>
      <c r="D59" t="s">
        <v>41</v>
      </c>
      <c r="E59" t="s">
        <v>42</v>
      </c>
      <c r="F59" t="s">
        <v>29</v>
      </c>
      <c r="G59" t="s">
        <v>43</v>
      </c>
      <c r="H59">
        <v>2</v>
      </c>
      <c r="I59">
        <f t="shared" ref="I59:I63" si="6">LN(B59)</f>
        <v>1.0716244989881485</v>
      </c>
      <c r="J59">
        <v>5.0990195135927806E-2</v>
      </c>
      <c r="K59" t="s">
        <v>31</v>
      </c>
      <c r="L59" t="s">
        <v>31</v>
      </c>
      <c r="M59" t="s">
        <v>31</v>
      </c>
      <c r="N59">
        <f>SUM('[1]Use (HEFA)'!H172:L172,'[1]Use (HEFA)'!Q172)</f>
        <v>1.4600596899737543</v>
      </c>
    </row>
    <row r="60" spans="1:14">
      <c r="A60" t="s">
        <v>45</v>
      </c>
      <c r="B60">
        <f t="shared" si="5"/>
        <v>0.31136959472896703</v>
      </c>
      <c r="C60" t="s">
        <v>37</v>
      </c>
      <c r="D60" t="s">
        <v>41</v>
      </c>
      <c r="E60" t="s">
        <v>42</v>
      </c>
      <c r="F60" t="s">
        <v>29</v>
      </c>
      <c r="G60" t="s">
        <v>43</v>
      </c>
      <c r="H60">
        <v>2</v>
      </c>
      <c r="I60">
        <f t="shared" si="6"/>
        <v>-1.1667746649114732</v>
      </c>
      <c r="J60">
        <v>5.0990195135927806E-2</v>
      </c>
      <c r="K60" t="s">
        <v>31</v>
      </c>
      <c r="L60" t="s">
        <v>31</v>
      </c>
      <c r="M60" t="s">
        <v>31</v>
      </c>
      <c r="N60">
        <f>SUM('[1]Use (HEFA)'!H173:L173,'[1]Use (HEFA)'!Q173)</f>
        <v>0.15568479736448351</v>
      </c>
    </row>
    <row r="61" spans="1:14">
      <c r="A61" t="s">
        <v>46</v>
      </c>
      <c r="B61">
        <f t="shared" si="5"/>
        <v>2988.17616963193</v>
      </c>
      <c r="C61" t="s">
        <v>37</v>
      </c>
      <c r="D61" t="s">
        <v>41</v>
      </c>
      <c r="E61" t="s">
        <v>42</v>
      </c>
      <c r="F61" t="s">
        <v>29</v>
      </c>
      <c r="G61" t="s">
        <v>43</v>
      </c>
      <c r="H61">
        <v>2</v>
      </c>
      <c r="I61">
        <f t="shared" si="6"/>
        <v>8.0024185035615218</v>
      </c>
      <c r="J61">
        <v>5.0990195135927806E-2</v>
      </c>
      <c r="K61" t="s">
        <v>31</v>
      </c>
      <c r="L61" t="s">
        <v>31</v>
      </c>
      <c r="M61" t="s">
        <v>31</v>
      </c>
      <c r="N61">
        <f>SUM('[1]Use (HEFA)'!H174:L174,'[1]Use (HEFA)'!Q174)</f>
        <v>1494.088084815965</v>
      </c>
    </row>
    <row r="62" spans="1:14">
      <c r="A62" t="s">
        <v>47</v>
      </c>
      <c r="B62">
        <f>2*N62/1000</f>
        <v>1.3041936525709363</v>
      </c>
      <c r="C62" t="s">
        <v>48</v>
      </c>
      <c r="D62" t="s">
        <v>41</v>
      </c>
      <c r="E62" t="s">
        <v>42</v>
      </c>
      <c r="F62" t="s">
        <v>29</v>
      </c>
      <c r="G62" t="s">
        <v>43</v>
      </c>
      <c r="H62">
        <v>2</v>
      </c>
      <c r="I62">
        <f t="shared" si="6"/>
        <v>0.26558495905125568</v>
      </c>
      <c r="J62">
        <v>5.0990195135927806E-2</v>
      </c>
      <c r="K62" t="s">
        <v>31</v>
      </c>
      <c r="L62" t="s">
        <v>31</v>
      </c>
      <c r="M62" t="s">
        <v>31</v>
      </c>
      <c r="N62">
        <f>SUM('[1]Use (HEFA)'!H175:L175,'[1]Use (HEFA)'!Q175)</f>
        <v>652.09682628546818</v>
      </c>
    </row>
    <row r="63" spans="1:14">
      <c r="A63" t="s">
        <v>49</v>
      </c>
      <c r="B63">
        <f t="shared" ref="B63" si="7">2*N63</f>
        <v>0.210521724849588</v>
      </c>
      <c r="C63" t="s">
        <v>37</v>
      </c>
      <c r="D63" t="s">
        <v>41</v>
      </c>
      <c r="E63" t="s">
        <v>42</v>
      </c>
      <c r="F63" t="s">
        <v>29</v>
      </c>
      <c r="G63" t="s">
        <v>43</v>
      </c>
      <c r="H63">
        <v>2</v>
      </c>
      <c r="I63">
        <f t="shared" si="6"/>
        <v>-1.5581664252487821</v>
      </c>
      <c r="J63">
        <v>5.0990195135927806E-2</v>
      </c>
      <c r="K63" t="s">
        <v>31</v>
      </c>
      <c r="L63" t="s">
        <v>31</v>
      </c>
      <c r="M63" t="s">
        <v>31</v>
      </c>
      <c r="N63">
        <f>SUM('[1]Use (HEFA)'!H176:L176,'[1]Use (HEFA)'!Q176)</f>
        <v>0.105260862424794</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413.57</v>
      </c>
      <c r="C77" t="s">
        <v>37</v>
      </c>
      <c r="D77" t="s">
        <v>2</v>
      </c>
      <c r="E77" t="s">
        <v>29</v>
      </c>
      <c r="F77" t="s">
        <v>57</v>
      </c>
      <c r="G77" t="s">
        <v>33</v>
      </c>
      <c r="H77">
        <v>2</v>
      </c>
      <c r="I77">
        <f>LN(B77)</f>
        <v>6.0248267867143825</v>
      </c>
      <c r="J77">
        <v>5.0990195135927806E-2</v>
      </c>
      <c r="K77" t="s">
        <v>31</v>
      </c>
      <c r="L77" t="s">
        <v>31</v>
      </c>
      <c r="M77" t="s">
        <v>31</v>
      </c>
    </row>
    <row r="78" spans="1:14">
      <c r="A78" t="s">
        <v>40</v>
      </c>
      <c r="B78">
        <f>2*N78</f>
        <v>4.4383797500611113</v>
      </c>
      <c r="C78" t="s">
        <v>37</v>
      </c>
      <c r="D78" t="s">
        <v>41</v>
      </c>
      <c r="E78" t="s">
        <v>42</v>
      </c>
      <c r="F78" t="s">
        <v>29</v>
      </c>
      <c r="G78" t="s">
        <v>43</v>
      </c>
      <c r="H78">
        <v>2</v>
      </c>
      <c r="I78">
        <f>LN(B78)</f>
        <v>1.4902893886867974</v>
      </c>
      <c r="J78">
        <v>5.0990195135927806E-2</v>
      </c>
      <c r="K78" t="s">
        <v>31</v>
      </c>
      <c r="L78" t="s">
        <v>31</v>
      </c>
      <c r="M78" t="s">
        <v>31</v>
      </c>
      <c r="N78">
        <f>SUM('[1]Use (HEFA)'!H357:L357,'[1]Use (HEFA)'!Q357)</f>
        <v>2.2191898750305556</v>
      </c>
    </row>
    <row r="79" spans="1:14">
      <c r="A79" t="s">
        <v>44</v>
      </c>
      <c r="B79">
        <f t="shared" ref="B79:B81" si="8">2*N79</f>
        <v>2.5670832782262245</v>
      </c>
      <c r="C79" t="s">
        <v>37</v>
      </c>
      <c r="D79" t="s">
        <v>41</v>
      </c>
      <c r="E79" t="s">
        <v>42</v>
      </c>
      <c r="F79" t="s">
        <v>29</v>
      </c>
      <c r="G79" t="s">
        <v>43</v>
      </c>
      <c r="H79">
        <v>2</v>
      </c>
      <c r="I79">
        <f t="shared" ref="I79:I83" si="9">LN(B79)</f>
        <v>0.94277034321171627</v>
      </c>
      <c r="J79">
        <v>5.0990195135927806E-2</v>
      </c>
      <c r="K79" t="s">
        <v>31</v>
      </c>
      <c r="L79" t="s">
        <v>31</v>
      </c>
      <c r="M79" t="s">
        <v>31</v>
      </c>
      <c r="N79">
        <f>SUM('[1]Use (HEFA)'!H358:L358,'[1]Use (HEFA)'!Q358)</f>
        <v>1.2835416391131123</v>
      </c>
    </row>
    <row r="80" spans="1:14">
      <c r="A80" t="s">
        <v>45</v>
      </c>
      <c r="B80">
        <f t="shared" si="8"/>
        <v>0.26067354329813375</v>
      </c>
      <c r="C80" t="s">
        <v>37</v>
      </c>
      <c r="D80" t="s">
        <v>41</v>
      </c>
      <c r="E80" t="s">
        <v>42</v>
      </c>
      <c r="F80" t="s">
        <v>29</v>
      </c>
      <c r="G80" t="s">
        <v>43</v>
      </c>
      <c r="H80">
        <v>2</v>
      </c>
      <c r="I80">
        <f t="shared" si="9"/>
        <v>-1.3444864465137745</v>
      </c>
      <c r="J80">
        <v>5.0990195135927806E-2</v>
      </c>
      <c r="K80" t="s">
        <v>31</v>
      </c>
      <c r="L80" t="s">
        <v>31</v>
      </c>
      <c r="M80" t="s">
        <v>31</v>
      </c>
      <c r="N80">
        <f>SUM('[1]Use (HEFA)'!H359:L359,'[1]Use (HEFA)'!Q359)</f>
        <v>0.13033677164906687</v>
      </c>
    </row>
    <row r="81" spans="1:14">
      <c r="A81" t="s">
        <v>46</v>
      </c>
      <c r="B81">
        <f t="shared" si="8"/>
        <v>1282.0830324920357</v>
      </c>
      <c r="C81" t="s">
        <v>37</v>
      </c>
      <c r="D81" t="s">
        <v>41</v>
      </c>
      <c r="E81" t="s">
        <v>42</v>
      </c>
      <c r="F81" t="s">
        <v>29</v>
      </c>
      <c r="G81" t="s">
        <v>43</v>
      </c>
      <c r="H81">
        <v>2</v>
      </c>
      <c r="I81">
        <f t="shared" si="9"/>
        <v>7.1562414033177681</v>
      </c>
      <c r="J81">
        <v>5.0990195135927806E-2</v>
      </c>
      <c r="K81" t="s">
        <v>31</v>
      </c>
      <c r="L81" t="s">
        <v>31</v>
      </c>
      <c r="M81" t="s">
        <v>31</v>
      </c>
      <c r="N81">
        <f>SUM('[1]Use (HEFA)'!H360:L360,'[1]Use (HEFA)'!Q360)</f>
        <v>641.04151624601786</v>
      </c>
    </row>
    <row r="82" spans="1:14">
      <c r="A82" t="s">
        <v>47</v>
      </c>
      <c r="B82">
        <f>2*N82/1000</f>
        <v>0.55956692581849043</v>
      </c>
      <c r="C82" t="s">
        <v>48</v>
      </c>
      <c r="D82" t="s">
        <v>41</v>
      </c>
      <c r="E82" t="s">
        <v>42</v>
      </c>
      <c r="F82" t="s">
        <v>29</v>
      </c>
      <c r="G82" t="s">
        <v>43</v>
      </c>
      <c r="H82">
        <v>2</v>
      </c>
      <c r="I82">
        <f t="shared" si="9"/>
        <v>-0.5805921411924978</v>
      </c>
      <c r="J82">
        <v>5.0990195135927806E-2</v>
      </c>
      <c r="K82" t="s">
        <v>31</v>
      </c>
      <c r="L82" t="s">
        <v>31</v>
      </c>
      <c r="M82" t="s">
        <v>31</v>
      </c>
      <c r="N82">
        <f>SUM('[1]Use (HEFA)'!H361:L361,'[1]Use (HEFA)'!Q361)</f>
        <v>279.7834629092452</v>
      </c>
    </row>
    <row r="83" spans="1:14">
      <c r="A83" t="s">
        <v>49</v>
      </c>
      <c r="B83">
        <f t="shared" ref="B83" si="10">2*N83</f>
        <v>9.0324772061166542E-2</v>
      </c>
      <c r="C83" t="s">
        <v>37</v>
      </c>
      <c r="D83" t="s">
        <v>41</v>
      </c>
      <c r="E83" t="s">
        <v>42</v>
      </c>
      <c r="F83" t="s">
        <v>29</v>
      </c>
      <c r="G83" t="s">
        <v>43</v>
      </c>
      <c r="H83">
        <v>2</v>
      </c>
      <c r="I83">
        <f t="shared" si="9"/>
        <v>-2.4043435254925356</v>
      </c>
      <c r="J83">
        <v>5.0990195135927806E-2</v>
      </c>
      <c r="K83" t="s">
        <v>31</v>
      </c>
      <c r="L83" t="s">
        <v>31</v>
      </c>
      <c r="M83" t="s">
        <v>31</v>
      </c>
      <c r="N83">
        <f>SUM('[1]Use (HEFA)'!H362:L362,'[1]Use (HEFA)'!Q362)</f>
        <v>4.5162386030583271E-2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EAC-553F-4F51-971C-473ADE5E013C}">
  <dimension ref="A1:Q48"/>
  <sheetViews>
    <sheetView workbookViewId="0">
      <selection activeCell="D12" sqref="D12"/>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5.7109375" style="35" customWidth="1"/>
    <col min="16" max="16384" width="8.85546875" style="35"/>
  </cols>
  <sheetData>
    <row r="1" spans="1:17">
      <c r="A1" s="35" t="s">
        <v>0</v>
      </c>
      <c r="B1" s="35">
        <v>13</v>
      </c>
      <c r="C1" s="36"/>
    </row>
    <row r="2" spans="1:17" ht="15.75">
      <c r="A2" s="39" t="s">
        <v>5</v>
      </c>
      <c r="B2" s="39" t="s">
        <v>34</v>
      </c>
      <c r="C2" s="40"/>
      <c r="D2" s="41"/>
      <c r="E2" s="41"/>
      <c r="F2" s="41"/>
      <c r="G2" s="41"/>
      <c r="H2" s="41"/>
      <c r="I2" s="41"/>
      <c r="J2" s="41"/>
      <c r="K2" s="41"/>
      <c r="L2" s="41"/>
      <c r="M2" s="41"/>
      <c r="N2" s="41"/>
    </row>
    <row r="3" spans="1:17" s="38" customFormat="1" ht="12.75">
      <c r="A3" s="38" t="s">
        <v>7</v>
      </c>
      <c r="B3" s="38" t="s">
        <v>263</v>
      </c>
      <c r="O3" s="143" t="s">
        <v>264</v>
      </c>
      <c r="P3" s="144"/>
      <c r="Q3" s="145"/>
    </row>
    <row r="4" spans="1:17" s="38" customFormat="1" ht="12.75">
      <c r="A4" s="38" t="s">
        <v>9</v>
      </c>
      <c r="B4" s="38" t="s">
        <v>265</v>
      </c>
      <c r="O4" s="42" t="s">
        <v>266</v>
      </c>
      <c r="P4" s="43" t="s">
        <v>267</v>
      </c>
      <c r="Q4" s="44" t="s">
        <v>268</v>
      </c>
    </row>
    <row r="5" spans="1:17" s="38" customFormat="1" ht="12.75">
      <c r="A5" s="38" t="s">
        <v>11</v>
      </c>
      <c r="B5" s="38" t="s">
        <v>269</v>
      </c>
      <c r="O5" s="45" t="s">
        <v>34</v>
      </c>
      <c r="P5" s="46">
        <v>1</v>
      </c>
      <c r="Q5" s="47">
        <f>P5/P5</f>
        <v>1</v>
      </c>
    </row>
    <row r="6" spans="1:17" s="38" customFormat="1" ht="12.75">
      <c r="A6" s="38" t="s">
        <v>13</v>
      </c>
      <c r="B6" s="38" t="s">
        <v>35</v>
      </c>
      <c r="O6" s="45" t="s">
        <v>270</v>
      </c>
      <c r="P6" s="46">
        <v>100</v>
      </c>
      <c r="Q6" s="47">
        <f>P5/P6</f>
        <v>0.01</v>
      </c>
    </row>
    <row r="7" spans="1:17" s="38" customFormat="1" ht="12.75">
      <c r="A7" s="38" t="s">
        <v>15</v>
      </c>
      <c r="B7" s="48">
        <v>1</v>
      </c>
      <c r="O7" s="49" t="s">
        <v>271</v>
      </c>
      <c r="P7" s="50">
        <v>100</v>
      </c>
      <c r="Q7" s="51">
        <f>P5/P7</f>
        <v>0.01</v>
      </c>
    </row>
    <row r="8" spans="1:17" s="38" customFormat="1" ht="12.75">
      <c r="A8" s="38" t="s">
        <v>16</v>
      </c>
      <c r="B8" s="38" t="s">
        <v>17</v>
      </c>
    </row>
    <row r="9" spans="1:17" s="38" customFormat="1" ht="12.75">
      <c r="A9" s="38" t="s">
        <v>18</v>
      </c>
      <c r="B9" s="38" t="s">
        <v>18</v>
      </c>
    </row>
    <row r="10" spans="1:17" ht="15.75">
      <c r="A10" s="37" t="s">
        <v>19</v>
      </c>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7" s="38" customFormat="1" ht="12.75">
      <c r="A12" s="38" t="str">
        <f>B2</f>
        <v>airport use</v>
      </c>
      <c r="B12" s="38">
        <f>B7</f>
        <v>1</v>
      </c>
      <c r="C12" s="38" t="str">
        <f>B9</f>
        <v>unit</v>
      </c>
      <c r="D12" s="38" t="s">
        <v>2</v>
      </c>
      <c r="E12" s="38" t="s">
        <v>29</v>
      </c>
      <c r="F12" s="38" t="str">
        <f>B6</f>
        <v>RER</v>
      </c>
      <c r="G12" s="38" t="s">
        <v>30</v>
      </c>
      <c r="H12" s="38">
        <v>0</v>
      </c>
      <c r="I12" s="38">
        <f>B12</f>
        <v>1</v>
      </c>
      <c r="J12" s="38" t="s">
        <v>31</v>
      </c>
      <c r="K12" s="38" t="s">
        <v>31</v>
      </c>
      <c r="L12" s="38" t="s">
        <v>31</v>
      </c>
      <c r="M12" s="38" t="s">
        <v>31</v>
      </c>
    </row>
    <row r="13" spans="1:17" s="38" customFormat="1" ht="12.75">
      <c r="A13" s="48" t="s">
        <v>270</v>
      </c>
      <c r="B13" s="52">
        <f>1*Q6</f>
        <v>0.01</v>
      </c>
      <c r="C13" s="38" t="s">
        <v>18</v>
      </c>
      <c r="D13" s="38" t="s">
        <v>2</v>
      </c>
      <c r="E13" s="38" t="s">
        <v>29</v>
      </c>
      <c r="F13" s="38" t="s">
        <v>273</v>
      </c>
      <c r="G13" s="38" t="s">
        <v>33</v>
      </c>
      <c r="H13" s="38">
        <v>0</v>
      </c>
      <c r="I13" s="38">
        <f t="shared" ref="I13" si="0">B13</f>
        <v>0.01</v>
      </c>
      <c r="J13" s="38" t="s">
        <v>31</v>
      </c>
      <c r="K13" s="38" t="s">
        <v>31</v>
      </c>
      <c r="L13" s="38" t="s">
        <v>31</v>
      </c>
      <c r="M13" s="38" t="s">
        <v>31</v>
      </c>
      <c r="N13" s="38" t="s">
        <v>274</v>
      </c>
    </row>
    <row r="14" spans="1:17" s="38" customFormat="1" ht="12.75">
      <c r="A14" s="48" t="s">
        <v>275</v>
      </c>
      <c r="B14" s="53">
        <f>(0)*0.846</f>
        <v>0</v>
      </c>
      <c r="C14" s="38" t="s">
        <v>37</v>
      </c>
      <c r="D14" s="38" t="s">
        <v>38</v>
      </c>
      <c r="E14" s="38" t="s">
        <v>29</v>
      </c>
      <c r="F14" s="38" t="s">
        <v>57</v>
      </c>
      <c r="G14" s="38" t="s">
        <v>33</v>
      </c>
      <c r="H14" s="38">
        <v>1</v>
      </c>
      <c r="I14" s="38">
        <v>0</v>
      </c>
      <c r="J14" s="38">
        <v>1.0523125754508578</v>
      </c>
      <c r="K14" s="38" t="s">
        <v>31</v>
      </c>
      <c r="L14" s="38" t="s">
        <v>31</v>
      </c>
      <c r="M14" s="38" t="s">
        <v>31</v>
      </c>
      <c r="N14" s="38" t="s">
        <v>276</v>
      </c>
    </row>
    <row r="15" spans="1:17" s="38" customFormat="1" ht="12.75">
      <c r="A15" s="48" t="s">
        <v>277</v>
      </c>
      <c r="B15" s="53">
        <v>1170.7317073170732</v>
      </c>
      <c r="C15" s="38" t="s">
        <v>37</v>
      </c>
      <c r="D15" s="38" t="s">
        <v>38</v>
      </c>
      <c r="E15" s="38" t="s">
        <v>29</v>
      </c>
      <c r="F15" s="38" t="s">
        <v>57</v>
      </c>
      <c r="G15" s="38" t="s">
        <v>33</v>
      </c>
      <c r="H15" s="38">
        <v>2</v>
      </c>
      <c r="I15" s="38">
        <f>LN(B15)</f>
        <v>7.0653842231857205</v>
      </c>
      <c r="J15" s="38">
        <v>1.0268106203456886</v>
      </c>
      <c r="K15" s="38" t="s">
        <v>31</v>
      </c>
      <c r="L15" s="38" t="s">
        <v>31</v>
      </c>
      <c r="M15" s="38" t="s">
        <v>31</v>
      </c>
      <c r="N15" s="38" t="s">
        <v>278</v>
      </c>
    </row>
    <row r="16" spans="1:17" s="38" customFormat="1" ht="12.75">
      <c r="A16" s="48" t="s">
        <v>211</v>
      </c>
      <c r="B16" s="53">
        <f>3495301+(1320+14842+640+4000)</f>
        <v>3516103</v>
      </c>
      <c r="C16" s="38" t="s">
        <v>81</v>
      </c>
      <c r="D16" s="38" t="s">
        <v>38</v>
      </c>
      <c r="E16" s="38" t="s">
        <v>29</v>
      </c>
      <c r="F16" s="38" t="s">
        <v>14</v>
      </c>
      <c r="G16" s="38" t="s">
        <v>33</v>
      </c>
      <c r="H16" s="38">
        <v>2</v>
      </c>
      <c r="I16" s="38">
        <f>LN(B16)</f>
        <v>15.072863832011139</v>
      </c>
      <c r="J16" s="38">
        <v>1.0523125754508578</v>
      </c>
      <c r="K16" s="38" t="s">
        <v>31</v>
      </c>
      <c r="L16" s="38" t="s">
        <v>31</v>
      </c>
      <c r="M16" s="38" t="s">
        <v>31</v>
      </c>
      <c r="N16" s="38" t="s">
        <v>279</v>
      </c>
    </row>
    <row r="17" spans="1:14" s="38" customFormat="1" ht="12.75">
      <c r="A17" s="48" t="s">
        <v>83</v>
      </c>
      <c r="B17" s="53">
        <v>315000</v>
      </c>
      <c r="C17" s="38" t="s">
        <v>48</v>
      </c>
      <c r="D17" s="38" t="s">
        <v>38</v>
      </c>
      <c r="E17" s="38" t="s">
        <v>29</v>
      </c>
      <c r="F17" s="38" t="s">
        <v>14</v>
      </c>
      <c r="G17" s="38" t="s">
        <v>33</v>
      </c>
      <c r="H17" s="38">
        <v>2</v>
      </c>
      <c r="I17" s="38">
        <f>LN(B17)</f>
        <v>12.66032791780777</v>
      </c>
      <c r="J17" s="38">
        <v>1.0523125754508578</v>
      </c>
      <c r="K17" s="38" t="s">
        <v>31</v>
      </c>
      <c r="L17" s="38" t="s">
        <v>31</v>
      </c>
      <c r="M17" s="38" t="s">
        <v>31</v>
      </c>
      <c r="N17" s="38" t="s">
        <v>280</v>
      </c>
    </row>
    <row r="18" spans="1:14" s="38" customFormat="1" ht="12.75">
      <c r="A18" s="48" t="s">
        <v>87</v>
      </c>
      <c r="B18" s="53">
        <v>31369447</v>
      </c>
      <c r="C18" s="38" t="s">
        <v>37</v>
      </c>
      <c r="D18" s="38" t="s">
        <v>38</v>
      </c>
      <c r="E18" s="38" t="s">
        <v>29</v>
      </c>
      <c r="F18" s="38" t="s">
        <v>35</v>
      </c>
      <c r="G18" s="38" t="s">
        <v>33</v>
      </c>
      <c r="H18" s="38">
        <v>2</v>
      </c>
      <c r="I18" s="38">
        <f>LN(B18)</f>
        <v>17.261344951704181</v>
      </c>
      <c r="J18" s="38">
        <v>1.0268106203456886</v>
      </c>
      <c r="K18" s="38" t="s">
        <v>31</v>
      </c>
      <c r="L18" s="38" t="s">
        <v>31</v>
      </c>
      <c r="M18" s="38" t="s">
        <v>31</v>
      </c>
      <c r="N18" s="38" t="s">
        <v>281</v>
      </c>
    </row>
    <row r="19" spans="1:14" s="38" customFormat="1" ht="12.75">
      <c r="A19" s="48" t="s">
        <v>282</v>
      </c>
      <c r="B19" s="53">
        <f>0.437*2349028</f>
        <v>1026525.236</v>
      </c>
      <c r="C19" s="38" t="s">
        <v>37</v>
      </c>
      <c r="D19" s="38" t="s">
        <v>2</v>
      </c>
      <c r="E19" s="38" t="s">
        <v>29</v>
      </c>
      <c r="F19" s="38" t="s">
        <v>35</v>
      </c>
      <c r="G19" s="38" t="s">
        <v>33</v>
      </c>
      <c r="H19" s="38">
        <v>2</v>
      </c>
      <c r="I19" s="38">
        <f t="shared" ref="I19:I20" si="1">LN(B19)</f>
        <v>13.841690099649403</v>
      </c>
      <c r="J19" s="38">
        <v>1.223608598770918</v>
      </c>
      <c r="K19" s="38" t="s">
        <v>31</v>
      </c>
      <c r="L19" s="38" t="s">
        <v>31</v>
      </c>
      <c r="M19" s="38" t="s">
        <v>31</v>
      </c>
      <c r="N19" s="38" t="s">
        <v>283</v>
      </c>
    </row>
    <row r="20" spans="1:14" s="38" customFormat="1" ht="12.75">
      <c r="A20" s="48" t="s">
        <v>284</v>
      </c>
      <c r="B20" s="53">
        <f>0.45*1170364</f>
        <v>526663.80000000005</v>
      </c>
      <c r="C20" s="38" t="s">
        <v>37</v>
      </c>
      <c r="D20" s="38" t="s">
        <v>2</v>
      </c>
      <c r="E20" s="38" t="s">
        <v>29</v>
      </c>
      <c r="F20" s="38" t="s">
        <v>35</v>
      </c>
      <c r="G20" s="38" t="s">
        <v>33</v>
      </c>
      <c r="H20" s="38">
        <v>2</v>
      </c>
      <c r="I20" s="38">
        <f t="shared" si="1"/>
        <v>13.174317673282252</v>
      </c>
      <c r="J20" s="38">
        <v>1.223608598770918</v>
      </c>
      <c r="K20" s="38" t="s">
        <v>31</v>
      </c>
      <c r="L20" s="38" t="s">
        <v>31</v>
      </c>
      <c r="M20" s="38" t="s">
        <v>31</v>
      </c>
      <c r="N20" s="38" t="s">
        <v>285</v>
      </c>
    </row>
    <row r="21" spans="1:14" s="38" customFormat="1" ht="12.75">
      <c r="A21" s="48" t="s">
        <v>286</v>
      </c>
      <c r="B21" s="52">
        <f>1*Q7</f>
        <v>0.01</v>
      </c>
      <c r="C21" s="38" t="s">
        <v>18</v>
      </c>
      <c r="D21" s="38" t="s">
        <v>2</v>
      </c>
      <c r="E21" s="38" t="s">
        <v>29</v>
      </c>
      <c r="F21" s="38" t="s">
        <v>35</v>
      </c>
      <c r="G21" s="38" t="s">
        <v>33</v>
      </c>
      <c r="H21" s="38">
        <v>0</v>
      </c>
      <c r="I21" s="38">
        <f t="shared" ref="I21" si="2">B21</f>
        <v>0.01</v>
      </c>
      <c r="J21" s="38" t="s">
        <v>31</v>
      </c>
      <c r="K21" s="38" t="s">
        <v>31</v>
      </c>
      <c r="L21" s="38" t="s">
        <v>31</v>
      </c>
      <c r="M21" s="38" t="s">
        <v>31</v>
      </c>
      <c r="N21" s="38" t="s">
        <v>287</v>
      </c>
    </row>
    <row r="22" spans="1:14" ht="15.75">
      <c r="A22" s="39" t="s">
        <v>5</v>
      </c>
      <c r="B22" s="39" t="s">
        <v>282</v>
      </c>
      <c r="C22" s="40"/>
      <c r="D22" s="41"/>
      <c r="E22" s="41"/>
      <c r="F22" s="41"/>
      <c r="G22" s="41"/>
      <c r="H22" s="41"/>
      <c r="I22" s="41"/>
      <c r="J22" s="41"/>
      <c r="K22" s="41"/>
      <c r="L22" s="41"/>
      <c r="M22" s="41"/>
      <c r="N22" s="41"/>
    </row>
    <row r="23" spans="1:14" s="38" customFormat="1" ht="12.75">
      <c r="A23" s="38" t="s">
        <v>7</v>
      </c>
      <c r="B23" s="38" t="s">
        <v>263</v>
      </c>
    </row>
    <row r="24" spans="1:14" s="38" customFormat="1" ht="12.75">
      <c r="A24" s="38" t="s">
        <v>9</v>
      </c>
      <c r="B24" s="38" t="s">
        <v>288</v>
      </c>
    </row>
    <row r="25" spans="1:14" s="38" customFormat="1" ht="12.75">
      <c r="A25" s="38" t="s">
        <v>11</v>
      </c>
      <c r="B25" s="38" t="s">
        <v>289</v>
      </c>
    </row>
    <row r="26" spans="1:14" s="38" customFormat="1" ht="12.75">
      <c r="A26" s="38" t="s">
        <v>13</v>
      </c>
      <c r="B26" s="38" t="s">
        <v>35</v>
      </c>
    </row>
    <row r="27" spans="1:14" s="38" customFormat="1" ht="12.75">
      <c r="A27" s="38" t="s">
        <v>15</v>
      </c>
      <c r="B27" s="48">
        <v>1</v>
      </c>
    </row>
    <row r="28" spans="1:14" s="38" customFormat="1" ht="12.75">
      <c r="A28" s="38" t="s">
        <v>16</v>
      </c>
      <c r="B28" s="38" t="s">
        <v>17</v>
      </c>
    </row>
    <row r="29" spans="1:14" s="38" customFormat="1" ht="12.75">
      <c r="A29" s="38" t="s">
        <v>18</v>
      </c>
      <c r="B29" s="38" t="s">
        <v>37</v>
      </c>
    </row>
    <row r="30" spans="1:14" ht="15.75">
      <c r="A30" s="37" t="s">
        <v>19</v>
      </c>
    </row>
    <row r="31" spans="1:14" ht="15.75">
      <c r="A31" s="37" t="s">
        <v>20</v>
      </c>
      <c r="B31" s="37" t="s">
        <v>21</v>
      </c>
      <c r="C31" s="37" t="s">
        <v>18</v>
      </c>
      <c r="D31" s="37" t="s">
        <v>22</v>
      </c>
      <c r="E31" s="37" t="s">
        <v>7</v>
      </c>
      <c r="F31" s="37" t="s">
        <v>13</v>
      </c>
      <c r="G31" s="37" t="s">
        <v>16</v>
      </c>
      <c r="H31" s="37" t="s">
        <v>23</v>
      </c>
      <c r="I31" s="37" t="s">
        <v>24</v>
      </c>
      <c r="J31" s="37" t="s">
        <v>25</v>
      </c>
      <c r="K31" s="37" t="s">
        <v>26</v>
      </c>
      <c r="L31" s="37" t="s">
        <v>27</v>
      </c>
      <c r="M31" s="37" t="s">
        <v>28</v>
      </c>
      <c r="N31" s="37" t="s">
        <v>272</v>
      </c>
    </row>
    <row r="32" spans="1:14" s="38" customFormat="1" ht="12.75">
      <c r="A32" s="38" t="str">
        <f>B22</f>
        <v>solid waste from terminals</v>
      </c>
      <c r="B32" s="38">
        <f>B27</f>
        <v>1</v>
      </c>
      <c r="C32" s="38" t="str">
        <f>B29</f>
        <v>kilogram</v>
      </c>
      <c r="D32" s="38" t="s">
        <v>2</v>
      </c>
      <c r="E32" s="38" t="s">
        <v>29</v>
      </c>
      <c r="F32" s="38" t="str">
        <f>B26</f>
        <v>RER</v>
      </c>
      <c r="G32" s="38" t="s">
        <v>30</v>
      </c>
      <c r="H32" s="38">
        <v>0</v>
      </c>
      <c r="I32" s="38">
        <f>B32</f>
        <v>1</v>
      </c>
      <c r="J32" s="38" t="s">
        <v>31</v>
      </c>
      <c r="K32" s="38" t="s">
        <v>31</v>
      </c>
      <c r="L32" s="38" t="s">
        <v>31</v>
      </c>
      <c r="M32" s="38" t="s">
        <v>31</v>
      </c>
    </row>
    <row r="33" spans="1:14" s="38" customFormat="1" ht="12.75">
      <c r="A33" s="38" t="s">
        <v>290</v>
      </c>
      <c r="B33" s="53">
        <v>-1</v>
      </c>
      <c r="C33" s="38" t="s">
        <v>37</v>
      </c>
      <c r="D33" s="38" t="s">
        <v>38</v>
      </c>
      <c r="E33" s="38" t="s">
        <v>29</v>
      </c>
      <c r="F33" s="38" t="s">
        <v>35</v>
      </c>
      <c r="G33" s="38" t="s">
        <v>33</v>
      </c>
      <c r="H33" s="38">
        <v>0</v>
      </c>
      <c r="I33" s="53">
        <f>B33</f>
        <v>-1</v>
      </c>
      <c r="J33" s="38" t="s">
        <v>31</v>
      </c>
      <c r="K33" s="38" t="s">
        <v>31</v>
      </c>
      <c r="L33" s="38" t="s">
        <v>31</v>
      </c>
      <c r="M33" s="38" t="s">
        <v>31</v>
      </c>
      <c r="N33" s="38" t="s">
        <v>291</v>
      </c>
    </row>
    <row r="34" spans="1:14" ht="15.75">
      <c r="A34" s="39" t="s">
        <v>5</v>
      </c>
      <c r="B34" s="39" t="s">
        <v>284</v>
      </c>
      <c r="C34" s="40"/>
      <c r="D34" s="41"/>
      <c r="E34" s="41"/>
      <c r="F34" s="41"/>
      <c r="G34" s="41"/>
      <c r="H34" s="41"/>
      <c r="I34" s="41"/>
      <c r="J34" s="41"/>
      <c r="K34" s="41"/>
      <c r="L34" s="41"/>
      <c r="M34" s="41"/>
      <c r="N34" s="41"/>
    </row>
    <row r="35" spans="1:14" s="38" customFormat="1" ht="12.75">
      <c r="A35" s="38" t="s">
        <v>7</v>
      </c>
      <c r="B35" s="38" t="s">
        <v>263</v>
      </c>
    </row>
    <row r="36" spans="1:14" s="38" customFormat="1" ht="12.75">
      <c r="A36" s="38" t="s">
        <v>9</v>
      </c>
      <c r="B36" s="38" t="s">
        <v>292</v>
      </c>
    </row>
    <row r="37" spans="1:14" s="38" customFormat="1" ht="12.75">
      <c r="A37" s="38" t="s">
        <v>11</v>
      </c>
      <c r="B37" s="38" t="s">
        <v>293</v>
      </c>
    </row>
    <row r="38" spans="1:14" s="38" customFormat="1" ht="12.75">
      <c r="A38" s="38" t="s">
        <v>13</v>
      </c>
      <c r="B38" s="38" t="s">
        <v>35</v>
      </c>
    </row>
    <row r="39" spans="1:14" s="38" customFormat="1" ht="12.75">
      <c r="A39" s="38" t="s">
        <v>15</v>
      </c>
      <c r="B39" s="48">
        <v>1</v>
      </c>
    </row>
    <row r="40" spans="1:14" s="38" customFormat="1" ht="12.75">
      <c r="A40" s="38" t="s">
        <v>16</v>
      </c>
      <c r="B40" s="38" t="s">
        <v>17</v>
      </c>
    </row>
    <row r="41" spans="1:14" s="38" customFormat="1" ht="12.75">
      <c r="A41" s="38" t="s">
        <v>18</v>
      </c>
      <c r="B41" s="38" t="s">
        <v>37</v>
      </c>
    </row>
    <row r="42" spans="1:14" ht="15.75">
      <c r="A42" s="37" t="s">
        <v>19</v>
      </c>
    </row>
    <row r="43" spans="1:14" ht="15.75">
      <c r="A43" s="37" t="s">
        <v>20</v>
      </c>
      <c r="B43" s="37" t="s">
        <v>21</v>
      </c>
      <c r="C43" s="37" t="s">
        <v>18</v>
      </c>
      <c r="D43" s="37" t="s">
        <v>22</v>
      </c>
      <c r="E43" s="37" t="s">
        <v>7</v>
      </c>
      <c r="F43" s="37" t="s">
        <v>13</v>
      </c>
      <c r="G43" s="37" t="s">
        <v>16</v>
      </c>
      <c r="H43" s="37" t="s">
        <v>23</v>
      </c>
      <c r="I43" s="37" t="s">
        <v>24</v>
      </c>
      <c r="J43" s="37" t="s">
        <v>25</v>
      </c>
      <c r="K43" s="37" t="s">
        <v>26</v>
      </c>
      <c r="L43" s="37" t="s">
        <v>27</v>
      </c>
      <c r="M43" s="37" t="s">
        <v>28</v>
      </c>
      <c r="N43" s="37" t="s">
        <v>272</v>
      </c>
    </row>
    <row r="44" spans="1:14" s="38" customFormat="1" ht="12.75">
      <c r="A44" s="38" t="str">
        <f>B34</f>
        <v>solid waste from planes</v>
      </c>
      <c r="B44" s="38">
        <f>B39</f>
        <v>1</v>
      </c>
      <c r="C44" s="38" t="str">
        <f>B41</f>
        <v>kilogram</v>
      </c>
      <c r="D44" s="38" t="s">
        <v>2</v>
      </c>
      <c r="E44" s="38" t="s">
        <v>29</v>
      </c>
      <c r="F44" s="38" t="str">
        <f>B38</f>
        <v>RER</v>
      </c>
      <c r="G44" s="38" t="s">
        <v>30</v>
      </c>
      <c r="H44" s="38">
        <v>0</v>
      </c>
      <c r="I44" s="38">
        <f>B44</f>
        <v>1</v>
      </c>
      <c r="J44" s="38" t="s">
        <v>31</v>
      </c>
      <c r="K44" s="38" t="s">
        <v>31</v>
      </c>
      <c r="L44" s="38" t="s">
        <v>31</v>
      </c>
      <c r="M44" s="38" t="s">
        <v>31</v>
      </c>
    </row>
    <row r="45" spans="1:14" s="38" customFormat="1" ht="12.75">
      <c r="A45" s="38" t="s">
        <v>290</v>
      </c>
      <c r="B45" s="53">
        <v>-1</v>
      </c>
      <c r="C45" s="38" t="s">
        <v>37</v>
      </c>
      <c r="D45" s="38" t="s">
        <v>38</v>
      </c>
      <c r="E45" s="38" t="s">
        <v>29</v>
      </c>
      <c r="F45" s="38" t="s">
        <v>35</v>
      </c>
      <c r="G45" s="38" t="s">
        <v>33</v>
      </c>
      <c r="H45" s="38">
        <v>0</v>
      </c>
      <c r="I45" s="38">
        <f t="shared" ref="I45" si="3">B45</f>
        <v>-1</v>
      </c>
      <c r="J45" s="38" t="s">
        <v>31</v>
      </c>
      <c r="K45" s="38" t="s">
        <v>31</v>
      </c>
      <c r="L45" s="38" t="s">
        <v>31</v>
      </c>
      <c r="M45" s="38" t="s">
        <v>31</v>
      </c>
      <c r="N45" s="38" t="s">
        <v>294</v>
      </c>
    </row>
    <row r="46" spans="1:14">
      <c r="A46" s="41"/>
      <c r="B46" s="41"/>
      <c r="C46" s="41"/>
      <c r="D46" s="41"/>
      <c r="E46" s="41"/>
      <c r="F46" s="41"/>
      <c r="G46" s="41"/>
      <c r="H46" s="41"/>
      <c r="I46" s="41"/>
      <c r="J46" s="41"/>
      <c r="K46" s="41"/>
      <c r="L46" s="41"/>
      <c r="M46" s="41"/>
      <c r="N46" s="41"/>
    </row>
    <row r="47" spans="1:14">
      <c r="A47" s="48"/>
    </row>
    <row r="48" spans="1:14">
      <c r="A48" s="48"/>
    </row>
  </sheetData>
  <mergeCells count="1">
    <mergeCell ref="O3:Q3"/>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F14A-D3A6-4429-BE5B-B963FCAC0FEF}">
  <dimension ref="A1:P201"/>
  <sheetViews>
    <sheetView workbookViewId="0">
      <selection activeCell="D13" sqref="D13"/>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7.42578125" style="35" customWidth="1"/>
    <col min="16" max="16384" width="8.85546875" style="35"/>
  </cols>
  <sheetData>
    <row r="1" spans="1:16">
      <c r="A1" s="35" t="s">
        <v>0</v>
      </c>
      <c r="B1" s="35">
        <v>13</v>
      </c>
      <c r="C1" s="36"/>
    </row>
    <row r="2" spans="1:16" ht="15.75">
      <c r="A2" s="39" t="s">
        <v>5</v>
      </c>
      <c r="B2" s="39" t="s">
        <v>270</v>
      </c>
      <c r="C2" s="40"/>
      <c r="D2" s="41"/>
      <c r="E2" s="41"/>
      <c r="F2" s="41"/>
      <c r="G2" s="41"/>
      <c r="H2" s="41"/>
      <c r="I2" s="41"/>
      <c r="J2" s="41"/>
      <c r="K2" s="41"/>
      <c r="L2" s="41"/>
      <c r="M2" s="41"/>
      <c r="N2" s="41"/>
    </row>
    <row r="3" spans="1:16" s="38" customFormat="1" ht="12.75">
      <c r="A3" s="38" t="s">
        <v>7</v>
      </c>
      <c r="B3" s="38" t="s">
        <v>263</v>
      </c>
      <c r="O3" s="143" t="s">
        <v>264</v>
      </c>
      <c r="P3" s="145"/>
    </row>
    <row r="4" spans="1:16" s="38" customFormat="1" ht="12.75">
      <c r="A4" s="38" t="s">
        <v>9</v>
      </c>
      <c r="B4" s="38" t="s">
        <v>295</v>
      </c>
      <c r="O4" s="42" t="s">
        <v>266</v>
      </c>
      <c r="P4" s="44" t="s">
        <v>267</v>
      </c>
    </row>
    <row r="5" spans="1:16" s="38" customFormat="1" ht="12.75">
      <c r="A5" s="38" t="s">
        <v>11</v>
      </c>
      <c r="B5" s="38" t="s">
        <v>296</v>
      </c>
      <c r="O5" s="45" t="s">
        <v>297</v>
      </c>
      <c r="P5" s="54">
        <v>100</v>
      </c>
    </row>
    <row r="6" spans="1:16" s="38" customFormat="1" ht="12.75">
      <c r="A6" s="38" t="s">
        <v>13</v>
      </c>
      <c r="B6" s="38" t="s">
        <v>273</v>
      </c>
      <c r="O6" s="49" t="s">
        <v>298</v>
      </c>
      <c r="P6" s="55">
        <v>33.33</v>
      </c>
    </row>
    <row r="7" spans="1:16" s="38" customFormat="1" ht="12.75">
      <c r="A7" s="38" t="s">
        <v>15</v>
      </c>
      <c r="B7" s="48">
        <v>1</v>
      </c>
      <c r="O7" s="56" t="s">
        <v>268</v>
      </c>
      <c r="P7" s="55">
        <f>P5/P6</f>
        <v>3.0003000300030003</v>
      </c>
    </row>
    <row r="8" spans="1:16" s="38" customFormat="1" ht="12.75">
      <c r="A8" s="38" t="s">
        <v>16</v>
      </c>
      <c r="B8" s="38" t="s">
        <v>17</v>
      </c>
    </row>
    <row r="9" spans="1:16" s="38" customFormat="1" ht="12.75">
      <c r="A9" s="38" t="s">
        <v>18</v>
      </c>
      <c r="B9" s="38" t="s">
        <v>18</v>
      </c>
    </row>
    <row r="10" spans="1:16" ht="15.75">
      <c r="A10" s="37" t="s">
        <v>19</v>
      </c>
    </row>
    <row r="11" spans="1:16"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6" s="38" customFormat="1" ht="12.75">
      <c r="A12" s="38" t="str">
        <f>B2</f>
        <v>airport construction</v>
      </c>
      <c r="B12" s="38">
        <f>B7</f>
        <v>1</v>
      </c>
      <c r="C12" s="38" t="str">
        <f>B9</f>
        <v>unit</v>
      </c>
      <c r="D12" s="38" t="s">
        <v>2</v>
      </c>
      <c r="E12" s="38" t="s">
        <v>29</v>
      </c>
      <c r="F12" s="38" t="str">
        <f>B6</f>
        <v>NL</v>
      </c>
      <c r="G12" s="38" t="s">
        <v>30</v>
      </c>
      <c r="H12" s="38">
        <v>0</v>
      </c>
      <c r="I12" s="38">
        <f>B12</f>
        <v>1</v>
      </c>
    </row>
    <row r="13" spans="1:16" s="38" customFormat="1" ht="12.75">
      <c r="A13" s="48" t="s">
        <v>299</v>
      </c>
      <c r="B13" s="53">
        <v>1</v>
      </c>
      <c r="C13" s="38" t="s">
        <v>18</v>
      </c>
      <c r="D13" s="38" t="s">
        <v>2</v>
      </c>
      <c r="E13" s="38" t="s">
        <v>29</v>
      </c>
      <c r="F13" s="38" t="s">
        <v>35</v>
      </c>
      <c r="G13" s="38" t="s">
        <v>33</v>
      </c>
      <c r="H13" s="38">
        <v>0</v>
      </c>
      <c r="I13" s="38">
        <f t="shared" ref="I13:I14" si="0">B13</f>
        <v>1</v>
      </c>
      <c r="J13" s="38" t="s">
        <v>31</v>
      </c>
      <c r="K13" s="38" t="s">
        <v>31</v>
      </c>
      <c r="L13" s="38" t="s">
        <v>31</v>
      </c>
      <c r="M13" s="38" t="s">
        <v>31</v>
      </c>
      <c r="N13" s="38" t="s">
        <v>300</v>
      </c>
    </row>
    <row r="14" spans="1:16" s="38" customFormat="1" ht="12.75">
      <c r="A14" s="48" t="s">
        <v>301</v>
      </c>
      <c r="B14" s="53">
        <v>1</v>
      </c>
      <c r="C14" s="38" t="s">
        <v>18</v>
      </c>
      <c r="D14" s="38" t="s">
        <v>2</v>
      </c>
      <c r="E14" s="38" t="s">
        <v>29</v>
      </c>
      <c r="F14" s="38" t="s">
        <v>35</v>
      </c>
      <c r="G14" s="38" t="s">
        <v>33</v>
      </c>
      <c r="H14" s="38">
        <v>0</v>
      </c>
      <c r="I14" s="38">
        <f t="shared" si="0"/>
        <v>1</v>
      </c>
      <c r="J14" s="38" t="s">
        <v>31</v>
      </c>
      <c r="K14" s="38" t="s">
        <v>31</v>
      </c>
      <c r="L14" s="38" t="s">
        <v>31</v>
      </c>
      <c r="M14" s="38" t="s">
        <v>31</v>
      </c>
      <c r="N14" s="38" t="s">
        <v>302</v>
      </c>
    </row>
    <row r="15" spans="1:16" ht="15.75">
      <c r="A15" s="39" t="s">
        <v>5</v>
      </c>
      <c r="B15" s="39" t="s">
        <v>299</v>
      </c>
      <c r="C15" s="40"/>
      <c r="D15" s="41"/>
      <c r="E15" s="41"/>
      <c r="F15" s="41"/>
      <c r="G15" s="41"/>
      <c r="H15" s="41"/>
      <c r="I15" s="41"/>
      <c r="J15" s="41"/>
      <c r="K15" s="41"/>
      <c r="L15" s="41"/>
      <c r="M15" s="41"/>
      <c r="N15" s="41"/>
    </row>
    <row r="16" spans="1:16" s="38" customFormat="1" ht="12.75">
      <c r="A16" s="38" t="s">
        <v>7</v>
      </c>
      <c r="B16" s="38" t="s">
        <v>263</v>
      </c>
    </row>
    <row r="17" spans="1:14" s="38" customFormat="1" ht="12.75">
      <c r="A17" s="38" t="s">
        <v>9</v>
      </c>
      <c r="B17" s="38" t="s">
        <v>303</v>
      </c>
    </row>
    <row r="18" spans="1:14" s="38" customFormat="1" ht="12.75">
      <c r="A18" s="38" t="s">
        <v>11</v>
      </c>
      <c r="B18" s="38" t="s">
        <v>304</v>
      </c>
    </row>
    <row r="19" spans="1:14" s="38" customFormat="1" ht="12.75">
      <c r="A19" s="38" t="s">
        <v>13</v>
      </c>
      <c r="B19" s="38" t="s">
        <v>35</v>
      </c>
    </row>
    <row r="20" spans="1:14" s="38" customFormat="1" ht="12.75">
      <c r="A20" s="38" t="s">
        <v>15</v>
      </c>
      <c r="B20" s="48">
        <v>1</v>
      </c>
    </row>
    <row r="21" spans="1:14" s="38" customFormat="1" ht="12.75">
      <c r="A21" s="38" t="s">
        <v>16</v>
      </c>
      <c r="B21" s="38" t="s">
        <v>17</v>
      </c>
    </row>
    <row r="22" spans="1:14" s="38" customFormat="1" ht="12.75">
      <c r="A22" s="38" t="s">
        <v>18</v>
      </c>
      <c r="B22" s="38" t="s">
        <v>18</v>
      </c>
    </row>
    <row r="23" spans="1:14" ht="15.75">
      <c r="A23" s="37" t="s">
        <v>19</v>
      </c>
    </row>
    <row r="24" spans="1:14" ht="15.75">
      <c r="A24" s="37" t="s">
        <v>20</v>
      </c>
      <c r="B24" s="37" t="s">
        <v>21</v>
      </c>
      <c r="C24" s="37" t="s">
        <v>18</v>
      </c>
      <c r="D24" s="37" t="s">
        <v>22</v>
      </c>
      <c r="E24" s="37" t="s">
        <v>7</v>
      </c>
      <c r="F24" s="37" t="s">
        <v>13</v>
      </c>
      <c r="G24" s="37" t="s">
        <v>16</v>
      </c>
      <c r="H24" s="37" t="s">
        <v>23</v>
      </c>
      <c r="I24" s="37" t="s">
        <v>24</v>
      </c>
      <c r="J24" s="37" t="s">
        <v>25</v>
      </c>
      <c r="K24" s="37" t="s">
        <v>26</v>
      </c>
      <c r="L24" s="37" t="s">
        <v>27</v>
      </c>
      <c r="M24" s="37" t="s">
        <v>28</v>
      </c>
      <c r="N24" s="37" t="s">
        <v>272</v>
      </c>
    </row>
    <row r="25" spans="1:14" s="38" customFormat="1" ht="12.75">
      <c r="A25" s="38" t="str">
        <f>B15</f>
        <v>landside construction</v>
      </c>
      <c r="B25" s="38">
        <f>B20</f>
        <v>1</v>
      </c>
      <c r="C25" s="38" t="str">
        <f>B22</f>
        <v>unit</v>
      </c>
      <c r="D25" s="38" t="s">
        <v>2</v>
      </c>
      <c r="E25" s="38" t="s">
        <v>29</v>
      </c>
      <c r="F25" s="38" t="str">
        <f>B19</f>
        <v>RER</v>
      </c>
      <c r="G25" s="38" t="s">
        <v>30</v>
      </c>
      <c r="H25" s="38">
        <v>0</v>
      </c>
      <c r="I25" s="38">
        <f>B25</f>
        <v>1</v>
      </c>
      <c r="J25" s="38" t="s">
        <v>31</v>
      </c>
      <c r="K25" s="38" t="s">
        <v>31</v>
      </c>
      <c r="L25" s="38" t="s">
        <v>31</v>
      </c>
      <c r="M25" s="38" t="s">
        <v>31</v>
      </c>
    </row>
    <row r="26" spans="1:14" s="38" customFormat="1" ht="12.75">
      <c r="A26" s="48" t="s">
        <v>305</v>
      </c>
      <c r="B26" s="53">
        <v>1</v>
      </c>
      <c r="C26" s="38" t="s">
        <v>18</v>
      </c>
      <c r="D26" s="38" t="s">
        <v>2</v>
      </c>
      <c r="E26" s="38" t="s">
        <v>29</v>
      </c>
      <c r="F26" s="38" t="s">
        <v>35</v>
      </c>
      <c r="G26" s="38" t="s">
        <v>33</v>
      </c>
      <c r="H26" s="38">
        <v>0</v>
      </c>
      <c r="I26" s="38">
        <f>B26</f>
        <v>1</v>
      </c>
      <c r="J26" s="38" t="s">
        <v>31</v>
      </c>
      <c r="K26" s="38" t="s">
        <v>31</v>
      </c>
      <c r="L26" s="38" t="s">
        <v>31</v>
      </c>
      <c r="M26" s="38" t="s">
        <v>31</v>
      </c>
      <c r="N26" s="38" t="s">
        <v>306</v>
      </c>
    </row>
    <row r="27" spans="1:14" s="38" customFormat="1" ht="12.75">
      <c r="A27" s="48" t="s">
        <v>307</v>
      </c>
      <c r="B27" s="53">
        <v>1</v>
      </c>
      <c r="C27" s="38" t="s">
        <v>18</v>
      </c>
      <c r="D27" s="38" t="s">
        <v>2</v>
      </c>
      <c r="E27" s="38" t="s">
        <v>29</v>
      </c>
      <c r="F27" s="38" t="s">
        <v>35</v>
      </c>
      <c r="G27" s="38" t="s">
        <v>33</v>
      </c>
      <c r="H27" s="38">
        <v>0</v>
      </c>
      <c r="I27" s="38">
        <f>B27</f>
        <v>1</v>
      </c>
      <c r="J27" s="38" t="s">
        <v>31</v>
      </c>
      <c r="K27" s="38" t="s">
        <v>31</v>
      </c>
      <c r="L27" s="38" t="s">
        <v>31</v>
      </c>
      <c r="M27" s="38" t="s">
        <v>31</v>
      </c>
      <c r="N27" s="38" t="s">
        <v>308</v>
      </c>
    </row>
    <row r="28" spans="1:14" s="38" customFormat="1" ht="12.75">
      <c r="A28" s="48" t="s">
        <v>309</v>
      </c>
      <c r="B28" s="53">
        <v>1</v>
      </c>
      <c r="C28" s="38" t="s">
        <v>18</v>
      </c>
      <c r="D28" s="38" t="s">
        <v>2</v>
      </c>
      <c r="E28" s="38" t="s">
        <v>29</v>
      </c>
      <c r="F28" s="38" t="s">
        <v>35</v>
      </c>
      <c r="G28" s="38" t="s">
        <v>33</v>
      </c>
      <c r="H28" s="38">
        <v>0</v>
      </c>
      <c r="I28" s="38">
        <f>B28</f>
        <v>1</v>
      </c>
      <c r="J28" s="38" t="s">
        <v>31</v>
      </c>
      <c r="K28" s="38" t="s">
        <v>31</v>
      </c>
      <c r="L28" s="38" t="s">
        <v>31</v>
      </c>
      <c r="M28" s="38" t="s">
        <v>31</v>
      </c>
      <c r="N28" s="38" t="s">
        <v>302</v>
      </c>
    </row>
    <row r="29" spans="1:14" ht="15.75">
      <c r="A29" s="39" t="s">
        <v>5</v>
      </c>
      <c r="B29" s="39" t="s">
        <v>305</v>
      </c>
      <c r="C29" s="40"/>
      <c r="D29" s="41"/>
      <c r="E29" s="41"/>
      <c r="F29" s="41"/>
      <c r="G29" s="41"/>
      <c r="H29" s="41"/>
      <c r="I29" s="41"/>
      <c r="J29" s="41"/>
      <c r="K29" s="41"/>
      <c r="L29" s="41"/>
      <c r="M29" s="41"/>
      <c r="N29" s="41"/>
    </row>
    <row r="30" spans="1:14" s="38" customFormat="1" ht="12.75">
      <c r="A30" s="38" t="s">
        <v>7</v>
      </c>
      <c r="B30" s="38" t="s">
        <v>263</v>
      </c>
    </row>
    <row r="31" spans="1:14" s="38" customFormat="1" ht="12.75">
      <c r="A31" s="38" t="s">
        <v>9</v>
      </c>
      <c r="B31" s="38" t="s">
        <v>310</v>
      </c>
    </row>
    <row r="32" spans="1:14" s="38" customFormat="1" ht="12.75">
      <c r="A32" s="38" t="s">
        <v>11</v>
      </c>
      <c r="B32" s="38" t="s">
        <v>311</v>
      </c>
    </row>
    <row r="33" spans="1:14" s="38" customFormat="1" ht="12.75">
      <c r="A33" s="38" t="s">
        <v>13</v>
      </c>
      <c r="B33" s="38" t="s">
        <v>35</v>
      </c>
    </row>
    <row r="34" spans="1:14" s="38" customFormat="1" ht="12.75">
      <c r="A34" s="38" t="s">
        <v>15</v>
      </c>
      <c r="B34" s="48">
        <v>1</v>
      </c>
    </row>
    <row r="35" spans="1:14" s="38" customFormat="1" ht="12.75">
      <c r="A35" s="38" t="s">
        <v>16</v>
      </c>
      <c r="B35" s="38" t="s">
        <v>17</v>
      </c>
    </row>
    <row r="36" spans="1:14" s="38" customFormat="1" ht="12.75">
      <c r="A36" s="38" t="s">
        <v>18</v>
      </c>
      <c r="B36" s="38" t="s">
        <v>18</v>
      </c>
    </row>
    <row r="37" spans="1:14" ht="15.75">
      <c r="A37" s="37" t="s">
        <v>19</v>
      </c>
    </row>
    <row r="38" spans="1:14"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272</v>
      </c>
    </row>
    <row r="39" spans="1:14" s="38" customFormat="1" ht="12.75">
      <c r="A39" s="38" t="str">
        <f>B29</f>
        <v>landside building construction</v>
      </c>
      <c r="B39" s="38">
        <f>B34</f>
        <v>1</v>
      </c>
      <c r="C39" s="38" t="str">
        <f>B36</f>
        <v>unit</v>
      </c>
      <c r="D39" s="38" t="s">
        <v>2</v>
      </c>
      <c r="E39" s="38" t="s">
        <v>29</v>
      </c>
      <c r="F39" s="38" t="str">
        <f>B33</f>
        <v>RER</v>
      </c>
      <c r="G39" s="38" t="s">
        <v>30</v>
      </c>
      <c r="H39" s="38">
        <v>0</v>
      </c>
      <c r="I39" s="38">
        <f>B39</f>
        <v>1</v>
      </c>
      <c r="J39" s="38" t="s">
        <v>31</v>
      </c>
      <c r="K39" s="38" t="s">
        <v>31</v>
      </c>
      <c r="L39" s="38" t="s">
        <v>31</v>
      </c>
      <c r="M39" s="38" t="s">
        <v>31</v>
      </c>
    </row>
    <row r="40" spans="1:14" s="38" customFormat="1" ht="12.75">
      <c r="A40" s="38" t="s">
        <v>312</v>
      </c>
      <c r="B40" s="38">
        <v>49625</v>
      </c>
      <c r="C40" s="38" t="s">
        <v>313</v>
      </c>
      <c r="D40" s="38" t="s">
        <v>41</v>
      </c>
      <c r="E40" s="38" t="s">
        <v>314</v>
      </c>
      <c r="F40" s="38" t="s">
        <v>29</v>
      </c>
      <c r="G40" s="38" t="s">
        <v>43</v>
      </c>
      <c r="H40" s="38">
        <v>0</v>
      </c>
      <c r="I40" s="38">
        <f>B40</f>
        <v>49625</v>
      </c>
      <c r="J40" s="38" t="s">
        <v>31</v>
      </c>
      <c r="K40" s="38" t="s">
        <v>31</v>
      </c>
      <c r="L40" s="38" t="s">
        <v>31</v>
      </c>
      <c r="M40" s="38" t="s">
        <v>31</v>
      </c>
      <c r="N40" s="38" t="s">
        <v>315</v>
      </c>
    </row>
    <row r="41" spans="1:14" s="38" customFormat="1" ht="12.75">
      <c r="A41" s="38" t="s">
        <v>316</v>
      </c>
      <c r="B41" s="38">
        <f>100*B40</f>
        <v>4962500</v>
      </c>
      <c r="C41" s="38" t="s">
        <v>317</v>
      </c>
      <c r="D41" s="38" t="s">
        <v>41</v>
      </c>
      <c r="E41" s="38" t="s">
        <v>314</v>
      </c>
      <c r="F41" s="38" t="s">
        <v>29</v>
      </c>
      <c r="G41" s="38" t="s">
        <v>43</v>
      </c>
      <c r="H41" s="38">
        <v>0</v>
      </c>
      <c r="I41" s="38">
        <f>B41</f>
        <v>4962500</v>
      </c>
      <c r="J41" s="38" t="s">
        <v>31</v>
      </c>
      <c r="K41" s="38" t="s">
        <v>31</v>
      </c>
      <c r="L41" s="38" t="s">
        <v>31</v>
      </c>
      <c r="M41" s="38" t="s">
        <v>31</v>
      </c>
      <c r="N41" s="38" t="s">
        <v>318</v>
      </c>
    </row>
    <row r="42" spans="1:14" s="38" customFormat="1" ht="12.75">
      <c r="A42" s="48" t="s">
        <v>319</v>
      </c>
      <c r="B42" s="53">
        <f>B40*0.7</f>
        <v>34737.5</v>
      </c>
      <c r="C42" s="38" t="s">
        <v>313</v>
      </c>
      <c r="D42" s="38" t="s">
        <v>38</v>
      </c>
      <c r="E42" s="38" t="s">
        <v>29</v>
      </c>
      <c r="F42" s="38" t="s">
        <v>57</v>
      </c>
      <c r="G42" s="38" t="s">
        <v>33</v>
      </c>
      <c r="H42" s="38">
        <v>0</v>
      </c>
      <c r="I42" s="38">
        <f t="shared" ref="I42:I43" si="1">B42</f>
        <v>34737.5</v>
      </c>
      <c r="J42" s="38" t="s">
        <v>31</v>
      </c>
      <c r="K42" s="38" t="s">
        <v>31</v>
      </c>
      <c r="L42" s="38" t="s">
        <v>31</v>
      </c>
      <c r="M42" s="38" t="s">
        <v>31</v>
      </c>
      <c r="N42" s="38" t="s">
        <v>320</v>
      </c>
    </row>
    <row r="43" spans="1:14" s="38" customFormat="1" ht="12.75">
      <c r="A43" s="57" t="s">
        <v>321</v>
      </c>
      <c r="B43" s="53">
        <f>B40*0.3*5*2.5*P7</f>
        <v>558337.0837083708</v>
      </c>
      <c r="C43" s="38" t="s">
        <v>48</v>
      </c>
      <c r="D43" s="38" t="s">
        <v>38</v>
      </c>
      <c r="E43" s="38" t="s">
        <v>29</v>
      </c>
      <c r="F43" s="38" t="s">
        <v>57</v>
      </c>
      <c r="G43" s="38" t="s">
        <v>33</v>
      </c>
      <c r="H43" s="38">
        <v>0</v>
      </c>
      <c r="I43" s="38">
        <f t="shared" si="1"/>
        <v>558337.0837083708</v>
      </c>
      <c r="J43" s="38" t="s">
        <v>31</v>
      </c>
      <c r="K43" s="38" t="s">
        <v>31</v>
      </c>
      <c r="L43" s="38" t="s">
        <v>31</v>
      </c>
      <c r="M43" s="38" t="s">
        <v>31</v>
      </c>
      <c r="N43" s="38" t="s">
        <v>322</v>
      </c>
    </row>
    <row r="44" spans="1:14" ht="15.75">
      <c r="A44" s="39" t="s">
        <v>5</v>
      </c>
      <c r="B44" s="39" t="s">
        <v>307</v>
      </c>
      <c r="C44" s="40"/>
      <c r="D44" s="41"/>
      <c r="E44" s="41"/>
      <c r="F44" s="41"/>
      <c r="G44" s="41"/>
      <c r="H44" s="41"/>
      <c r="I44" s="41"/>
      <c r="J44" s="41"/>
      <c r="K44" s="41"/>
      <c r="L44" s="41"/>
      <c r="M44" s="41"/>
      <c r="N44" s="41"/>
    </row>
    <row r="45" spans="1:14" s="38" customFormat="1" ht="12.75">
      <c r="A45" s="38" t="s">
        <v>7</v>
      </c>
      <c r="B45" s="38" t="s">
        <v>263</v>
      </c>
    </row>
    <row r="46" spans="1:14" s="38" customFormat="1" ht="12.75">
      <c r="A46" s="38" t="s">
        <v>9</v>
      </c>
      <c r="B46" s="38" t="s">
        <v>323</v>
      </c>
    </row>
    <row r="47" spans="1:14" s="38" customFormat="1" ht="12.75">
      <c r="A47" s="38" t="s">
        <v>11</v>
      </c>
      <c r="B47" s="38" t="s">
        <v>324</v>
      </c>
    </row>
    <row r="48" spans="1:14" s="38" customFormat="1" ht="12.75">
      <c r="A48" s="38" t="s">
        <v>13</v>
      </c>
      <c r="B48" s="38" t="s">
        <v>35</v>
      </c>
    </row>
    <row r="49" spans="1:14" s="38" customFormat="1" ht="12.75">
      <c r="A49" s="38" t="s">
        <v>15</v>
      </c>
      <c r="B49" s="48">
        <v>1</v>
      </c>
    </row>
    <row r="50" spans="1:14" s="38" customFormat="1" ht="12.75">
      <c r="A50" s="38" t="s">
        <v>16</v>
      </c>
      <c r="B50" s="38" t="s">
        <v>17</v>
      </c>
    </row>
    <row r="51" spans="1:14" s="38" customFormat="1" ht="12.75">
      <c r="A51" s="38" t="s">
        <v>18</v>
      </c>
      <c r="B51" s="38" t="s">
        <v>18</v>
      </c>
    </row>
    <row r="52" spans="1:14" ht="15.75">
      <c r="A52" s="37" t="s">
        <v>19</v>
      </c>
    </row>
    <row r="53" spans="1:14" ht="15.75">
      <c r="A53" s="37" t="s">
        <v>20</v>
      </c>
      <c r="B53" s="37" t="s">
        <v>21</v>
      </c>
      <c r="C53" s="37" t="s">
        <v>18</v>
      </c>
      <c r="D53" s="37" t="s">
        <v>22</v>
      </c>
      <c r="E53" s="37" t="s">
        <v>7</v>
      </c>
      <c r="F53" s="37" t="s">
        <v>13</v>
      </c>
      <c r="G53" s="37" t="s">
        <v>16</v>
      </c>
      <c r="H53" s="37" t="s">
        <v>23</v>
      </c>
      <c r="I53" s="37" t="s">
        <v>24</v>
      </c>
      <c r="J53" s="37" t="s">
        <v>25</v>
      </c>
      <c r="K53" s="37" t="s">
        <v>26</v>
      </c>
      <c r="L53" s="37" t="s">
        <v>27</v>
      </c>
      <c r="M53" s="37" t="s">
        <v>28</v>
      </c>
      <c r="N53" s="37" t="s">
        <v>272</v>
      </c>
    </row>
    <row r="54" spans="1:14" s="38" customFormat="1" ht="12.75">
      <c r="A54" s="38" t="str">
        <f>B44</f>
        <v>parking construction</v>
      </c>
      <c r="B54" s="38">
        <f>B49</f>
        <v>1</v>
      </c>
      <c r="C54" s="38" t="str">
        <f>B51</f>
        <v>unit</v>
      </c>
      <c r="D54" s="38" t="s">
        <v>2</v>
      </c>
      <c r="E54" s="38" t="s">
        <v>29</v>
      </c>
      <c r="F54" s="38" t="str">
        <f>B48</f>
        <v>RER</v>
      </c>
      <c r="G54" s="38" t="s">
        <v>30</v>
      </c>
      <c r="H54" s="38">
        <v>0</v>
      </c>
      <c r="I54" s="38">
        <f>B54</f>
        <v>1</v>
      </c>
      <c r="J54" s="38" t="s">
        <v>31</v>
      </c>
      <c r="K54" s="38" t="s">
        <v>31</v>
      </c>
      <c r="L54" s="38" t="s">
        <v>31</v>
      </c>
      <c r="M54" s="38" t="s">
        <v>31</v>
      </c>
    </row>
    <row r="55" spans="1:14" s="38" customFormat="1" ht="12.75">
      <c r="A55" s="48" t="s">
        <v>325</v>
      </c>
      <c r="B55" s="38">
        <v>96841</v>
      </c>
      <c r="C55" s="38" t="s">
        <v>313</v>
      </c>
      <c r="D55" s="38" t="s">
        <v>41</v>
      </c>
      <c r="E55" s="38" t="s">
        <v>314</v>
      </c>
      <c r="F55" s="38" t="s">
        <v>29</v>
      </c>
      <c r="G55" s="38" t="s">
        <v>43</v>
      </c>
      <c r="H55" s="38">
        <v>0</v>
      </c>
      <c r="I55" s="38">
        <f>B55</f>
        <v>96841</v>
      </c>
      <c r="J55" s="38" t="s">
        <v>31</v>
      </c>
      <c r="K55" s="38" t="s">
        <v>31</v>
      </c>
      <c r="L55" s="38" t="s">
        <v>31</v>
      </c>
      <c r="M55" s="38" t="s">
        <v>31</v>
      </c>
      <c r="N55" s="38" t="s">
        <v>315</v>
      </c>
    </row>
    <row r="56" spans="1:14" s="38" customFormat="1" ht="12.75">
      <c r="A56" s="38" t="s">
        <v>326</v>
      </c>
      <c r="B56" s="38">
        <f>100*B55</f>
        <v>9684100</v>
      </c>
      <c r="C56" s="38" t="s">
        <v>317</v>
      </c>
      <c r="D56" s="38" t="s">
        <v>41</v>
      </c>
      <c r="E56" s="38" t="s">
        <v>314</v>
      </c>
      <c r="F56" s="38" t="s">
        <v>29</v>
      </c>
      <c r="G56" s="38" t="s">
        <v>43</v>
      </c>
      <c r="H56" s="38">
        <v>0</v>
      </c>
      <c r="I56" s="38">
        <f>B56</f>
        <v>9684100</v>
      </c>
      <c r="J56" s="38" t="s">
        <v>31</v>
      </c>
      <c r="K56" s="38" t="s">
        <v>31</v>
      </c>
      <c r="L56" s="38" t="s">
        <v>31</v>
      </c>
      <c r="M56" s="38" t="s">
        <v>31</v>
      </c>
      <c r="N56" s="38" t="s">
        <v>318</v>
      </c>
    </row>
    <row r="57" spans="1:14" s="38" customFormat="1" ht="12.75">
      <c r="A57" s="58" t="s">
        <v>327</v>
      </c>
      <c r="B57" s="53">
        <f>B55*0.3*P7</f>
        <v>87165.616561656163</v>
      </c>
      <c r="C57" s="38" t="s">
        <v>48</v>
      </c>
      <c r="D57" s="38" t="s">
        <v>38</v>
      </c>
      <c r="E57" s="38" t="s">
        <v>29</v>
      </c>
      <c r="F57" s="38" t="s">
        <v>91</v>
      </c>
      <c r="G57" s="38" t="s">
        <v>33</v>
      </c>
      <c r="H57" s="38">
        <v>0</v>
      </c>
      <c r="I57" s="38">
        <f t="shared" ref="I57" si="2">B57</f>
        <v>87165.616561656163</v>
      </c>
      <c r="J57" s="38" t="s">
        <v>31</v>
      </c>
      <c r="K57" s="38" t="s">
        <v>31</v>
      </c>
      <c r="L57" s="38" t="s">
        <v>31</v>
      </c>
      <c r="M57" s="38" t="s">
        <v>31</v>
      </c>
      <c r="N57" s="38" t="s">
        <v>328</v>
      </c>
    </row>
    <row r="58" spans="1:14" ht="15.75">
      <c r="A58" s="39" t="s">
        <v>5</v>
      </c>
      <c r="B58" s="39" t="s">
        <v>309</v>
      </c>
      <c r="C58" s="40"/>
      <c r="D58" s="41"/>
      <c r="E58" s="41"/>
      <c r="F58" s="41"/>
      <c r="G58" s="41"/>
      <c r="H58" s="41"/>
      <c r="I58" s="41"/>
      <c r="J58" s="41"/>
      <c r="K58" s="41"/>
      <c r="L58" s="41"/>
      <c r="M58" s="41"/>
      <c r="N58" s="41"/>
    </row>
    <row r="59" spans="1:14" s="38" customFormat="1" ht="12.75">
      <c r="A59" s="38" t="s">
        <v>7</v>
      </c>
      <c r="B59" s="38" t="s">
        <v>263</v>
      </c>
    </row>
    <row r="60" spans="1:14" s="38" customFormat="1" ht="12.75">
      <c r="A60" s="38" t="s">
        <v>9</v>
      </c>
      <c r="B60" s="38" t="s">
        <v>329</v>
      </c>
    </row>
    <row r="61" spans="1:14" s="38" customFormat="1" ht="12.75">
      <c r="A61" s="38" t="s">
        <v>11</v>
      </c>
      <c r="B61" s="38" t="s">
        <v>330</v>
      </c>
    </row>
    <row r="62" spans="1:14" s="38" customFormat="1" ht="12.75">
      <c r="A62" s="38" t="s">
        <v>13</v>
      </c>
      <c r="B62" s="38" t="s">
        <v>35</v>
      </c>
    </row>
    <row r="63" spans="1:14" s="38" customFormat="1" ht="12.75">
      <c r="A63" s="38" t="s">
        <v>15</v>
      </c>
      <c r="B63" s="48">
        <v>1</v>
      </c>
    </row>
    <row r="64" spans="1:14" s="38" customFormat="1" ht="12.75">
      <c r="A64" s="38" t="s">
        <v>16</v>
      </c>
      <c r="B64" s="38" t="s">
        <v>17</v>
      </c>
    </row>
    <row r="65" spans="1:14" s="38" customFormat="1" ht="12.75">
      <c r="A65" s="38" t="s">
        <v>18</v>
      </c>
      <c r="B65" s="38" t="s">
        <v>18</v>
      </c>
    </row>
    <row r="66" spans="1:14" ht="15.75">
      <c r="A66" s="37" t="s">
        <v>19</v>
      </c>
    </row>
    <row r="67" spans="1:14" ht="15.75">
      <c r="A67" s="37" t="s">
        <v>20</v>
      </c>
      <c r="B67" s="37" t="s">
        <v>21</v>
      </c>
      <c r="C67" s="37" t="s">
        <v>18</v>
      </c>
      <c r="D67" s="37" t="s">
        <v>22</v>
      </c>
      <c r="E67" s="37" t="s">
        <v>7</v>
      </c>
      <c r="F67" s="37" t="s">
        <v>13</v>
      </c>
      <c r="G67" s="37" t="s">
        <v>16</v>
      </c>
      <c r="H67" s="37" t="s">
        <v>23</v>
      </c>
      <c r="I67" s="37" t="s">
        <v>24</v>
      </c>
      <c r="J67" s="37" t="s">
        <v>25</v>
      </c>
      <c r="K67" s="37" t="s">
        <v>26</v>
      </c>
      <c r="L67" s="37" t="s">
        <v>27</v>
      </c>
      <c r="M67" s="37" t="s">
        <v>28</v>
      </c>
      <c r="N67" s="37" t="s">
        <v>272</v>
      </c>
    </row>
    <row r="68" spans="1:14" s="38" customFormat="1" ht="12.75">
      <c r="A68" s="38" t="str">
        <f>B58</f>
        <v>landside green areas</v>
      </c>
      <c r="B68" s="38">
        <f>B63</f>
        <v>1</v>
      </c>
      <c r="C68" s="38" t="str">
        <f>B65</f>
        <v>unit</v>
      </c>
      <c r="D68" s="38" t="s">
        <v>2</v>
      </c>
      <c r="E68" s="38" t="s">
        <v>29</v>
      </c>
      <c r="F68" s="38" t="str">
        <f>B62</f>
        <v>RER</v>
      </c>
      <c r="G68" s="38" t="s">
        <v>30</v>
      </c>
      <c r="H68" s="38">
        <v>0</v>
      </c>
      <c r="I68" s="38">
        <f>B68</f>
        <v>1</v>
      </c>
      <c r="J68" s="38" t="s">
        <v>31</v>
      </c>
      <c r="K68" s="38" t="s">
        <v>31</v>
      </c>
      <c r="L68" s="38" t="s">
        <v>31</v>
      </c>
      <c r="M68" s="38" t="s">
        <v>31</v>
      </c>
    </row>
    <row r="69" spans="1:14" s="38" customFormat="1" ht="12.75">
      <c r="A69" s="48" t="s">
        <v>331</v>
      </c>
      <c r="B69" s="53">
        <f>466000-B40-B55</f>
        <v>319534</v>
      </c>
      <c r="C69" s="38" t="s">
        <v>313</v>
      </c>
      <c r="D69" s="38" t="s">
        <v>41</v>
      </c>
      <c r="E69" s="38" t="s">
        <v>314</v>
      </c>
      <c r="F69" s="38" t="s">
        <v>29</v>
      </c>
      <c r="G69" s="38" t="s">
        <v>43</v>
      </c>
      <c r="H69" s="38">
        <v>0</v>
      </c>
      <c r="I69" s="38">
        <f t="shared" ref="I69" si="3">B69</f>
        <v>319534</v>
      </c>
      <c r="J69" s="38" t="s">
        <v>31</v>
      </c>
      <c r="K69" s="38" t="s">
        <v>31</v>
      </c>
      <c r="L69" s="38" t="s">
        <v>31</v>
      </c>
      <c r="M69" s="38" t="s">
        <v>31</v>
      </c>
      <c r="N69" s="38" t="s">
        <v>315</v>
      </c>
    </row>
    <row r="70" spans="1:14" s="38" customFormat="1" ht="15.75">
      <c r="A70" s="39" t="s">
        <v>5</v>
      </c>
      <c r="B70" s="39" t="s">
        <v>301</v>
      </c>
      <c r="C70" s="40"/>
      <c r="D70" s="41"/>
      <c r="E70" s="41"/>
      <c r="F70" s="41"/>
      <c r="G70" s="41"/>
      <c r="H70" s="41"/>
      <c r="I70" s="41"/>
      <c r="J70" s="41"/>
      <c r="K70" s="41"/>
      <c r="L70" s="41"/>
      <c r="M70" s="41"/>
      <c r="N70" s="41"/>
    </row>
    <row r="71" spans="1:14" s="38" customFormat="1" ht="12.75">
      <c r="A71" s="38" t="s">
        <v>7</v>
      </c>
      <c r="B71" s="38" t="s">
        <v>263</v>
      </c>
    </row>
    <row r="72" spans="1:14" s="38" customFormat="1" ht="12.75">
      <c r="A72" s="38" t="s">
        <v>9</v>
      </c>
      <c r="B72" s="38" t="s">
        <v>332</v>
      </c>
    </row>
    <row r="73" spans="1:14">
      <c r="A73" s="38" t="s">
        <v>11</v>
      </c>
      <c r="B73" s="38" t="s">
        <v>333</v>
      </c>
      <c r="C73" s="38"/>
      <c r="D73" s="38"/>
      <c r="E73" s="38"/>
      <c r="F73" s="38"/>
      <c r="G73" s="38"/>
      <c r="H73" s="38"/>
      <c r="I73" s="38"/>
      <c r="J73" s="38"/>
      <c r="K73" s="38"/>
      <c r="L73" s="38"/>
      <c r="M73" s="38"/>
      <c r="N73" s="38"/>
    </row>
    <row r="74" spans="1:14">
      <c r="A74" s="38" t="s">
        <v>13</v>
      </c>
      <c r="B74" s="38" t="s">
        <v>35</v>
      </c>
      <c r="C74" s="38"/>
      <c r="D74" s="38"/>
      <c r="E74" s="38"/>
      <c r="F74" s="38"/>
      <c r="G74" s="38"/>
      <c r="H74" s="38"/>
      <c r="I74" s="38"/>
      <c r="J74" s="38"/>
      <c r="K74" s="38"/>
      <c r="L74" s="38"/>
      <c r="M74" s="38"/>
      <c r="N74" s="38"/>
    </row>
    <row r="75" spans="1:14">
      <c r="A75" s="38" t="s">
        <v>15</v>
      </c>
      <c r="B75" s="48">
        <v>1</v>
      </c>
      <c r="C75" s="38"/>
      <c r="D75" s="38"/>
      <c r="E75" s="38"/>
      <c r="F75" s="38"/>
      <c r="G75" s="38"/>
      <c r="H75" s="38"/>
      <c r="I75" s="38"/>
      <c r="J75" s="38"/>
      <c r="K75" s="38"/>
      <c r="L75" s="38"/>
      <c r="M75" s="38"/>
      <c r="N75" s="38"/>
    </row>
    <row r="76" spans="1:14">
      <c r="A76" s="38" t="s">
        <v>16</v>
      </c>
      <c r="B76" s="38" t="s">
        <v>17</v>
      </c>
      <c r="C76" s="38"/>
      <c r="D76" s="38"/>
      <c r="E76" s="38"/>
      <c r="F76" s="38"/>
      <c r="G76" s="38"/>
      <c r="H76" s="38"/>
      <c r="I76" s="38"/>
      <c r="J76" s="38"/>
      <c r="K76" s="38"/>
      <c r="L76" s="38"/>
      <c r="M76" s="38"/>
      <c r="N76" s="38"/>
    </row>
    <row r="77" spans="1:14">
      <c r="A77" s="38" t="s">
        <v>18</v>
      </c>
      <c r="B77" s="38" t="s">
        <v>18</v>
      </c>
      <c r="C77" s="38"/>
      <c r="D77" s="38"/>
      <c r="E77" s="38"/>
      <c r="F77" s="38"/>
      <c r="G77" s="38"/>
      <c r="H77" s="38"/>
      <c r="I77" s="38"/>
      <c r="J77" s="38"/>
      <c r="K77" s="38"/>
      <c r="L77" s="38"/>
      <c r="M77" s="38"/>
      <c r="N77" s="38"/>
    </row>
    <row r="78" spans="1:14" ht="15.75">
      <c r="A78" s="37" t="s">
        <v>19</v>
      </c>
    </row>
    <row r="79" spans="1:14" ht="15.75">
      <c r="A79" s="37" t="s">
        <v>20</v>
      </c>
      <c r="B79" s="37" t="s">
        <v>21</v>
      </c>
      <c r="C79" s="37" t="s">
        <v>18</v>
      </c>
      <c r="D79" s="37" t="s">
        <v>22</v>
      </c>
      <c r="E79" s="37" t="s">
        <v>7</v>
      </c>
      <c r="F79" s="37" t="s">
        <v>13</v>
      </c>
      <c r="G79" s="37" t="s">
        <v>16</v>
      </c>
      <c r="H79" s="37" t="s">
        <v>23</v>
      </c>
      <c r="I79" s="37" t="s">
        <v>24</v>
      </c>
      <c r="J79" s="37" t="s">
        <v>25</v>
      </c>
      <c r="K79" s="37" t="s">
        <v>26</v>
      </c>
      <c r="L79" s="37" t="s">
        <v>27</v>
      </c>
      <c r="M79" s="37" t="s">
        <v>28</v>
      </c>
      <c r="N79" s="37" t="s">
        <v>272</v>
      </c>
    </row>
    <row r="80" spans="1:14">
      <c r="A80" s="38" t="str">
        <f>B70</f>
        <v>airside construction</v>
      </c>
      <c r="B80" s="38">
        <f>B75</f>
        <v>1</v>
      </c>
      <c r="C80" s="38" t="str">
        <f>B77</f>
        <v>unit</v>
      </c>
      <c r="D80" s="38" t="s">
        <v>2</v>
      </c>
      <c r="E80" s="38" t="s">
        <v>29</v>
      </c>
      <c r="F80" s="38" t="str">
        <f>B74</f>
        <v>RER</v>
      </c>
      <c r="G80" s="38" t="s">
        <v>30</v>
      </c>
      <c r="H80" s="38">
        <v>0</v>
      </c>
      <c r="I80" s="38">
        <f>B80</f>
        <v>1</v>
      </c>
      <c r="J80" s="38" t="s">
        <v>31</v>
      </c>
      <c r="K80" s="38" t="s">
        <v>31</v>
      </c>
      <c r="L80" s="38" t="s">
        <v>31</v>
      </c>
      <c r="M80" s="38" t="s">
        <v>31</v>
      </c>
      <c r="N80" s="38"/>
    </row>
    <row r="81" spans="1:14">
      <c r="A81" s="48" t="s">
        <v>334</v>
      </c>
      <c r="B81" s="53">
        <v>1</v>
      </c>
      <c r="C81" s="38" t="s">
        <v>18</v>
      </c>
      <c r="D81" s="38" t="s">
        <v>2</v>
      </c>
      <c r="E81" s="38" t="s">
        <v>29</v>
      </c>
      <c r="F81" s="38" t="s">
        <v>35</v>
      </c>
      <c r="G81" s="38" t="s">
        <v>33</v>
      </c>
      <c r="H81" s="38">
        <v>0</v>
      </c>
      <c r="I81" s="38">
        <f>B81</f>
        <v>1</v>
      </c>
      <c r="J81" s="38" t="s">
        <v>31</v>
      </c>
      <c r="K81" s="38" t="s">
        <v>31</v>
      </c>
      <c r="L81" s="38" t="s">
        <v>31</v>
      </c>
      <c r="M81" s="38" t="s">
        <v>31</v>
      </c>
      <c r="N81" s="38" t="s">
        <v>335</v>
      </c>
    </row>
    <row r="82" spans="1:14">
      <c r="A82" s="48" t="s">
        <v>336</v>
      </c>
      <c r="B82" s="53">
        <v>1</v>
      </c>
      <c r="C82" s="38" t="s">
        <v>18</v>
      </c>
      <c r="D82" s="38" t="s">
        <v>2</v>
      </c>
      <c r="E82" s="38" t="s">
        <v>29</v>
      </c>
      <c r="F82" s="38" t="s">
        <v>35</v>
      </c>
      <c r="G82" s="38" t="s">
        <v>33</v>
      </c>
      <c r="H82" s="38">
        <v>0</v>
      </c>
      <c r="I82" s="38">
        <f>B82</f>
        <v>1</v>
      </c>
      <c r="J82" s="38" t="s">
        <v>31</v>
      </c>
      <c r="K82" s="38" t="s">
        <v>31</v>
      </c>
      <c r="L82" s="38" t="s">
        <v>31</v>
      </c>
      <c r="M82" s="38" t="s">
        <v>31</v>
      </c>
      <c r="N82" s="38" t="s">
        <v>337</v>
      </c>
    </row>
    <row r="83" spans="1:14">
      <c r="A83" s="48" t="s">
        <v>338</v>
      </c>
      <c r="B83" s="53">
        <v>1</v>
      </c>
      <c r="C83" s="38" t="s">
        <v>18</v>
      </c>
      <c r="D83" s="38" t="s">
        <v>2</v>
      </c>
      <c r="E83" s="38" t="s">
        <v>29</v>
      </c>
      <c r="F83" s="38" t="s">
        <v>35</v>
      </c>
      <c r="G83" s="38" t="s">
        <v>33</v>
      </c>
      <c r="H83" s="38">
        <v>0</v>
      </c>
      <c r="I83" s="38">
        <f>B83</f>
        <v>1</v>
      </c>
      <c r="J83" s="38" t="s">
        <v>31</v>
      </c>
      <c r="K83" s="38" t="s">
        <v>31</v>
      </c>
      <c r="L83" s="38" t="s">
        <v>31</v>
      </c>
      <c r="M83" s="38" t="s">
        <v>31</v>
      </c>
      <c r="N83" s="38" t="s">
        <v>339</v>
      </c>
    </row>
    <row r="84" spans="1:14">
      <c r="A84" s="48" t="s">
        <v>340</v>
      </c>
      <c r="B84" s="53">
        <v>1</v>
      </c>
      <c r="C84" s="38" t="s">
        <v>18</v>
      </c>
      <c r="D84" s="38" t="s">
        <v>2</v>
      </c>
      <c r="E84" s="38" t="s">
        <v>29</v>
      </c>
      <c r="F84" s="38" t="s">
        <v>35</v>
      </c>
      <c r="G84" s="38" t="s">
        <v>33</v>
      </c>
      <c r="H84" s="38">
        <v>0</v>
      </c>
      <c r="I84" s="38">
        <f t="shared" ref="I84:I87" si="4">B84</f>
        <v>1</v>
      </c>
      <c r="J84" s="38" t="s">
        <v>31</v>
      </c>
      <c r="K84" s="38" t="s">
        <v>31</v>
      </c>
      <c r="L84" s="38" t="s">
        <v>31</v>
      </c>
      <c r="M84" s="38" t="s">
        <v>31</v>
      </c>
      <c r="N84" s="38" t="s">
        <v>341</v>
      </c>
    </row>
    <row r="85" spans="1:14">
      <c r="A85" s="48" t="s">
        <v>342</v>
      </c>
      <c r="B85" s="53">
        <v>1</v>
      </c>
      <c r="C85" s="38" t="s">
        <v>18</v>
      </c>
      <c r="D85" s="38" t="s">
        <v>2</v>
      </c>
      <c r="E85" s="38" t="s">
        <v>29</v>
      </c>
      <c r="F85" s="38" t="s">
        <v>35</v>
      </c>
      <c r="G85" s="38" t="s">
        <v>33</v>
      </c>
      <c r="H85" s="38">
        <v>0</v>
      </c>
      <c r="I85" s="38">
        <f t="shared" si="4"/>
        <v>1</v>
      </c>
      <c r="J85" s="38" t="s">
        <v>31</v>
      </c>
      <c r="K85" s="38" t="s">
        <v>31</v>
      </c>
      <c r="L85" s="38" t="s">
        <v>31</v>
      </c>
      <c r="M85" s="38" t="s">
        <v>31</v>
      </c>
      <c r="N85" s="38" t="s">
        <v>343</v>
      </c>
    </row>
    <row r="86" spans="1:14">
      <c r="A86" s="48" t="s">
        <v>344</v>
      </c>
      <c r="B86" s="53">
        <v>1</v>
      </c>
      <c r="C86" s="38" t="s">
        <v>18</v>
      </c>
      <c r="D86" s="38" t="s">
        <v>2</v>
      </c>
      <c r="E86" s="38" t="s">
        <v>29</v>
      </c>
      <c r="F86" s="38" t="s">
        <v>35</v>
      </c>
      <c r="G86" s="38" t="s">
        <v>33</v>
      </c>
      <c r="H86" s="38">
        <v>0</v>
      </c>
      <c r="I86" s="38">
        <f t="shared" si="4"/>
        <v>1</v>
      </c>
      <c r="J86" s="38" t="s">
        <v>31</v>
      </c>
      <c r="K86" s="38" t="s">
        <v>31</v>
      </c>
      <c r="L86" s="38" t="s">
        <v>31</v>
      </c>
      <c r="M86" s="38" t="s">
        <v>31</v>
      </c>
      <c r="N86" s="38" t="s">
        <v>345</v>
      </c>
    </row>
    <row r="87" spans="1:14">
      <c r="A87" s="48" t="s">
        <v>346</v>
      </c>
      <c r="B87" s="53">
        <v>1</v>
      </c>
      <c r="C87" s="38" t="s">
        <v>18</v>
      </c>
      <c r="D87" s="38" t="s">
        <v>2</v>
      </c>
      <c r="E87" s="38" t="s">
        <v>29</v>
      </c>
      <c r="F87" s="38" t="s">
        <v>35</v>
      </c>
      <c r="G87" s="38" t="s">
        <v>33</v>
      </c>
      <c r="H87" s="38">
        <v>0</v>
      </c>
      <c r="I87" s="38">
        <f t="shared" si="4"/>
        <v>1</v>
      </c>
      <c r="J87" s="38" t="s">
        <v>31</v>
      </c>
      <c r="K87" s="38" t="s">
        <v>31</v>
      </c>
      <c r="L87" s="38" t="s">
        <v>31</v>
      </c>
      <c r="M87" s="38" t="s">
        <v>31</v>
      </c>
      <c r="N87" s="38" t="s">
        <v>347</v>
      </c>
    </row>
    <row r="88" spans="1:14" ht="15.75">
      <c r="A88" s="39" t="s">
        <v>5</v>
      </c>
      <c r="B88" s="39" t="s">
        <v>334</v>
      </c>
      <c r="C88" s="40"/>
      <c r="D88" s="41"/>
      <c r="E88" s="41"/>
      <c r="F88" s="41"/>
      <c r="G88" s="41"/>
      <c r="H88" s="41"/>
      <c r="I88" s="41"/>
      <c r="J88" s="41"/>
      <c r="K88" s="41"/>
      <c r="L88" s="41"/>
      <c r="M88" s="41"/>
      <c r="N88" s="41"/>
    </row>
    <row r="89" spans="1:14">
      <c r="A89" s="38" t="s">
        <v>7</v>
      </c>
      <c r="B89" s="38" t="s">
        <v>263</v>
      </c>
      <c r="C89" s="38"/>
      <c r="D89" s="38"/>
      <c r="E89" s="38"/>
      <c r="F89" s="38"/>
      <c r="G89" s="38"/>
      <c r="H89" s="38"/>
      <c r="I89" s="38"/>
      <c r="J89" s="38"/>
      <c r="K89" s="38"/>
      <c r="L89" s="38"/>
      <c r="M89" s="38"/>
      <c r="N89" s="38"/>
    </row>
    <row r="90" spans="1:14">
      <c r="A90" s="38" t="s">
        <v>9</v>
      </c>
      <c r="B90" s="38" t="s">
        <v>348</v>
      </c>
      <c r="C90" s="38"/>
      <c r="D90" s="38"/>
      <c r="E90" s="38"/>
      <c r="F90" s="38"/>
      <c r="G90" s="38"/>
      <c r="H90" s="38"/>
      <c r="I90" s="38"/>
      <c r="J90" s="38"/>
      <c r="K90" s="38"/>
      <c r="L90" s="38"/>
      <c r="M90" s="38"/>
      <c r="N90" s="38"/>
    </row>
    <row r="91" spans="1:14">
      <c r="A91" s="38" t="s">
        <v>11</v>
      </c>
      <c r="B91" s="38" t="s">
        <v>349</v>
      </c>
      <c r="C91" s="38"/>
      <c r="D91" s="38"/>
      <c r="E91" s="38"/>
      <c r="F91" s="38"/>
      <c r="G91" s="38"/>
      <c r="H91" s="38"/>
      <c r="I91" s="38"/>
      <c r="J91" s="38"/>
      <c r="K91" s="38"/>
      <c r="L91" s="38"/>
      <c r="M91" s="38"/>
      <c r="N91" s="38"/>
    </row>
    <row r="92" spans="1:14">
      <c r="A92" s="38" t="s">
        <v>13</v>
      </c>
      <c r="B92" s="38" t="s">
        <v>35</v>
      </c>
      <c r="C92" s="38"/>
      <c r="D92" s="38"/>
      <c r="E92" s="38"/>
      <c r="F92" s="38"/>
      <c r="G92" s="38"/>
      <c r="H92" s="38"/>
      <c r="I92" s="38"/>
      <c r="J92" s="38"/>
      <c r="K92" s="38"/>
      <c r="L92" s="38"/>
      <c r="M92" s="38"/>
      <c r="N92" s="38"/>
    </row>
    <row r="93" spans="1:14">
      <c r="A93" s="38" t="s">
        <v>15</v>
      </c>
      <c r="B93" s="48">
        <v>1</v>
      </c>
      <c r="C93" s="38"/>
      <c r="D93" s="38"/>
      <c r="E93" s="38"/>
      <c r="F93" s="38"/>
      <c r="G93" s="38"/>
      <c r="H93" s="38"/>
      <c r="I93" s="38"/>
      <c r="J93" s="38"/>
      <c r="K93" s="38"/>
      <c r="L93" s="38"/>
      <c r="M93" s="38"/>
      <c r="N93" s="38"/>
    </row>
    <row r="94" spans="1:14">
      <c r="A94" s="38" t="s">
        <v>16</v>
      </c>
      <c r="B94" s="38" t="s">
        <v>17</v>
      </c>
      <c r="C94" s="38"/>
      <c r="D94" s="38"/>
      <c r="E94" s="38"/>
      <c r="F94" s="38"/>
      <c r="G94" s="38"/>
      <c r="H94" s="38"/>
      <c r="I94" s="38"/>
      <c r="J94" s="38"/>
      <c r="K94" s="38"/>
      <c r="L94" s="38"/>
      <c r="M94" s="38"/>
      <c r="N94" s="38"/>
    </row>
    <row r="95" spans="1:14">
      <c r="A95" s="38" t="s">
        <v>18</v>
      </c>
      <c r="B95" s="38" t="s">
        <v>18</v>
      </c>
      <c r="C95" s="38"/>
      <c r="D95" s="38"/>
      <c r="E95" s="38"/>
      <c r="F95" s="38"/>
      <c r="G95" s="38"/>
      <c r="H95" s="38"/>
      <c r="I95" s="38"/>
      <c r="J95" s="38"/>
      <c r="K95" s="38"/>
      <c r="L95" s="38"/>
      <c r="M95" s="38"/>
      <c r="N95" s="38"/>
    </row>
    <row r="96" spans="1:14" ht="15.75">
      <c r="A96" s="37" t="s">
        <v>19</v>
      </c>
    </row>
    <row r="97" spans="1:14" ht="15.75">
      <c r="A97" s="37" t="s">
        <v>20</v>
      </c>
      <c r="B97" s="37" t="s">
        <v>21</v>
      </c>
      <c r="C97" s="37" t="s">
        <v>18</v>
      </c>
      <c r="D97" s="37" t="s">
        <v>22</v>
      </c>
      <c r="E97" s="37" t="s">
        <v>7</v>
      </c>
      <c r="F97" s="37" t="s">
        <v>13</v>
      </c>
      <c r="G97" s="37" t="s">
        <v>16</v>
      </c>
      <c r="H97" s="37" t="s">
        <v>23</v>
      </c>
      <c r="I97" s="37" t="s">
        <v>24</v>
      </c>
      <c r="J97" s="37" t="s">
        <v>25</v>
      </c>
      <c r="K97" s="37" t="s">
        <v>26</v>
      </c>
      <c r="L97" s="37" t="s">
        <v>27</v>
      </c>
      <c r="M97" s="37" t="s">
        <v>28</v>
      </c>
      <c r="N97" s="37" t="s">
        <v>272</v>
      </c>
    </row>
    <row r="98" spans="1:14">
      <c r="A98" s="38" t="str">
        <f>B88</f>
        <v>terminals</v>
      </c>
      <c r="B98" s="38">
        <f>B93</f>
        <v>1</v>
      </c>
      <c r="C98" s="38" t="str">
        <f>B95</f>
        <v>unit</v>
      </c>
      <c r="D98" s="38" t="s">
        <v>2</v>
      </c>
      <c r="E98" s="38" t="s">
        <v>29</v>
      </c>
      <c r="F98" s="38" t="str">
        <f>B92</f>
        <v>RER</v>
      </c>
      <c r="G98" s="38" t="s">
        <v>30</v>
      </c>
      <c r="H98" s="38">
        <v>0</v>
      </c>
      <c r="I98" s="38">
        <f>B98</f>
        <v>1</v>
      </c>
      <c r="J98" s="38" t="s">
        <v>31</v>
      </c>
      <c r="K98" s="38" t="s">
        <v>31</v>
      </c>
      <c r="L98" s="38" t="s">
        <v>31</v>
      </c>
      <c r="M98" s="38" t="s">
        <v>31</v>
      </c>
      <c r="N98" s="38"/>
    </row>
    <row r="99" spans="1:14">
      <c r="A99" s="48" t="s">
        <v>312</v>
      </c>
      <c r="B99" s="53">
        <v>44863</v>
      </c>
      <c r="C99" s="38" t="s">
        <v>313</v>
      </c>
      <c r="D99" s="38" t="s">
        <v>41</v>
      </c>
      <c r="E99" s="38" t="s">
        <v>314</v>
      </c>
      <c r="F99" s="38" t="s">
        <v>29</v>
      </c>
      <c r="G99" s="38" t="s">
        <v>43</v>
      </c>
      <c r="H99" s="38">
        <v>0</v>
      </c>
      <c r="I99" s="38">
        <v>49625</v>
      </c>
      <c r="J99" s="38" t="s">
        <v>31</v>
      </c>
      <c r="K99" s="38" t="s">
        <v>31</v>
      </c>
      <c r="L99" s="38" t="s">
        <v>31</v>
      </c>
      <c r="M99" s="38" t="s">
        <v>31</v>
      </c>
      <c r="N99" s="38" t="s">
        <v>315</v>
      </c>
    </row>
    <row r="100" spans="1:14">
      <c r="A100" s="48" t="s">
        <v>316</v>
      </c>
      <c r="B100" s="53">
        <f>B99*100</f>
        <v>4486300</v>
      </c>
      <c r="C100" s="38" t="s">
        <v>317</v>
      </c>
      <c r="D100" s="38" t="s">
        <v>41</v>
      </c>
      <c r="E100" s="38" t="s">
        <v>314</v>
      </c>
      <c r="F100" s="38" t="s">
        <v>29</v>
      </c>
      <c r="G100" s="38" t="s">
        <v>43</v>
      </c>
      <c r="H100" s="38">
        <v>0</v>
      </c>
      <c r="I100" s="38">
        <v>4962500</v>
      </c>
      <c r="J100" s="38" t="s">
        <v>31</v>
      </c>
      <c r="K100" s="38" t="s">
        <v>31</v>
      </c>
      <c r="L100" s="38" t="s">
        <v>31</v>
      </c>
      <c r="M100" s="38" t="s">
        <v>31</v>
      </c>
      <c r="N100" s="38" t="s">
        <v>318</v>
      </c>
    </row>
    <row r="101" spans="1:14" s="38" customFormat="1" ht="12.75">
      <c r="A101" s="48" t="s">
        <v>319</v>
      </c>
      <c r="B101" s="53">
        <f>B99*0.7</f>
        <v>31404.1</v>
      </c>
      <c r="C101" s="38" t="s">
        <v>313</v>
      </c>
      <c r="D101" s="38" t="s">
        <v>38</v>
      </c>
      <c r="E101" s="38" t="s">
        <v>29</v>
      </c>
      <c r="F101" s="38" t="s">
        <v>57</v>
      </c>
      <c r="G101" s="38" t="s">
        <v>33</v>
      </c>
      <c r="H101" s="38">
        <v>0</v>
      </c>
      <c r="I101" s="38">
        <f t="shared" ref="I101:I102" si="5">B101</f>
        <v>31404.1</v>
      </c>
      <c r="J101" s="38" t="s">
        <v>31</v>
      </c>
      <c r="K101" s="38" t="s">
        <v>31</v>
      </c>
      <c r="L101" s="38" t="s">
        <v>31</v>
      </c>
      <c r="M101" s="38" t="s">
        <v>31</v>
      </c>
      <c r="N101" s="38" t="s">
        <v>320</v>
      </c>
    </row>
    <row r="102" spans="1:14" s="38" customFormat="1" ht="12.75">
      <c r="A102" s="57" t="s">
        <v>321</v>
      </c>
      <c r="B102" s="53">
        <f>B99*0.3*5*2.5*P7</f>
        <v>504759.22592259228</v>
      </c>
      <c r="C102" s="38" t="s">
        <v>48</v>
      </c>
      <c r="D102" s="38" t="s">
        <v>38</v>
      </c>
      <c r="E102" s="38" t="s">
        <v>29</v>
      </c>
      <c r="F102" s="38" t="s">
        <v>57</v>
      </c>
      <c r="G102" s="38" t="s">
        <v>33</v>
      </c>
      <c r="H102" s="38">
        <v>0</v>
      </c>
      <c r="I102" s="38">
        <f t="shared" si="5"/>
        <v>504759.22592259228</v>
      </c>
      <c r="J102" s="38" t="s">
        <v>31</v>
      </c>
      <c r="K102" s="38" t="s">
        <v>31</v>
      </c>
      <c r="L102" s="38" t="s">
        <v>31</v>
      </c>
      <c r="M102" s="38" t="s">
        <v>31</v>
      </c>
      <c r="N102" s="38" t="s">
        <v>322</v>
      </c>
    </row>
    <row r="103" spans="1:14" ht="15.75">
      <c r="A103" s="39" t="s">
        <v>5</v>
      </c>
      <c r="B103" s="39" t="s">
        <v>336</v>
      </c>
      <c r="C103" s="40"/>
      <c r="D103" s="41"/>
      <c r="E103" s="41"/>
      <c r="F103" s="41"/>
      <c r="G103" s="41"/>
      <c r="H103" s="41"/>
      <c r="I103" s="41"/>
      <c r="J103" s="41"/>
      <c r="K103" s="41"/>
      <c r="L103" s="41"/>
      <c r="M103" s="41"/>
      <c r="N103" s="41"/>
    </row>
    <row r="104" spans="1:14">
      <c r="A104" s="38" t="s">
        <v>7</v>
      </c>
      <c r="B104" s="38" t="s">
        <v>263</v>
      </c>
      <c r="C104" s="38"/>
      <c r="D104" s="38"/>
      <c r="E104" s="38"/>
      <c r="F104" s="38"/>
      <c r="G104" s="38"/>
      <c r="H104" s="38"/>
      <c r="I104" s="38"/>
      <c r="J104" s="38"/>
      <c r="K104" s="38"/>
      <c r="L104" s="38"/>
      <c r="M104" s="38"/>
      <c r="N104" s="38"/>
    </row>
    <row r="105" spans="1:14">
      <c r="A105" s="38" t="s">
        <v>9</v>
      </c>
      <c r="B105" s="38" t="s">
        <v>350</v>
      </c>
      <c r="C105" s="38"/>
      <c r="D105" s="38"/>
      <c r="E105" s="38"/>
      <c r="F105" s="38"/>
      <c r="G105" s="38"/>
      <c r="H105" s="38"/>
      <c r="I105" s="38"/>
      <c r="J105" s="38"/>
      <c r="K105" s="38"/>
      <c r="L105" s="38"/>
      <c r="M105" s="38"/>
      <c r="N105" s="38"/>
    </row>
    <row r="106" spans="1:14">
      <c r="A106" s="38" t="s">
        <v>11</v>
      </c>
      <c r="B106" s="38" t="s">
        <v>351</v>
      </c>
      <c r="C106" s="38"/>
      <c r="D106" s="38"/>
      <c r="E106" s="38"/>
      <c r="F106" s="38"/>
      <c r="G106" s="38"/>
      <c r="H106" s="38"/>
      <c r="I106" s="38"/>
      <c r="J106" s="38"/>
      <c r="K106" s="38"/>
      <c r="L106" s="38"/>
      <c r="M106" s="38"/>
      <c r="N106" s="38"/>
    </row>
    <row r="107" spans="1:14">
      <c r="A107" s="38" t="s">
        <v>13</v>
      </c>
      <c r="B107" s="38" t="s">
        <v>35</v>
      </c>
      <c r="C107" s="38"/>
      <c r="D107" s="38"/>
      <c r="E107" s="38"/>
      <c r="F107" s="38"/>
      <c r="G107" s="38"/>
      <c r="H107" s="38"/>
      <c r="I107" s="38"/>
      <c r="J107" s="38"/>
      <c r="K107" s="38"/>
      <c r="L107" s="38"/>
      <c r="M107" s="38"/>
      <c r="N107" s="38"/>
    </row>
    <row r="108" spans="1:14">
      <c r="A108" s="38" t="s">
        <v>15</v>
      </c>
      <c r="B108" s="48">
        <v>1</v>
      </c>
      <c r="C108" s="38"/>
      <c r="D108" s="38"/>
      <c r="E108" s="38"/>
      <c r="F108" s="38"/>
      <c r="G108" s="38"/>
      <c r="H108" s="38"/>
      <c r="I108" s="38"/>
      <c r="J108" s="38"/>
      <c r="K108" s="38"/>
      <c r="L108" s="38"/>
      <c r="M108" s="38"/>
      <c r="N108" s="38"/>
    </row>
    <row r="109" spans="1:14">
      <c r="A109" s="38" t="s">
        <v>16</v>
      </c>
      <c r="B109" s="38" t="s">
        <v>17</v>
      </c>
      <c r="C109" s="38"/>
      <c r="D109" s="38"/>
      <c r="E109" s="38"/>
      <c r="F109" s="38"/>
      <c r="G109" s="38"/>
      <c r="H109" s="38"/>
      <c r="I109" s="38"/>
      <c r="J109" s="38"/>
      <c r="K109" s="38"/>
      <c r="L109" s="38"/>
      <c r="M109" s="38"/>
      <c r="N109" s="38"/>
    </row>
    <row r="110" spans="1:14">
      <c r="A110" s="38" t="s">
        <v>18</v>
      </c>
      <c r="B110" s="38" t="s">
        <v>18</v>
      </c>
      <c r="C110" s="38"/>
      <c r="D110" s="38"/>
      <c r="E110" s="38"/>
      <c r="F110" s="38"/>
      <c r="G110" s="38"/>
      <c r="H110" s="38"/>
      <c r="I110" s="38"/>
      <c r="J110" s="38"/>
      <c r="K110" s="38"/>
      <c r="L110" s="38"/>
      <c r="M110" s="38"/>
      <c r="N110" s="38"/>
    </row>
    <row r="111" spans="1:14" ht="15.75">
      <c r="A111" s="37" t="s">
        <v>19</v>
      </c>
    </row>
    <row r="112" spans="1:14" ht="15.75">
      <c r="A112" s="37" t="s">
        <v>20</v>
      </c>
      <c r="B112" s="37" t="s">
        <v>21</v>
      </c>
      <c r="C112" s="37" t="s">
        <v>18</v>
      </c>
      <c r="D112" s="37" t="s">
        <v>22</v>
      </c>
      <c r="E112" s="37" t="s">
        <v>7</v>
      </c>
      <c r="F112" s="37" t="s">
        <v>13</v>
      </c>
      <c r="G112" s="37" t="s">
        <v>16</v>
      </c>
      <c r="H112" s="37" t="s">
        <v>23</v>
      </c>
      <c r="I112" s="37" t="s">
        <v>24</v>
      </c>
      <c r="J112" s="37" t="s">
        <v>25</v>
      </c>
      <c r="K112" s="37" t="s">
        <v>26</v>
      </c>
      <c r="L112" s="37" t="s">
        <v>27</v>
      </c>
      <c r="M112" s="37" t="s">
        <v>28</v>
      </c>
      <c r="N112" s="37" t="s">
        <v>272</v>
      </c>
    </row>
    <row r="113" spans="1:14">
      <c r="A113" s="38" t="str">
        <f>B103</f>
        <v>hangars</v>
      </c>
      <c r="B113" s="38">
        <f>B108</f>
        <v>1</v>
      </c>
      <c r="C113" s="38" t="str">
        <f>B110</f>
        <v>unit</v>
      </c>
      <c r="D113" s="38" t="s">
        <v>2</v>
      </c>
      <c r="E113" s="38" t="s">
        <v>29</v>
      </c>
      <c r="F113" s="38" t="str">
        <f>B107</f>
        <v>RER</v>
      </c>
      <c r="G113" s="38" t="s">
        <v>30</v>
      </c>
      <c r="H113" s="38">
        <v>0</v>
      </c>
      <c r="I113" s="38">
        <f>B113</f>
        <v>1</v>
      </c>
      <c r="J113" s="38" t="s">
        <v>31</v>
      </c>
      <c r="K113" s="38" t="s">
        <v>31</v>
      </c>
      <c r="L113" s="38" t="s">
        <v>31</v>
      </c>
      <c r="M113" s="38" t="s">
        <v>31</v>
      </c>
      <c r="N113" s="38"/>
    </row>
    <row r="114" spans="1:14">
      <c r="A114" s="48" t="s">
        <v>312</v>
      </c>
      <c r="B114" s="53">
        <v>9369</v>
      </c>
      <c r="C114" s="38" t="s">
        <v>313</v>
      </c>
      <c r="D114" s="38" t="s">
        <v>41</v>
      </c>
      <c r="E114" s="38" t="s">
        <v>314</v>
      </c>
      <c r="F114" s="38" t="s">
        <v>29</v>
      </c>
      <c r="G114" s="38" t="s">
        <v>43</v>
      </c>
      <c r="H114" s="38">
        <v>0</v>
      </c>
      <c r="I114" s="38">
        <v>49625</v>
      </c>
      <c r="J114" s="38" t="s">
        <v>31</v>
      </c>
      <c r="K114" s="38" t="s">
        <v>31</v>
      </c>
      <c r="L114" s="38" t="s">
        <v>31</v>
      </c>
      <c r="M114" s="38" t="s">
        <v>31</v>
      </c>
      <c r="N114" s="38" t="s">
        <v>315</v>
      </c>
    </row>
    <row r="115" spans="1:14">
      <c r="A115" s="48" t="s">
        <v>316</v>
      </c>
      <c r="B115" s="53">
        <f>B114*100</f>
        <v>936900</v>
      </c>
      <c r="C115" s="38" t="s">
        <v>317</v>
      </c>
      <c r="D115" s="38" t="s">
        <v>41</v>
      </c>
      <c r="E115" s="38" t="s">
        <v>314</v>
      </c>
      <c r="F115" s="38" t="s">
        <v>29</v>
      </c>
      <c r="G115" s="38" t="s">
        <v>43</v>
      </c>
      <c r="H115" s="38">
        <v>0</v>
      </c>
      <c r="I115" s="38">
        <v>4962500</v>
      </c>
      <c r="J115" s="38" t="s">
        <v>31</v>
      </c>
      <c r="K115" s="38" t="s">
        <v>31</v>
      </c>
      <c r="L115" s="38" t="s">
        <v>31</v>
      </c>
      <c r="M115" s="38" t="s">
        <v>31</v>
      </c>
      <c r="N115" s="38" t="s">
        <v>318</v>
      </c>
    </row>
    <row r="116" spans="1:14" s="38" customFormat="1" ht="12.75">
      <c r="A116" s="48" t="s">
        <v>319</v>
      </c>
      <c r="B116" s="53">
        <f>B114*0.7</f>
        <v>6558.2999999999993</v>
      </c>
      <c r="C116" s="38" t="s">
        <v>313</v>
      </c>
      <c r="D116" s="38" t="s">
        <v>38</v>
      </c>
      <c r="E116" s="38" t="s">
        <v>29</v>
      </c>
      <c r="F116" s="38" t="s">
        <v>57</v>
      </c>
      <c r="G116" s="38" t="s">
        <v>33</v>
      </c>
      <c r="H116" s="38">
        <v>0</v>
      </c>
      <c r="I116" s="38">
        <f t="shared" ref="I116:I117" si="6">B116</f>
        <v>6558.2999999999993</v>
      </c>
      <c r="J116" s="38" t="s">
        <v>31</v>
      </c>
      <c r="K116" s="38" t="s">
        <v>31</v>
      </c>
      <c r="L116" s="38" t="s">
        <v>31</v>
      </c>
      <c r="M116" s="38" t="s">
        <v>31</v>
      </c>
      <c r="N116" s="38" t="s">
        <v>352</v>
      </c>
    </row>
    <row r="117" spans="1:14" s="38" customFormat="1" ht="12.75">
      <c r="A117" s="57" t="s">
        <v>321</v>
      </c>
      <c r="B117" s="53">
        <f>B114*0.3*5*2.5*P7</f>
        <v>105411.79117911791</v>
      </c>
      <c r="C117" s="38" t="s">
        <v>48</v>
      </c>
      <c r="D117" s="38" t="s">
        <v>38</v>
      </c>
      <c r="E117" s="38" t="s">
        <v>29</v>
      </c>
      <c r="F117" s="38" t="s">
        <v>57</v>
      </c>
      <c r="G117" s="38" t="s">
        <v>33</v>
      </c>
      <c r="H117" s="38">
        <v>0</v>
      </c>
      <c r="I117" s="38">
        <f t="shared" si="6"/>
        <v>105411.79117911791</v>
      </c>
      <c r="J117" s="38" t="s">
        <v>31</v>
      </c>
      <c r="K117" s="38" t="s">
        <v>31</v>
      </c>
      <c r="L117" s="38" t="s">
        <v>31</v>
      </c>
      <c r="M117" s="38" t="s">
        <v>31</v>
      </c>
      <c r="N117" s="38" t="s">
        <v>322</v>
      </c>
    </row>
    <row r="118" spans="1:14" ht="15.75">
      <c r="A118" s="39" t="s">
        <v>5</v>
      </c>
      <c r="B118" s="39" t="s">
        <v>338</v>
      </c>
      <c r="C118" s="40"/>
      <c r="D118" s="41"/>
      <c r="E118" s="41"/>
      <c r="F118" s="41"/>
      <c r="G118" s="41"/>
      <c r="H118" s="41"/>
      <c r="I118" s="41"/>
      <c r="J118" s="41"/>
      <c r="K118" s="41"/>
      <c r="L118" s="41"/>
      <c r="M118" s="41"/>
      <c r="N118" s="41"/>
    </row>
    <row r="119" spans="1:14">
      <c r="A119" s="38" t="s">
        <v>7</v>
      </c>
      <c r="B119" s="38" t="s">
        <v>263</v>
      </c>
      <c r="C119" s="38"/>
      <c r="D119" s="38"/>
      <c r="E119" s="38"/>
      <c r="F119" s="38"/>
      <c r="G119" s="38"/>
      <c r="H119" s="38"/>
      <c r="I119" s="38"/>
      <c r="J119" s="38"/>
      <c r="K119" s="38"/>
      <c r="L119" s="38"/>
      <c r="M119" s="38"/>
      <c r="N119" s="38"/>
    </row>
    <row r="120" spans="1:14">
      <c r="A120" s="38" t="s">
        <v>9</v>
      </c>
      <c r="B120" s="38" t="s">
        <v>353</v>
      </c>
      <c r="C120" s="38"/>
      <c r="D120" s="38"/>
      <c r="E120" s="38"/>
      <c r="F120" s="38"/>
      <c r="G120" s="38"/>
      <c r="H120" s="38"/>
      <c r="I120" s="38"/>
      <c r="J120" s="38"/>
      <c r="K120" s="38"/>
      <c r="L120" s="38"/>
      <c r="M120" s="38"/>
      <c r="N120" s="38"/>
    </row>
    <row r="121" spans="1:14">
      <c r="A121" s="38" t="s">
        <v>11</v>
      </c>
      <c r="B121" s="38" t="s">
        <v>354</v>
      </c>
      <c r="C121" s="38"/>
      <c r="D121" s="38"/>
      <c r="E121" s="38"/>
      <c r="F121" s="38"/>
      <c r="G121" s="38"/>
      <c r="H121" s="38"/>
      <c r="I121" s="38"/>
      <c r="J121" s="38"/>
      <c r="K121" s="38"/>
      <c r="L121" s="38"/>
      <c r="M121" s="38"/>
      <c r="N121" s="38"/>
    </row>
    <row r="122" spans="1:14">
      <c r="A122" s="38" t="s">
        <v>13</v>
      </c>
      <c r="B122" s="38" t="s">
        <v>35</v>
      </c>
      <c r="C122" s="38"/>
      <c r="D122" s="38"/>
      <c r="E122" s="38"/>
      <c r="F122" s="38"/>
      <c r="G122" s="38"/>
      <c r="H122" s="38"/>
      <c r="I122" s="38"/>
      <c r="J122" s="38"/>
      <c r="K122" s="38"/>
      <c r="L122" s="38"/>
      <c r="M122" s="38"/>
      <c r="N122" s="38"/>
    </row>
    <row r="123" spans="1:14">
      <c r="A123" s="38" t="s">
        <v>15</v>
      </c>
      <c r="B123" s="48">
        <v>1</v>
      </c>
      <c r="C123" s="38"/>
      <c r="D123" s="38"/>
      <c r="E123" s="38"/>
      <c r="F123" s="38"/>
      <c r="G123" s="38"/>
      <c r="H123" s="38"/>
      <c r="I123" s="38"/>
      <c r="J123" s="38"/>
      <c r="K123" s="38"/>
      <c r="L123" s="38"/>
      <c r="M123" s="38"/>
      <c r="N123" s="38"/>
    </row>
    <row r="124" spans="1:14">
      <c r="A124" s="38" t="s">
        <v>16</v>
      </c>
      <c r="B124" s="38" t="s">
        <v>17</v>
      </c>
      <c r="C124" s="38"/>
      <c r="D124" s="38"/>
      <c r="E124" s="38"/>
      <c r="F124" s="38"/>
      <c r="G124" s="38"/>
      <c r="H124" s="38"/>
      <c r="I124" s="38"/>
      <c r="J124" s="38"/>
      <c r="K124" s="38"/>
      <c r="L124" s="38"/>
      <c r="M124" s="38"/>
      <c r="N124" s="38"/>
    </row>
    <row r="125" spans="1:14">
      <c r="A125" s="38" t="s">
        <v>18</v>
      </c>
      <c r="B125" s="38" t="s">
        <v>18</v>
      </c>
      <c r="C125" s="38"/>
      <c r="D125" s="38"/>
      <c r="E125" s="38"/>
      <c r="F125" s="38"/>
      <c r="G125" s="38"/>
      <c r="H125" s="38"/>
      <c r="I125" s="38"/>
      <c r="J125" s="38"/>
      <c r="K125" s="38"/>
      <c r="L125" s="38"/>
      <c r="M125" s="38"/>
      <c r="N125" s="38"/>
    </row>
    <row r="126" spans="1:14" ht="15.75">
      <c r="A126" s="37" t="s">
        <v>19</v>
      </c>
    </row>
    <row r="127" spans="1:14" ht="15.75">
      <c r="A127" s="37" t="s">
        <v>20</v>
      </c>
      <c r="B127" s="37" t="s">
        <v>21</v>
      </c>
      <c r="C127" s="37" t="s">
        <v>18</v>
      </c>
      <c r="D127" s="37" t="s">
        <v>22</v>
      </c>
      <c r="E127" s="37" t="s">
        <v>7</v>
      </c>
      <c r="F127" s="37" t="s">
        <v>13</v>
      </c>
      <c r="G127" s="37" t="s">
        <v>16</v>
      </c>
      <c r="H127" s="37" t="s">
        <v>23</v>
      </c>
      <c r="I127" s="37" t="s">
        <v>24</v>
      </c>
      <c r="J127" s="37" t="s">
        <v>25</v>
      </c>
      <c r="K127" s="37" t="s">
        <v>26</v>
      </c>
      <c r="L127" s="37" t="s">
        <v>27</v>
      </c>
      <c r="M127" s="37" t="s">
        <v>28</v>
      </c>
      <c r="N127" s="37" t="s">
        <v>272</v>
      </c>
    </row>
    <row r="128" spans="1:14">
      <c r="A128" s="38" t="str">
        <f>B118</f>
        <v>helipad</v>
      </c>
      <c r="B128" s="38">
        <f>B123</f>
        <v>1</v>
      </c>
      <c r="C128" s="38" t="str">
        <f>B125</f>
        <v>unit</v>
      </c>
      <c r="D128" s="38" t="s">
        <v>2</v>
      </c>
      <c r="E128" s="38" t="s">
        <v>29</v>
      </c>
      <c r="F128" s="38" t="str">
        <f>B122</f>
        <v>RER</v>
      </c>
      <c r="G128" s="38" t="s">
        <v>30</v>
      </c>
      <c r="H128" s="38">
        <v>0</v>
      </c>
      <c r="I128" s="38">
        <f>B128</f>
        <v>1</v>
      </c>
      <c r="J128" s="38" t="s">
        <v>31</v>
      </c>
      <c r="K128" s="38" t="s">
        <v>31</v>
      </c>
      <c r="L128" s="38" t="s">
        <v>31</v>
      </c>
      <c r="M128" s="38" t="s">
        <v>31</v>
      </c>
      <c r="N128" s="38"/>
    </row>
    <row r="129" spans="1:14">
      <c r="A129" s="48" t="s">
        <v>312</v>
      </c>
      <c r="B129" s="53">
        <v>100</v>
      </c>
      <c r="C129" s="38" t="s">
        <v>313</v>
      </c>
      <c r="D129" s="38" t="s">
        <v>41</v>
      </c>
      <c r="E129" s="38" t="s">
        <v>314</v>
      </c>
      <c r="F129" s="38" t="s">
        <v>29</v>
      </c>
      <c r="G129" s="38" t="s">
        <v>43</v>
      </c>
      <c r="H129" s="38">
        <v>0</v>
      </c>
      <c r="I129" s="38">
        <v>49625</v>
      </c>
      <c r="J129" s="38" t="s">
        <v>31</v>
      </c>
      <c r="K129" s="38" t="s">
        <v>31</v>
      </c>
      <c r="L129" s="38" t="s">
        <v>31</v>
      </c>
      <c r="M129" s="38" t="s">
        <v>31</v>
      </c>
      <c r="N129" s="38" t="s">
        <v>315</v>
      </c>
    </row>
    <row r="130" spans="1:14">
      <c r="A130" s="48" t="s">
        <v>316</v>
      </c>
      <c r="B130" s="53">
        <f>B129*100</f>
        <v>10000</v>
      </c>
      <c r="C130" s="38" t="s">
        <v>317</v>
      </c>
      <c r="D130" s="38" t="s">
        <v>41</v>
      </c>
      <c r="E130" s="38" t="s">
        <v>314</v>
      </c>
      <c r="F130" s="38" t="s">
        <v>29</v>
      </c>
      <c r="G130" s="38" t="s">
        <v>43</v>
      </c>
      <c r="H130" s="38">
        <v>0</v>
      </c>
      <c r="I130" s="38">
        <v>4962500</v>
      </c>
      <c r="J130" s="38" t="s">
        <v>31</v>
      </c>
      <c r="K130" s="38" t="s">
        <v>31</v>
      </c>
      <c r="L130" s="38" t="s">
        <v>31</v>
      </c>
      <c r="M130" s="38" t="s">
        <v>31</v>
      </c>
      <c r="N130" s="38" t="s">
        <v>318</v>
      </c>
    </row>
    <row r="131" spans="1:14" s="38" customFormat="1" ht="12.75">
      <c r="A131" s="58" t="s">
        <v>327</v>
      </c>
      <c r="B131" s="53">
        <f>B129*0.5*P7</f>
        <v>150.01500150015002</v>
      </c>
      <c r="C131" s="38" t="s">
        <v>48</v>
      </c>
      <c r="D131" s="38" t="s">
        <v>38</v>
      </c>
      <c r="E131" s="38" t="s">
        <v>29</v>
      </c>
      <c r="F131" s="38" t="s">
        <v>91</v>
      </c>
      <c r="G131" s="38" t="s">
        <v>33</v>
      </c>
      <c r="H131" s="38">
        <v>0</v>
      </c>
      <c r="I131" s="38">
        <f t="shared" ref="I131" si="7">B131</f>
        <v>150.01500150015002</v>
      </c>
      <c r="J131" s="38" t="s">
        <v>31</v>
      </c>
      <c r="K131" s="38" t="s">
        <v>31</v>
      </c>
      <c r="L131" s="38" t="s">
        <v>31</v>
      </c>
      <c r="M131" s="38" t="s">
        <v>31</v>
      </c>
      <c r="N131" s="38" t="s">
        <v>355</v>
      </c>
    </row>
    <row r="132" spans="1:14" ht="15.75">
      <c r="A132" s="39" t="s">
        <v>5</v>
      </c>
      <c r="B132" s="39" t="s">
        <v>340</v>
      </c>
      <c r="C132" s="40"/>
      <c r="D132" s="41"/>
      <c r="E132" s="41"/>
      <c r="F132" s="41"/>
      <c r="G132" s="41"/>
      <c r="H132" s="41"/>
      <c r="I132" s="41"/>
      <c r="J132" s="41"/>
      <c r="K132" s="41"/>
      <c r="L132" s="41"/>
      <c r="M132" s="41"/>
      <c r="N132" s="41"/>
    </row>
    <row r="133" spans="1:14">
      <c r="A133" s="38" t="s">
        <v>7</v>
      </c>
      <c r="B133" s="38" t="s">
        <v>263</v>
      </c>
      <c r="C133" s="38"/>
      <c r="D133" s="38"/>
      <c r="E133" s="38"/>
      <c r="F133" s="38"/>
      <c r="G133" s="38"/>
      <c r="H133" s="38"/>
      <c r="I133" s="38"/>
      <c r="J133" s="38"/>
      <c r="K133" s="38"/>
      <c r="L133" s="38"/>
      <c r="M133" s="38"/>
      <c r="N133" s="38"/>
    </row>
    <row r="134" spans="1:14">
      <c r="A134" s="38" t="s">
        <v>9</v>
      </c>
      <c r="B134" s="38" t="s">
        <v>356</v>
      </c>
      <c r="C134" s="38"/>
      <c r="D134" s="38"/>
      <c r="E134" s="38"/>
      <c r="F134" s="38"/>
      <c r="G134" s="38"/>
      <c r="H134" s="38"/>
      <c r="I134" s="38"/>
      <c r="J134" s="38"/>
      <c r="K134" s="38"/>
      <c r="L134" s="38"/>
      <c r="M134" s="38"/>
      <c r="N134" s="38"/>
    </row>
    <row r="135" spans="1:14">
      <c r="A135" s="38" t="s">
        <v>11</v>
      </c>
      <c r="B135" s="38" t="s">
        <v>357</v>
      </c>
      <c r="C135" s="38"/>
      <c r="D135" s="38"/>
      <c r="E135" s="38"/>
      <c r="F135" s="38"/>
      <c r="G135" s="38"/>
      <c r="H135" s="38"/>
      <c r="I135" s="38"/>
      <c r="J135" s="38"/>
      <c r="K135" s="38"/>
      <c r="L135" s="38"/>
      <c r="M135" s="38"/>
      <c r="N135" s="38"/>
    </row>
    <row r="136" spans="1:14">
      <c r="A136" s="38" t="s">
        <v>13</v>
      </c>
      <c r="B136" s="38" t="s">
        <v>35</v>
      </c>
      <c r="C136" s="38"/>
      <c r="D136" s="38"/>
      <c r="E136" s="38"/>
      <c r="F136" s="38"/>
      <c r="G136" s="38"/>
      <c r="H136" s="38"/>
      <c r="I136" s="38"/>
      <c r="J136" s="38"/>
      <c r="K136" s="38"/>
      <c r="L136" s="38"/>
      <c r="M136" s="38"/>
      <c r="N136" s="38"/>
    </row>
    <row r="137" spans="1:14">
      <c r="A137" s="38" t="s">
        <v>15</v>
      </c>
      <c r="B137" s="48">
        <v>1</v>
      </c>
      <c r="C137" s="38"/>
      <c r="D137" s="38"/>
      <c r="E137" s="38"/>
      <c r="F137" s="38"/>
      <c r="G137" s="38"/>
      <c r="H137" s="38"/>
      <c r="I137" s="38"/>
      <c r="J137" s="38"/>
      <c r="K137" s="38"/>
      <c r="L137" s="38"/>
      <c r="M137" s="38"/>
      <c r="N137" s="38"/>
    </row>
    <row r="138" spans="1:14">
      <c r="A138" s="38" t="s">
        <v>16</v>
      </c>
      <c r="B138" s="38" t="s">
        <v>17</v>
      </c>
      <c r="C138" s="38"/>
      <c r="D138" s="38"/>
      <c r="E138" s="38"/>
      <c r="F138" s="38"/>
      <c r="G138" s="38"/>
      <c r="H138" s="38"/>
      <c r="I138" s="38"/>
      <c r="J138" s="38"/>
      <c r="K138" s="38"/>
      <c r="L138" s="38"/>
      <c r="M138" s="38"/>
      <c r="N138" s="38"/>
    </row>
    <row r="139" spans="1:14">
      <c r="A139" s="38" t="s">
        <v>18</v>
      </c>
      <c r="B139" s="38" t="s">
        <v>18</v>
      </c>
      <c r="C139" s="38"/>
      <c r="D139" s="38"/>
      <c r="E139" s="38"/>
      <c r="F139" s="38"/>
      <c r="G139" s="38"/>
      <c r="H139" s="38"/>
      <c r="I139" s="38"/>
      <c r="J139" s="38"/>
      <c r="K139" s="38"/>
      <c r="L139" s="38"/>
      <c r="M139" s="38"/>
      <c r="N139" s="38"/>
    </row>
    <row r="140" spans="1:14" ht="15.75">
      <c r="A140" s="37" t="s">
        <v>19</v>
      </c>
    </row>
    <row r="141" spans="1:14" ht="15.75">
      <c r="A141" s="37" t="s">
        <v>20</v>
      </c>
      <c r="B141" s="37" t="s">
        <v>21</v>
      </c>
      <c r="C141" s="37" t="s">
        <v>18</v>
      </c>
      <c r="D141" s="37" t="s">
        <v>22</v>
      </c>
      <c r="E141" s="37" t="s">
        <v>7</v>
      </c>
      <c r="F141" s="37" t="s">
        <v>13</v>
      </c>
      <c r="G141" s="37" t="s">
        <v>16</v>
      </c>
      <c r="H141" s="37" t="s">
        <v>23</v>
      </c>
      <c r="I141" s="37" t="s">
        <v>24</v>
      </c>
      <c r="J141" s="37" t="s">
        <v>25</v>
      </c>
      <c r="K141" s="37" t="s">
        <v>26</v>
      </c>
      <c r="L141" s="37" t="s">
        <v>27</v>
      </c>
      <c r="M141" s="37" t="s">
        <v>28</v>
      </c>
      <c r="N141" s="37" t="s">
        <v>272</v>
      </c>
    </row>
    <row r="142" spans="1:14">
      <c r="A142" s="38" t="str">
        <f>B132</f>
        <v>apron</v>
      </c>
      <c r="B142" s="38">
        <f>B137</f>
        <v>1</v>
      </c>
      <c r="C142" s="38" t="str">
        <f>B139</f>
        <v>unit</v>
      </c>
      <c r="D142" s="38" t="s">
        <v>2</v>
      </c>
      <c r="E142" s="38" t="s">
        <v>29</v>
      </c>
      <c r="F142" s="38" t="str">
        <f>B136</f>
        <v>RER</v>
      </c>
      <c r="G142" s="38" t="s">
        <v>30</v>
      </c>
      <c r="H142" s="38">
        <v>0</v>
      </c>
      <c r="I142" s="38">
        <f>B142</f>
        <v>1</v>
      </c>
      <c r="J142" s="38" t="s">
        <v>31</v>
      </c>
      <c r="K142" s="38" t="s">
        <v>31</v>
      </c>
      <c r="L142" s="38" t="s">
        <v>31</v>
      </c>
      <c r="M142" s="38" t="s">
        <v>31</v>
      </c>
      <c r="N142" s="38"/>
    </row>
    <row r="143" spans="1:14" s="38" customFormat="1" ht="12.75">
      <c r="A143" s="48" t="s">
        <v>325</v>
      </c>
      <c r="B143" s="38">
        <v>98000</v>
      </c>
      <c r="C143" s="38" t="s">
        <v>313</v>
      </c>
      <c r="D143" s="38" t="s">
        <v>41</v>
      </c>
      <c r="E143" s="38" t="s">
        <v>314</v>
      </c>
      <c r="F143" s="38" t="s">
        <v>29</v>
      </c>
      <c r="G143" s="38" t="s">
        <v>43</v>
      </c>
      <c r="H143" s="38">
        <v>0</v>
      </c>
      <c r="I143" s="38">
        <f>B143</f>
        <v>98000</v>
      </c>
      <c r="J143" s="38" t="s">
        <v>31</v>
      </c>
      <c r="K143" s="38" t="s">
        <v>31</v>
      </c>
      <c r="L143" s="38" t="s">
        <v>31</v>
      </c>
      <c r="M143" s="38" t="s">
        <v>31</v>
      </c>
      <c r="N143" s="38" t="s">
        <v>315</v>
      </c>
    </row>
    <row r="144" spans="1:14" s="38" customFormat="1" ht="12.75">
      <c r="A144" s="38" t="s">
        <v>326</v>
      </c>
      <c r="B144" s="38">
        <f>100*B143</f>
        <v>9800000</v>
      </c>
      <c r="C144" s="38" t="s">
        <v>317</v>
      </c>
      <c r="D144" s="38" t="s">
        <v>41</v>
      </c>
      <c r="E144" s="38" t="s">
        <v>314</v>
      </c>
      <c r="F144" s="38" t="s">
        <v>29</v>
      </c>
      <c r="G144" s="38" t="s">
        <v>43</v>
      </c>
      <c r="H144" s="38">
        <v>0</v>
      </c>
      <c r="I144" s="38">
        <f>B144</f>
        <v>9800000</v>
      </c>
      <c r="J144" s="38" t="s">
        <v>31</v>
      </c>
      <c r="K144" s="38" t="s">
        <v>31</v>
      </c>
      <c r="L144" s="38" t="s">
        <v>31</v>
      </c>
      <c r="M144" s="38" t="s">
        <v>31</v>
      </c>
      <c r="N144" s="38" t="s">
        <v>318</v>
      </c>
    </row>
    <row r="145" spans="1:14" s="38" customFormat="1" ht="12.75">
      <c r="A145" s="58" t="s">
        <v>358</v>
      </c>
      <c r="B145" s="53">
        <f>B143*0.22*P7</f>
        <v>64686.468646864683</v>
      </c>
      <c r="C145" s="38" t="s">
        <v>48</v>
      </c>
      <c r="D145" s="38" t="s">
        <v>38</v>
      </c>
      <c r="E145" s="38" t="s">
        <v>29</v>
      </c>
      <c r="F145" s="38" t="s">
        <v>57</v>
      </c>
      <c r="G145" s="38" t="s">
        <v>33</v>
      </c>
      <c r="H145" s="38">
        <v>0</v>
      </c>
      <c r="I145" s="38">
        <f t="shared" ref="I145:I150" si="8">B145</f>
        <v>64686.468646864683</v>
      </c>
      <c r="J145" s="38" t="s">
        <v>31</v>
      </c>
      <c r="K145" s="38" t="s">
        <v>31</v>
      </c>
      <c r="L145" s="38" t="s">
        <v>31</v>
      </c>
      <c r="M145" s="38" t="s">
        <v>31</v>
      </c>
      <c r="N145" s="38" t="s">
        <v>359</v>
      </c>
    </row>
    <row r="146" spans="1:14" s="38" customFormat="1" ht="12.75">
      <c r="A146" s="57" t="s">
        <v>95</v>
      </c>
      <c r="B146" s="38">
        <f>1.8*B143*P7</f>
        <v>529252.92529252928</v>
      </c>
      <c r="C146" s="38" t="s">
        <v>37</v>
      </c>
      <c r="D146" s="38" t="s">
        <v>38</v>
      </c>
      <c r="E146" s="38" t="s">
        <v>29</v>
      </c>
      <c r="F146" s="38" t="s">
        <v>57</v>
      </c>
      <c r="G146" s="38" t="s">
        <v>33</v>
      </c>
      <c r="H146" s="38">
        <v>0</v>
      </c>
      <c r="I146" s="38">
        <f t="shared" si="8"/>
        <v>529252.92529252928</v>
      </c>
      <c r="J146" s="38" t="s">
        <v>31</v>
      </c>
      <c r="K146" s="38" t="s">
        <v>31</v>
      </c>
      <c r="L146" s="38" t="s">
        <v>31</v>
      </c>
      <c r="M146" s="38" t="s">
        <v>31</v>
      </c>
      <c r="N146" s="38" t="s">
        <v>360</v>
      </c>
    </row>
    <row r="147" spans="1:14" s="38" customFormat="1" ht="12.75">
      <c r="A147" s="38" t="s">
        <v>361</v>
      </c>
      <c r="B147" s="38">
        <f>0.4*1600*B143</f>
        <v>62720000</v>
      </c>
      <c r="C147" s="38" t="s">
        <v>37</v>
      </c>
      <c r="D147" s="38" t="s">
        <v>38</v>
      </c>
      <c r="E147" s="38" t="s">
        <v>29</v>
      </c>
      <c r="F147" s="38" t="s">
        <v>362</v>
      </c>
      <c r="G147" s="38" t="s">
        <v>33</v>
      </c>
      <c r="H147" s="38">
        <v>0</v>
      </c>
      <c r="I147" s="38">
        <f t="shared" si="8"/>
        <v>62720000</v>
      </c>
      <c r="J147" s="38" t="s">
        <v>31</v>
      </c>
      <c r="K147" s="38" t="s">
        <v>31</v>
      </c>
      <c r="L147" s="38" t="s">
        <v>31</v>
      </c>
      <c r="M147" s="38" t="s">
        <v>31</v>
      </c>
      <c r="N147" s="38" t="s">
        <v>363</v>
      </c>
    </row>
    <row r="148" spans="1:14" s="38" customFormat="1" ht="12.75">
      <c r="A148" s="38" t="s">
        <v>364</v>
      </c>
      <c r="B148" s="38">
        <f>0.747*B143</f>
        <v>73206</v>
      </c>
      <c r="C148" s="38" t="s">
        <v>48</v>
      </c>
      <c r="D148" s="38" t="s">
        <v>38</v>
      </c>
      <c r="E148" s="38" t="s">
        <v>29</v>
      </c>
      <c r="F148" s="38" t="s">
        <v>35</v>
      </c>
      <c r="G148" s="38" t="s">
        <v>33</v>
      </c>
      <c r="H148" s="38">
        <v>0</v>
      </c>
      <c r="I148" s="38">
        <f t="shared" si="8"/>
        <v>73206</v>
      </c>
      <c r="J148" s="38" t="s">
        <v>31</v>
      </c>
      <c r="K148" s="38" t="s">
        <v>31</v>
      </c>
      <c r="L148" s="38" t="s">
        <v>31</v>
      </c>
      <c r="M148" s="38" t="s">
        <v>31</v>
      </c>
      <c r="N148" s="38" t="s">
        <v>365</v>
      </c>
    </row>
    <row r="149" spans="1:14" s="38" customFormat="1" ht="12.75">
      <c r="A149" s="38" t="s">
        <v>211</v>
      </c>
      <c r="B149" s="38">
        <f>35.7*B143</f>
        <v>3498600.0000000005</v>
      </c>
      <c r="C149" s="38" t="s">
        <v>81</v>
      </c>
      <c r="D149" s="38" t="s">
        <v>38</v>
      </c>
      <c r="E149" s="38" t="s">
        <v>29</v>
      </c>
      <c r="F149" s="38" t="s">
        <v>35</v>
      </c>
      <c r="G149" s="38" t="s">
        <v>33</v>
      </c>
      <c r="H149" s="38">
        <v>0</v>
      </c>
      <c r="I149" s="38">
        <f t="shared" si="8"/>
        <v>3498600.0000000005</v>
      </c>
      <c r="J149" s="38" t="s">
        <v>31</v>
      </c>
      <c r="K149" s="38" t="s">
        <v>31</v>
      </c>
      <c r="L149" s="38" t="s">
        <v>31</v>
      </c>
      <c r="M149" s="38" t="s">
        <v>31</v>
      </c>
      <c r="N149" s="38" t="s">
        <v>366</v>
      </c>
    </row>
    <row r="150" spans="1:14" s="38" customFormat="1" ht="12.75">
      <c r="A150" s="38" t="s">
        <v>367</v>
      </c>
      <c r="B150" s="38">
        <f>250.5*B143</f>
        <v>24549000</v>
      </c>
      <c r="C150" s="38" t="s">
        <v>85</v>
      </c>
      <c r="D150" s="38" t="s">
        <v>38</v>
      </c>
      <c r="E150" s="38" t="s">
        <v>29</v>
      </c>
      <c r="F150" s="38" t="s">
        <v>57</v>
      </c>
      <c r="G150" s="38" t="s">
        <v>33</v>
      </c>
      <c r="H150" s="38">
        <v>0</v>
      </c>
      <c r="I150" s="38">
        <f t="shared" si="8"/>
        <v>24549000</v>
      </c>
      <c r="J150" s="38" t="s">
        <v>31</v>
      </c>
      <c r="K150" s="38" t="s">
        <v>31</v>
      </c>
      <c r="L150" s="38" t="s">
        <v>31</v>
      </c>
      <c r="M150" s="38" t="s">
        <v>31</v>
      </c>
      <c r="N150" s="38" t="s">
        <v>368</v>
      </c>
    </row>
    <row r="151" spans="1:14" s="38" customFormat="1" ht="15.75">
      <c r="A151" s="39" t="s">
        <v>5</v>
      </c>
      <c r="B151" s="39" t="s">
        <v>342</v>
      </c>
      <c r="C151" s="40"/>
      <c r="D151" s="41"/>
      <c r="E151" s="41"/>
      <c r="F151" s="41"/>
      <c r="G151" s="41"/>
      <c r="H151" s="41"/>
      <c r="I151" s="41"/>
      <c r="J151" s="41"/>
      <c r="K151" s="41"/>
      <c r="L151" s="41"/>
      <c r="M151" s="41"/>
      <c r="N151" s="41"/>
    </row>
    <row r="152" spans="1:14" s="38" customFormat="1" ht="12.75">
      <c r="A152" s="38" t="s">
        <v>7</v>
      </c>
      <c r="B152" s="38" t="s">
        <v>263</v>
      </c>
    </row>
    <row r="153" spans="1:14" s="38" customFormat="1" ht="12.75">
      <c r="A153" s="38" t="s">
        <v>9</v>
      </c>
      <c r="B153" s="38" t="s">
        <v>369</v>
      </c>
    </row>
    <row r="154" spans="1:14" s="38" customFormat="1" ht="12.75">
      <c r="A154" s="38" t="s">
        <v>11</v>
      </c>
      <c r="B154" s="38" t="s">
        <v>370</v>
      </c>
    </row>
    <row r="155" spans="1:14" s="38" customFormat="1" ht="12.75">
      <c r="A155" s="38" t="s">
        <v>13</v>
      </c>
      <c r="B155" s="38" t="s">
        <v>35</v>
      </c>
    </row>
    <row r="156" spans="1:14" s="38" customFormat="1" ht="12.75">
      <c r="A156" s="38" t="s">
        <v>15</v>
      </c>
      <c r="B156" s="48">
        <v>1</v>
      </c>
    </row>
    <row r="157" spans="1:14" s="38" customFormat="1" ht="12.75">
      <c r="A157" s="38" t="s">
        <v>16</v>
      </c>
      <c r="B157" s="38" t="s">
        <v>17</v>
      </c>
    </row>
    <row r="158" spans="1:14" s="38" customFormat="1" ht="12.75">
      <c r="A158" s="38" t="s">
        <v>18</v>
      </c>
      <c r="B158" s="38" t="s">
        <v>18</v>
      </c>
    </row>
    <row r="159" spans="1:14" ht="15.75">
      <c r="A159" s="37" t="s">
        <v>19</v>
      </c>
    </row>
    <row r="160" spans="1:14" ht="15.75">
      <c r="A160" s="37" t="s">
        <v>20</v>
      </c>
      <c r="B160" s="37" t="s">
        <v>21</v>
      </c>
      <c r="C160" s="37" t="s">
        <v>18</v>
      </c>
      <c r="D160" s="37" t="s">
        <v>22</v>
      </c>
      <c r="E160" s="37" t="s">
        <v>7</v>
      </c>
      <c r="F160" s="37" t="s">
        <v>13</v>
      </c>
      <c r="G160" s="37" t="s">
        <v>16</v>
      </c>
      <c r="H160" s="37" t="s">
        <v>23</v>
      </c>
      <c r="I160" s="37" t="s">
        <v>24</v>
      </c>
      <c r="J160" s="37" t="s">
        <v>25</v>
      </c>
      <c r="K160" s="37" t="s">
        <v>26</v>
      </c>
      <c r="L160" s="37" t="s">
        <v>27</v>
      </c>
      <c r="M160" s="37" t="s">
        <v>28</v>
      </c>
      <c r="N160" s="37" t="s">
        <v>272</v>
      </c>
    </row>
    <row r="161" spans="1:14">
      <c r="A161" s="38" t="str">
        <f>B151</f>
        <v>taxiway</v>
      </c>
      <c r="B161" s="38">
        <f>B156</f>
        <v>1</v>
      </c>
      <c r="C161" s="38" t="str">
        <f>B158</f>
        <v>unit</v>
      </c>
      <c r="D161" s="38" t="s">
        <v>2</v>
      </c>
      <c r="E161" s="38" t="s">
        <v>29</v>
      </c>
      <c r="F161" s="38" t="str">
        <f>B155</f>
        <v>RER</v>
      </c>
      <c r="G161" s="38" t="s">
        <v>30</v>
      </c>
      <c r="H161" s="38">
        <v>0</v>
      </c>
      <c r="I161" s="38">
        <f>B161</f>
        <v>1</v>
      </c>
      <c r="J161" s="38" t="s">
        <v>31</v>
      </c>
      <c r="K161" s="38" t="s">
        <v>31</v>
      </c>
      <c r="L161" s="38" t="s">
        <v>31</v>
      </c>
      <c r="M161" s="38" t="s">
        <v>31</v>
      </c>
      <c r="N161" s="38"/>
    </row>
    <row r="162" spans="1:14">
      <c r="A162" s="48" t="s">
        <v>325</v>
      </c>
      <c r="B162" s="38">
        <v>78720</v>
      </c>
      <c r="C162" s="38" t="s">
        <v>313</v>
      </c>
      <c r="D162" s="38" t="s">
        <v>81</v>
      </c>
      <c r="E162" s="38" t="s">
        <v>314</v>
      </c>
      <c r="F162" s="38" t="s">
        <v>29</v>
      </c>
      <c r="G162" s="38" t="s">
        <v>43</v>
      </c>
      <c r="H162" s="38">
        <v>0</v>
      </c>
      <c r="I162" s="38">
        <f>B162</f>
        <v>78720</v>
      </c>
      <c r="J162" s="38" t="s">
        <v>31</v>
      </c>
      <c r="K162" s="38" t="s">
        <v>31</v>
      </c>
      <c r="L162" s="38" t="s">
        <v>31</v>
      </c>
      <c r="M162" s="38" t="s">
        <v>31</v>
      </c>
      <c r="N162" s="38" t="s">
        <v>315</v>
      </c>
    </row>
    <row r="163" spans="1:14">
      <c r="A163" s="38" t="s">
        <v>326</v>
      </c>
      <c r="B163" s="38">
        <f>100*B162</f>
        <v>7872000</v>
      </c>
      <c r="C163" s="38" t="s">
        <v>317</v>
      </c>
      <c r="D163" s="38" t="s">
        <v>41</v>
      </c>
      <c r="E163" s="38" t="s">
        <v>314</v>
      </c>
      <c r="F163" s="38" t="s">
        <v>29</v>
      </c>
      <c r="G163" s="38" t="s">
        <v>43</v>
      </c>
      <c r="H163" s="38">
        <v>0</v>
      </c>
      <c r="I163" s="38">
        <f>B163</f>
        <v>7872000</v>
      </c>
      <c r="J163" s="38" t="s">
        <v>31</v>
      </c>
      <c r="K163" s="38" t="s">
        <v>31</v>
      </c>
      <c r="L163" s="38" t="s">
        <v>31</v>
      </c>
      <c r="M163" s="38" t="s">
        <v>31</v>
      </c>
      <c r="N163" s="38" t="s">
        <v>318</v>
      </c>
    </row>
    <row r="164" spans="1:14">
      <c r="A164" s="58" t="s">
        <v>358</v>
      </c>
      <c r="B164" s="53">
        <f>B162*0.22*P7</f>
        <v>51960.396039603962</v>
      </c>
      <c r="C164" s="38" t="s">
        <v>48</v>
      </c>
      <c r="D164" s="38" t="s">
        <v>38</v>
      </c>
      <c r="E164" s="38" t="s">
        <v>29</v>
      </c>
      <c r="F164" s="38" t="s">
        <v>57</v>
      </c>
      <c r="G164" s="38" t="s">
        <v>33</v>
      </c>
      <c r="H164" s="38">
        <v>0</v>
      </c>
      <c r="I164" s="38">
        <f t="shared" ref="I164:I169" si="9">B164</f>
        <v>51960.396039603962</v>
      </c>
      <c r="J164" s="38" t="s">
        <v>31</v>
      </c>
      <c r="K164" s="38" t="s">
        <v>31</v>
      </c>
      <c r="L164" s="38" t="s">
        <v>31</v>
      </c>
      <c r="M164" s="38" t="s">
        <v>31</v>
      </c>
      <c r="N164" s="38" t="s">
        <v>359</v>
      </c>
    </row>
    <row r="165" spans="1:14">
      <c r="A165" s="57" t="s">
        <v>95</v>
      </c>
      <c r="B165" s="38">
        <f>1.8*B162*P7</f>
        <v>425130.51305130514</v>
      </c>
      <c r="C165" s="38" t="s">
        <v>37</v>
      </c>
      <c r="D165" s="38" t="s">
        <v>38</v>
      </c>
      <c r="E165" s="38" t="s">
        <v>29</v>
      </c>
      <c r="F165" s="38" t="s">
        <v>57</v>
      </c>
      <c r="G165" s="38" t="s">
        <v>33</v>
      </c>
      <c r="H165" s="38">
        <v>0</v>
      </c>
      <c r="I165" s="38">
        <f t="shared" si="9"/>
        <v>425130.51305130514</v>
      </c>
      <c r="J165" s="38" t="s">
        <v>31</v>
      </c>
      <c r="K165" s="38" t="s">
        <v>31</v>
      </c>
      <c r="L165" s="38" t="s">
        <v>31</v>
      </c>
      <c r="M165" s="38" t="s">
        <v>31</v>
      </c>
      <c r="N165" s="38" t="s">
        <v>371</v>
      </c>
    </row>
    <row r="166" spans="1:14">
      <c r="A166" s="38" t="s">
        <v>361</v>
      </c>
      <c r="B166" s="38">
        <f>0.4*1600*B162</f>
        <v>50380800</v>
      </c>
      <c r="C166" s="38" t="s">
        <v>37</v>
      </c>
      <c r="D166" s="38" t="s">
        <v>38</v>
      </c>
      <c r="E166" s="38" t="s">
        <v>29</v>
      </c>
      <c r="F166" s="38" t="s">
        <v>362</v>
      </c>
      <c r="G166" s="38" t="s">
        <v>33</v>
      </c>
      <c r="H166" s="38">
        <v>0</v>
      </c>
      <c r="I166" s="38">
        <f t="shared" si="9"/>
        <v>50380800</v>
      </c>
      <c r="J166" s="38" t="s">
        <v>31</v>
      </c>
      <c r="K166" s="38" t="s">
        <v>31</v>
      </c>
      <c r="L166" s="38" t="s">
        <v>31</v>
      </c>
      <c r="M166" s="38" t="s">
        <v>31</v>
      </c>
      <c r="N166" s="38" t="s">
        <v>363</v>
      </c>
    </row>
    <row r="167" spans="1:14">
      <c r="A167" s="38" t="s">
        <v>364</v>
      </c>
      <c r="B167" s="38">
        <f>0.747*B162</f>
        <v>58803.839999999997</v>
      </c>
      <c r="C167" s="38" t="s">
        <v>48</v>
      </c>
      <c r="D167" s="38" t="s">
        <v>38</v>
      </c>
      <c r="E167" s="38" t="s">
        <v>29</v>
      </c>
      <c r="F167" s="38" t="s">
        <v>35</v>
      </c>
      <c r="G167" s="38" t="s">
        <v>33</v>
      </c>
      <c r="H167" s="38">
        <v>0</v>
      </c>
      <c r="I167" s="38">
        <f t="shared" si="9"/>
        <v>58803.839999999997</v>
      </c>
      <c r="J167" s="38" t="s">
        <v>31</v>
      </c>
      <c r="K167" s="38" t="s">
        <v>31</v>
      </c>
      <c r="L167" s="38" t="s">
        <v>31</v>
      </c>
      <c r="M167" s="38" t="s">
        <v>31</v>
      </c>
      <c r="N167" s="38" t="s">
        <v>365</v>
      </c>
    </row>
    <row r="168" spans="1:14" s="38" customFormat="1" ht="12.75">
      <c r="A168" s="38" t="s">
        <v>211</v>
      </c>
      <c r="B168" s="38">
        <f>35.7*B162</f>
        <v>2810304</v>
      </c>
      <c r="C168" s="38" t="s">
        <v>81</v>
      </c>
      <c r="D168" s="38" t="s">
        <v>38</v>
      </c>
      <c r="E168" s="38" t="s">
        <v>29</v>
      </c>
      <c r="F168" s="38" t="s">
        <v>35</v>
      </c>
      <c r="G168" s="38" t="s">
        <v>33</v>
      </c>
      <c r="H168" s="38">
        <v>0</v>
      </c>
      <c r="I168" s="38">
        <f t="shared" si="9"/>
        <v>2810304</v>
      </c>
      <c r="J168" s="38" t="s">
        <v>31</v>
      </c>
      <c r="K168" s="38" t="s">
        <v>31</v>
      </c>
      <c r="L168" s="38" t="s">
        <v>31</v>
      </c>
      <c r="M168" s="38" t="s">
        <v>31</v>
      </c>
      <c r="N168" s="38" t="s">
        <v>366</v>
      </c>
    </row>
    <row r="169" spans="1:14" s="38" customFormat="1" ht="12.75">
      <c r="A169" s="38" t="s">
        <v>367</v>
      </c>
      <c r="B169" s="38">
        <f>250.5*B162</f>
        <v>19719360</v>
      </c>
      <c r="C169" s="38" t="s">
        <v>85</v>
      </c>
      <c r="D169" s="38" t="s">
        <v>38</v>
      </c>
      <c r="E169" s="38" t="s">
        <v>29</v>
      </c>
      <c r="F169" s="38" t="s">
        <v>57</v>
      </c>
      <c r="G169" s="38" t="s">
        <v>33</v>
      </c>
      <c r="H169" s="38">
        <v>0</v>
      </c>
      <c r="I169" s="38">
        <f t="shared" si="9"/>
        <v>19719360</v>
      </c>
      <c r="J169" s="38" t="s">
        <v>31</v>
      </c>
      <c r="K169" s="38" t="s">
        <v>31</v>
      </c>
      <c r="L169" s="38" t="s">
        <v>31</v>
      </c>
      <c r="M169" s="38" t="s">
        <v>31</v>
      </c>
      <c r="N169" s="38" t="s">
        <v>368</v>
      </c>
    </row>
    <row r="170" spans="1:14" s="38" customFormat="1" ht="15.75">
      <c r="A170" s="39" t="s">
        <v>5</v>
      </c>
      <c r="B170" s="39" t="s">
        <v>344</v>
      </c>
      <c r="C170" s="40"/>
      <c r="D170" s="41"/>
      <c r="E170" s="41"/>
      <c r="F170" s="41"/>
      <c r="G170" s="41"/>
      <c r="H170" s="41"/>
      <c r="I170" s="41"/>
      <c r="J170" s="41"/>
      <c r="K170" s="41"/>
      <c r="L170" s="41"/>
      <c r="M170" s="41"/>
      <c r="N170" s="41"/>
    </row>
    <row r="171" spans="1:14" s="38" customFormat="1" ht="12.75">
      <c r="A171" s="38" t="s">
        <v>7</v>
      </c>
      <c r="B171" s="38" t="s">
        <v>263</v>
      </c>
    </row>
    <row r="172" spans="1:14" s="38" customFormat="1" ht="12.75">
      <c r="A172" s="38" t="s">
        <v>9</v>
      </c>
      <c r="B172" s="38" t="s">
        <v>372</v>
      </c>
    </row>
    <row r="173" spans="1:14" s="38" customFormat="1" ht="12.75">
      <c r="A173" s="38" t="s">
        <v>11</v>
      </c>
      <c r="B173" s="38" t="s">
        <v>373</v>
      </c>
    </row>
    <row r="174" spans="1:14" s="38" customFormat="1" ht="12.75">
      <c r="A174" s="38" t="s">
        <v>13</v>
      </c>
      <c r="B174" s="38" t="s">
        <v>35</v>
      </c>
    </row>
    <row r="175" spans="1:14" s="38" customFormat="1" ht="12.75">
      <c r="A175" s="38" t="s">
        <v>15</v>
      </c>
      <c r="B175" s="48">
        <v>1</v>
      </c>
    </row>
    <row r="176" spans="1:14" s="38" customFormat="1" ht="12.75">
      <c r="A176" s="38" t="s">
        <v>16</v>
      </c>
      <c r="B176" s="38" t="s">
        <v>17</v>
      </c>
    </row>
    <row r="177" spans="1:14" s="38" customFormat="1" ht="12.75">
      <c r="A177" s="38" t="s">
        <v>18</v>
      </c>
      <c r="B177" s="38" t="s">
        <v>18</v>
      </c>
    </row>
    <row r="178" spans="1:14" ht="15.75">
      <c r="A178" s="37" t="s">
        <v>19</v>
      </c>
    </row>
    <row r="179" spans="1:14" ht="15.75">
      <c r="A179" s="37" t="s">
        <v>20</v>
      </c>
      <c r="B179" s="37" t="s">
        <v>21</v>
      </c>
      <c r="C179" s="37" t="s">
        <v>18</v>
      </c>
      <c r="D179" s="37" t="s">
        <v>22</v>
      </c>
      <c r="E179" s="37" t="s">
        <v>7</v>
      </c>
      <c r="F179" s="37" t="s">
        <v>13</v>
      </c>
      <c r="G179" s="37" t="s">
        <v>16</v>
      </c>
      <c r="H179" s="37" t="s">
        <v>23</v>
      </c>
      <c r="I179" s="37" t="s">
        <v>24</v>
      </c>
      <c r="J179" s="37" t="s">
        <v>25</v>
      </c>
      <c r="K179" s="37" t="s">
        <v>26</v>
      </c>
      <c r="L179" s="37" t="s">
        <v>27</v>
      </c>
      <c r="M179" s="37" t="s">
        <v>28</v>
      </c>
      <c r="N179" s="37" t="s">
        <v>272</v>
      </c>
    </row>
    <row r="180" spans="1:14">
      <c r="A180" s="38" t="str">
        <f>B170</f>
        <v>runway</v>
      </c>
      <c r="B180" s="38">
        <f>B175</f>
        <v>1</v>
      </c>
      <c r="C180" s="38" t="str">
        <f>B177</f>
        <v>unit</v>
      </c>
      <c r="D180" s="38" t="s">
        <v>2</v>
      </c>
      <c r="E180" s="38" t="s">
        <v>29</v>
      </c>
      <c r="F180" s="38" t="str">
        <f>B174</f>
        <v>RER</v>
      </c>
      <c r="G180" s="38" t="s">
        <v>30</v>
      </c>
      <c r="H180" s="38">
        <v>0</v>
      </c>
      <c r="I180" s="38">
        <f>B180</f>
        <v>1</v>
      </c>
      <c r="J180" s="38" t="s">
        <v>31</v>
      </c>
      <c r="K180" s="38" t="s">
        <v>31</v>
      </c>
      <c r="L180" s="38" t="s">
        <v>31</v>
      </c>
      <c r="M180" s="38" t="s">
        <v>31</v>
      </c>
      <c r="N180" s="38"/>
    </row>
    <row r="181" spans="1:14">
      <c r="A181" s="48" t="s">
        <v>325</v>
      </c>
      <c r="B181" s="38">
        <v>99000</v>
      </c>
      <c r="C181" s="38" t="s">
        <v>313</v>
      </c>
      <c r="D181" s="38" t="s">
        <v>41</v>
      </c>
      <c r="E181" s="38" t="s">
        <v>314</v>
      </c>
      <c r="F181" s="38" t="s">
        <v>29</v>
      </c>
      <c r="G181" s="38" t="s">
        <v>43</v>
      </c>
      <c r="H181" s="38">
        <v>0</v>
      </c>
      <c r="I181" s="38">
        <f>B181</f>
        <v>99000</v>
      </c>
      <c r="J181" s="38" t="s">
        <v>31</v>
      </c>
      <c r="K181" s="38" t="s">
        <v>31</v>
      </c>
      <c r="L181" s="38" t="s">
        <v>31</v>
      </c>
      <c r="M181" s="38" t="s">
        <v>31</v>
      </c>
      <c r="N181" s="38" t="s">
        <v>315</v>
      </c>
    </row>
    <row r="182" spans="1:14">
      <c r="A182" s="38" t="s">
        <v>326</v>
      </c>
      <c r="B182" s="38">
        <f>100*B181</f>
        <v>9900000</v>
      </c>
      <c r="C182" s="38" t="s">
        <v>317</v>
      </c>
      <c r="D182" s="38" t="s">
        <v>41</v>
      </c>
      <c r="E182" s="38" t="s">
        <v>314</v>
      </c>
      <c r="F182" s="38" t="s">
        <v>29</v>
      </c>
      <c r="G182" s="38" t="s">
        <v>43</v>
      </c>
      <c r="H182" s="38">
        <v>0</v>
      </c>
      <c r="I182" s="38">
        <f>B182</f>
        <v>9900000</v>
      </c>
      <c r="J182" s="38" t="s">
        <v>31</v>
      </c>
      <c r="K182" s="38" t="s">
        <v>31</v>
      </c>
      <c r="L182" s="38" t="s">
        <v>31</v>
      </c>
      <c r="M182" s="38" t="s">
        <v>31</v>
      </c>
      <c r="N182" s="38" t="s">
        <v>318</v>
      </c>
    </row>
    <row r="183" spans="1:14">
      <c r="A183" s="58" t="s">
        <v>358</v>
      </c>
      <c r="B183" s="53">
        <f>B181*0.22*P7</f>
        <v>65346.534653465344</v>
      </c>
      <c r="C183" s="38" t="s">
        <v>48</v>
      </c>
      <c r="D183" s="38" t="s">
        <v>38</v>
      </c>
      <c r="E183" s="38" t="s">
        <v>29</v>
      </c>
      <c r="F183" s="38" t="s">
        <v>57</v>
      </c>
      <c r="G183" s="38" t="s">
        <v>33</v>
      </c>
      <c r="H183" s="38">
        <v>0</v>
      </c>
      <c r="I183" s="38">
        <f t="shared" ref="I183:I188" si="10">B183</f>
        <v>65346.534653465344</v>
      </c>
      <c r="J183" s="38" t="s">
        <v>31</v>
      </c>
      <c r="K183" s="38" t="s">
        <v>31</v>
      </c>
      <c r="L183" s="38" t="s">
        <v>31</v>
      </c>
      <c r="M183" s="38" t="s">
        <v>31</v>
      </c>
      <c r="N183" s="38" t="s">
        <v>359</v>
      </c>
    </row>
    <row r="184" spans="1:14">
      <c r="A184" s="57" t="s">
        <v>95</v>
      </c>
      <c r="B184" s="38">
        <f>1.8*B181*P7</f>
        <v>534653.46534653462</v>
      </c>
      <c r="C184" s="38" t="s">
        <v>37</v>
      </c>
      <c r="D184" s="38" t="s">
        <v>38</v>
      </c>
      <c r="E184" s="38" t="s">
        <v>29</v>
      </c>
      <c r="F184" s="38" t="s">
        <v>57</v>
      </c>
      <c r="G184" s="38" t="s">
        <v>33</v>
      </c>
      <c r="H184" s="38">
        <v>0</v>
      </c>
      <c r="I184" s="38">
        <f t="shared" si="10"/>
        <v>534653.46534653462</v>
      </c>
      <c r="J184" s="38" t="s">
        <v>31</v>
      </c>
      <c r="K184" s="38" t="s">
        <v>31</v>
      </c>
      <c r="L184" s="38" t="s">
        <v>31</v>
      </c>
      <c r="M184" s="38" t="s">
        <v>31</v>
      </c>
      <c r="N184" s="38" t="s">
        <v>371</v>
      </c>
    </row>
    <row r="185" spans="1:14">
      <c r="A185" s="38" t="s">
        <v>361</v>
      </c>
      <c r="B185" s="38">
        <f>0.4*1600*B181</f>
        <v>63360000</v>
      </c>
      <c r="C185" s="38" t="s">
        <v>37</v>
      </c>
      <c r="D185" s="38" t="s">
        <v>38</v>
      </c>
      <c r="E185" s="38" t="s">
        <v>29</v>
      </c>
      <c r="F185" s="38" t="s">
        <v>362</v>
      </c>
      <c r="G185" s="38" t="s">
        <v>33</v>
      </c>
      <c r="H185" s="38">
        <v>0</v>
      </c>
      <c r="I185" s="38">
        <f t="shared" si="10"/>
        <v>63360000</v>
      </c>
      <c r="J185" s="38" t="s">
        <v>31</v>
      </c>
      <c r="K185" s="38" t="s">
        <v>31</v>
      </c>
      <c r="L185" s="38" t="s">
        <v>31</v>
      </c>
      <c r="M185" s="38" t="s">
        <v>31</v>
      </c>
      <c r="N185" s="38" t="s">
        <v>363</v>
      </c>
    </row>
    <row r="186" spans="1:14">
      <c r="A186" s="38" t="s">
        <v>364</v>
      </c>
      <c r="B186" s="38">
        <f>0.747*B181</f>
        <v>73953</v>
      </c>
      <c r="C186" s="38" t="s">
        <v>48</v>
      </c>
      <c r="D186" s="38" t="s">
        <v>38</v>
      </c>
      <c r="E186" s="38" t="s">
        <v>29</v>
      </c>
      <c r="F186" s="38" t="s">
        <v>35</v>
      </c>
      <c r="G186" s="38" t="s">
        <v>33</v>
      </c>
      <c r="H186" s="38">
        <v>0</v>
      </c>
      <c r="I186" s="38">
        <f t="shared" si="10"/>
        <v>73953</v>
      </c>
      <c r="J186" s="38" t="s">
        <v>31</v>
      </c>
      <c r="K186" s="38" t="s">
        <v>31</v>
      </c>
      <c r="L186" s="38" t="s">
        <v>31</v>
      </c>
      <c r="M186" s="38" t="s">
        <v>31</v>
      </c>
      <c r="N186" s="38" t="s">
        <v>365</v>
      </c>
    </row>
    <row r="187" spans="1:14" s="38" customFormat="1" ht="12.75">
      <c r="A187" s="38" t="s">
        <v>211</v>
      </c>
      <c r="B187" s="38">
        <f>35.7*B181</f>
        <v>3534300.0000000005</v>
      </c>
      <c r="C187" s="38" t="s">
        <v>81</v>
      </c>
      <c r="D187" s="38" t="s">
        <v>38</v>
      </c>
      <c r="E187" s="38" t="s">
        <v>29</v>
      </c>
      <c r="F187" s="38" t="s">
        <v>35</v>
      </c>
      <c r="G187" s="38" t="s">
        <v>33</v>
      </c>
      <c r="H187" s="38">
        <v>0</v>
      </c>
      <c r="I187" s="38">
        <f t="shared" si="10"/>
        <v>3534300.0000000005</v>
      </c>
      <c r="J187" s="38" t="s">
        <v>31</v>
      </c>
      <c r="K187" s="38" t="s">
        <v>31</v>
      </c>
      <c r="L187" s="38" t="s">
        <v>31</v>
      </c>
      <c r="M187" s="38" t="s">
        <v>31</v>
      </c>
      <c r="N187" s="38" t="s">
        <v>366</v>
      </c>
    </row>
    <row r="188" spans="1:14" s="38" customFormat="1" ht="12.75">
      <c r="A188" s="38" t="s">
        <v>367</v>
      </c>
      <c r="B188" s="38">
        <f>250.5*B181</f>
        <v>24799500</v>
      </c>
      <c r="C188" s="38" t="s">
        <v>85</v>
      </c>
      <c r="D188" s="38" t="s">
        <v>38</v>
      </c>
      <c r="E188" s="38" t="s">
        <v>29</v>
      </c>
      <c r="F188" s="38" t="s">
        <v>57</v>
      </c>
      <c r="G188" s="38" t="s">
        <v>33</v>
      </c>
      <c r="H188" s="38">
        <v>0</v>
      </c>
      <c r="I188" s="38">
        <f t="shared" si="10"/>
        <v>24799500</v>
      </c>
      <c r="J188" s="38" t="s">
        <v>31</v>
      </c>
      <c r="K188" s="38" t="s">
        <v>31</v>
      </c>
      <c r="L188" s="38" t="s">
        <v>31</v>
      </c>
      <c r="M188" s="38" t="s">
        <v>31</v>
      </c>
      <c r="N188" s="38" t="s">
        <v>368</v>
      </c>
    </row>
    <row r="189" spans="1:14" ht="15.75">
      <c r="A189" s="39" t="s">
        <v>5</v>
      </c>
      <c r="B189" s="39" t="s">
        <v>346</v>
      </c>
      <c r="C189" s="40"/>
      <c r="D189" s="41"/>
      <c r="E189" s="41"/>
      <c r="F189" s="41"/>
      <c r="G189" s="41"/>
      <c r="H189" s="41"/>
      <c r="I189" s="41"/>
      <c r="J189" s="41"/>
      <c r="K189" s="41"/>
      <c r="L189" s="41"/>
      <c r="M189" s="41"/>
      <c r="N189" s="41"/>
    </row>
    <row r="190" spans="1:14" s="38" customFormat="1" ht="12.75">
      <c r="A190" s="38" t="s">
        <v>7</v>
      </c>
      <c r="B190" s="38" t="s">
        <v>263</v>
      </c>
    </row>
    <row r="191" spans="1:14" s="38" customFormat="1" ht="12.75">
      <c r="A191" s="38" t="s">
        <v>9</v>
      </c>
      <c r="B191" s="38" t="s">
        <v>374</v>
      </c>
    </row>
    <row r="192" spans="1:14" s="38" customFormat="1" ht="12.75">
      <c r="A192" s="38" t="s">
        <v>11</v>
      </c>
      <c r="B192" s="38" t="s">
        <v>375</v>
      </c>
    </row>
    <row r="193" spans="1:14" s="38" customFormat="1" ht="12.75">
      <c r="A193" s="38" t="s">
        <v>13</v>
      </c>
      <c r="B193" s="38" t="s">
        <v>35</v>
      </c>
    </row>
    <row r="194" spans="1:14" s="38" customFormat="1" ht="12.75">
      <c r="A194" s="38" t="s">
        <v>15</v>
      </c>
      <c r="B194" s="48">
        <v>1</v>
      </c>
    </row>
    <row r="195" spans="1:14" s="38" customFormat="1" ht="12.75">
      <c r="A195" s="38" t="s">
        <v>16</v>
      </c>
      <c r="B195" s="38" t="s">
        <v>17</v>
      </c>
    </row>
    <row r="196" spans="1:14" s="38" customFormat="1" ht="12.75">
      <c r="A196" s="38" t="s">
        <v>18</v>
      </c>
      <c r="B196" s="38" t="s">
        <v>18</v>
      </c>
    </row>
    <row r="197" spans="1:14" ht="15.75">
      <c r="A197" s="37" t="s">
        <v>19</v>
      </c>
    </row>
    <row r="198" spans="1:14" ht="15.75">
      <c r="A198" s="37" t="s">
        <v>20</v>
      </c>
      <c r="B198" s="37" t="s">
        <v>21</v>
      </c>
      <c r="C198" s="37" t="s">
        <v>18</v>
      </c>
      <c r="D198" s="37" t="s">
        <v>22</v>
      </c>
      <c r="E198" s="37" t="s">
        <v>7</v>
      </c>
      <c r="F198" s="37" t="s">
        <v>13</v>
      </c>
      <c r="G198" s="37" t="s">
        <v>16</v>
      </c>
      <c r="H198" s="37" t="s">
        <v>23</v>
      </c>
      <c r="I198" s="37" t="s">
        <v>24</v>
      </c>
      <c r="J198" s="37" t="s">
        <v>25</v>
      </c>
      <c r="K198" s="37" t="s">
        <v>26</v>
      </c>
      <c r="L198" s="37" t="s">
        <v>27</v>
      </c>
      <c r="M198" s="37" t="s">
        <v>28</v>
      </c>
      <c r="N198" s="37" t="s">
        <v>272</v>
      </c>
    </row>
    <row r="199" spans="1:14" s="38" customFormat="1" ht="12.75">
      <c r="A199" s="38" t="str">
        <f>B189</f>
        <v>airside green areas</v>
      </c>
      <c r="B199" s="38">
        <f>B194</f>
        <v>1</v>
      </c>
      <c r="C199" s="38" t="str">
        <f>B196</f>
        <v>unit</v>
      </c>
      <c r="D199" s="38" t="s">
        <v>2</v>
      </c>
      <c r="E199" s="38" t="s">
        <v>29</v>
      </c>
      <c r="F199" s="38" t="str">
        <f>B193</f>
        <v>RER</v>
      </c>
      <c r="G199" s="38" t="s">
        <v>30</v>
      </c>
      <c r="H199" s="38">
        <v>0</v>
      </c>
      <c r="I199" s="38">
        <f>B199</f>
        <v>1</v>
      </c>
      <c r="J199" s="38" t="s">
        <v>31</v>
      </c>
      <c r="K199" s="38" t="s">
        <v>31</v>
      </c>
      <c r="L199" s="38" t="s">
        <v>31</v>
      </c>
      <c r="M199" s="38" t="s">
        <v>31</v>
      </c>
    </row>
    <row r="200" spans="1:14" s="38" customFormat="1" ht="12.75">
      <c r="A200" s="48" t="s">
        <v>331</v>
      </c>
      <c r="B200" s="53">
        <v>1403948</v>
      </c>
      <c r="C200" s="38" t="s">
        <v>313</v>
      </c>
      <c r="D200" s="38" t="s">
        <v>41</v>
      </c>
      <c r="E200" s="38" t="s">
        <v>314</v>
      </c>
      <c r="F200" s="38" t="s">
        <v>29</v>
      </c>
      <c r="G200" s="38" t="s">
        <v>43</v>
      </c>
      <c r="H200" s="38">
        <v>0</v>
      </c>
      <c r="I200" s="38">
        <f t="shared" ref="I200" si="11">B200</f>
        <v>1403948</v>
      </c>
      <c r="J200" s="38" t="s">
        <v>31</v>
      </c>
      <c r="K200" s="38" t="s">
        <v>31</v>
      </c>
      <c r="L200" s="38" t="s">
        <v>31</v>
      </c>
      <c r="M200" s="38" t="s">
        <v>31</v>
      </c>
      <c r="N200" s="38" t="s">
        <v>315</v>
      </c>
    </row>
    <row r="201" spans="1:14">
      <c r="A201" s="41"/>
      <c r="B201" s="41"/>
      <c r="C201" s="41"/>
      <c r="D201" s="41"/>
      <c r="E201" s="41"/>
      <c r="F201" s="41"/>
      <c r="G201" s="41"/>
      <c r="H201" s="41"/>
      <c r="I201" s="41"/>
      <c r="J201" s="41"/>
      <c r="K201" s="41"/>
      <c r="L201" s="41"/>
      <c r="M201" s="41"/>
      <c r="N201" s="41"/>
    </row>
  </sheetData>
  <mergeCells count="1">
    <mergeCell ref="O3:P3"/>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7E1B-18CF-4B16-84DA-C9F1B6FEBD2A}">
  <dimension ref="A1:Q54"/>
  <sheetViews>
    <sheetView workbookViewId="0">
      <selection activeCell="D13" sqref="D13"/>
    </sheetView>
  </sheetViews>
  <sheetFormatPr defaultColWidth="8.85546875" defaultRowHeight="15"/>
  <cols>
    <col min="1" max="1" width="33" style="35" customWidth="1"/>
    <col min="2" max="2" width="20.28515625" style="35" customWidth="1"/>
    <col min="3" max="3" width="10.7109375" style="35" customWidth="1"/>
    <col min="4" max="4" width="33.85546875" style="35" customWidth="1"/>
    <col min="5" max="7" width="12.5703125" style="35" customWidth="1"/>
    <col min="8" max="8" width="17.7109375" style="35" customWidth="1"/>
    <col min="9" max="9" width="13" style="35" customWidth="1"/>
    <col min="10" max="14" width="12" style="35" customWidth="1"/>
    <col min="15" max="15" width="17.7109375" style="35" customWidth="1"/>
    <col min="16" max="16" width="10.42578125" style="35" customWidth="1"/>
    <col min="17" max="16384" width="8.85546875" style="35"/>
  </cols>
  <sheetData>
    <row r="1" spans="1:17">
      <c r="A1" s="35" t="s">
        <v>0</v>
      </c>
      <c r="B1" s="35">
        <v>13</v>
      </c>
      <c r="C1" s="36"/>
    </row>
    <row r="2" spans="1:17" ht="15.75">
      <c r="A2" s="39" t="s">
        <v>5</v>
      </c>
      <c r="B2" s="39" t="s">
        <v>286</v>
      </c>
      <c r="C2" s="40"/>
      <c r="D2" s="41"/>
      <c r="E2" s="41"/>
      <c r="F2" s="41"/>
      <c r="G2" s="41"/>
      <c r="H2" s="41"/>
      <c r="I2" s="41"/>
      <c r="J2" s="41"/>
      <c r="K2" s="41"/>
      <c r="L2" s="41"/>
      <c r="M2" s="41"/>
      <c r="N2" s="41"/>
    </row>
    <row r="3" spans="1:17">
      <c r="A3" s="38" t="s">
        <v>7</v>
      </c>
      <c r="B3" s="38" t="s">
        <v>263</v>
      </c>
      <c r="C3" s="38"/>
      <c r="D3" s="38"/>
      <c r="E3" s="38"/>
      <c r="F3" s="38"/>
      <c r="G3" s="38"/>
      <c r="H3" s="38"/>
      <c r="I3" s="38"/>
      <c r="J3" s="38"/>
      <c r="K3" s="38"/>
      <c r="L3" s="38"/>
      <c r="M3" s="38"/>
      <c r="N3" s="38"/>
      <c r="O3" s="143" t="s">
        <v>264</v>
      </c>
      <c r="P3" s="144"/>
      <c r="Q3" s="145"/>
    </row>
    <row r="4" spans="1:17">
      <c r="A4" s="38" t="s">
        <v>9</v>
      </c>
      <c r="B4" s="38" t="s">
        <v>376</v>
      </c>
      <c r="C4" s="38"/>
      <c r="D4" s="38"/>
      <c r="E4" s="38"/>
      <c r="F4" s="38"/>
      <c r="G4" s="38"/>
      <c r="H4" s="38"/>
      <c r="I4" s="38"/>
      <c r="J4" s="38"/>
      <c r="K4" s="38"/>
      <c r="L4" s="38"/>
      <c r="M4" s="38"/>
      <c r="N4" s="38"/>
      <c r="O4" s="42" t="s">
        <v>266</v>
      </c>
      <c r="P4" s="43" t="s">
        <v>267</v>
      </c>
      <c r="Q4" s="44" t="s">
        <v>268</v>
      </c>
    </row>
    <row r="5" spans="1:17">
      <c r="A5" s="38" t="s">
        <v>11</v>
      </c>
      <c r="B5" s="38" t="s">
        <v>377</v>
      </c>
      <c r="C5" s="38"/>
      <c r="D5" s="38"/>
      <c r="E5" s="38"/>
      <c r="F5" s="38"/>
      <c r="G5" s="38"/>
      <c r="H5" s="38"/>
      <c r="I5" s="38"/>
      <c r="J5" s="38"/>
      <c r="K5" s="38"/>
      <c r="L5" s="38"/>
      <c r="M5" s="38"/>
      <c r="N5" s="38"/>
      <c r="O5" s="45" t="s">
        <v>297</v>
      </c>
      <c r="P5" s="46">
        <v>100</v>
      </c>
      <c r="Q5" s="47">
        <f>P5/P5</f>
        <v>1</v>
      </c>
    </row>
    <row r="6" spans="1:17">
      <c r="A6" s="38" t="s">
        <v>13</v>
      </c>
      <c r="B6" s="38" t="s">
        <v>35</v>
      </c>
      <c r="C6" s="38"/>
      <c r="D6" s="38"/>
      <c r="E6" s="38"/>
      <c r="F6" s="38"/>
      <c r="G6" s="38"/>
      <c r="H6" s="38"/>
      <c r="I6" s="38"/>
      <c r="J6" s="38"/>
      <c r="K6" s="38"/>
      <c r="L6" s="38"/>
      <c r="M6" s="38"/>
      <c r="N6" s="38"/>
      <c r="O6" s="45" t="s">
        <v>340</v>
      </c>
      <c r="P6" s="46">
        <v>33.33</v>
      </c>
      <c r="Q6" s="47">
        <f>P5/P6</f>
        <v>3.0003000300030003</v>
      </c>
    </row>
    <row r="7" spans="1:17">
      <c r="A7" s="38" t="s">
        <v>15</v>
      </c>
      <c r="B7" s="48">
        <v>1</v>
      </c>
      <c r="C7" s="38"/>
      <c r="D7" s="38"/>
      <c r="E7" s="38"/>
      <c r="F7" s="38"/>
      <c r="G7" s="38"/>
      <c r="H7" s="38"/>
      <c r="I7" s="38"/>
      <c r="J7" s="38"/>
      <c r="K7" s="38"/>
      <c r="L7" s="38"/>
      <c r="M7" s="38"/>
      <c r="N7" s="38"/>
      <c r="O7" s="45" t="s">
        <v>342</v>
      </c>
      <c r="P7" s="46">
        <v>33.33</v>
      </c>
      <c r="Q7" s="47">
        <f>P5/P7</f>
        <v>3.0003000300030003</v>
      </c>
    </row>
    <row r="8" spans="1:17">
      <c r="A8" s="38" t="s">
        <v>16</v>
      </c>
      <c r="B8" s="38" t="s">
        <v>17</v>
      </c>
      <c r="C8" s="38"/>
      <c r="D8" s="38"/>
      <c r="E8" s="38"/>
      <c r="F8" s="38"/>
      <c r="G8" s="38"/>
      <c r="H8" s="38"/>
      <c r="I8" s="38"/>
      <c r="J8" s="38"/>
      <c r="K8" s="38"/>
      <c r="L8" s="38"/>
      <c r="M8" s="38"/>
      <c r="N8" s="38"/>
      <c r="O8" s="49" t="s">
        <v>344</v>
      </c>
      <c r="P8" s="50">
        <v>33.33</v>
      </c>
      <c r="Q8" s="51">
        <f>P5/P8</f>
        <v>3.0003000300030003</v>
      </c>
    </row>
    <row r="9" spans="1:17">
      <c r="A9" s="38" t="s">
        <v>18</v>
      </c>
      <c r="B9" s="38" t="s">
        <v>18</v>
      </c>
      <c r="C9" s="38"/>
      <c r="D9" s="38"/>
      <c r="E9" s="38"/>
      <c r="F9" s="38"/>
      <c r="G9" s="38"/>
      <c r="H9" s="38"/>
      <c r="I9" s="38"/>
      <c r="J9" s="38"/>
      <c r="K9" s="38"/>
      <c r="L9" s="38"/>
      <c r="M9" s="38"/>
      <c r="N9" s="38"/>
      <c r="O9" s="48"/>
      <c r="P9" s="38"/>
    </row>
    <row r="10" spans="1:17" ht="15.75">
      <c r="A10" s="37" t="s">
        <v>19</v>
      </c>
      <c r="O10" s="38"/>
      <c r="P10" s="38"/>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7">
      <c r="A12" s="38" t="str">
        <f>B2</f>
        <v>airport decommission</v>
      </c>
      <c r="B12" s="38">
        <f>B7</f>
        <v>1</v>
      </c>
      <c r="C12" s="38" t="str">
        <f>B9</f>
        <v>unit</v>
      </c>
      <c r="D12" s="38" t="s">
        <v>2</v>
      </c>
      <c r="E12" s="38" t="s">
        <v>29</v>
      </c>
      <c r="F12" s="38" t="str">
        <f>B6</f>
        <v>RER</v>
      </c>
      <c r="G12" s="38" t="s">
        <v>30</v>
      </c>
      <c r="H12" s="38">
        <v>0</v>
      </c>
      <c r="I12" s="38">
        <f>B12</f>
        <v>1</v>
      </c>
      <c r="J12" s="38"/>
      <c r="K12" s="38"/>
      <c r="L12" s="38"/>
      <c r="M12" s="38"/>
      <c r="N12" s="38"/>
      <c r="O12" s="38"/>
      <c r="P12" s="38"/>
    </row>
    <row r="13" spans="1:17">
      <c r="A13" s="38" t="s">
        <v>378</v>
      </c>
      <c r="B13" s="52">
        <f>1*Q6</f>
        <v>3.0003000300030003</v>
      </c>
      <c r="C13" s="38" t="s">
        <v>18</v>
      </c>
      <c r="D13" s="38" t="s">
        <v>2</v>
      </c>
      <c r="E13" s="38" t="s">
        <v>29</v>
      </c>
      <c r="F13" s="38" t="s">
        <v>35</v>
      </c>
      <c r="G13" s="38" t="s">
        <v>33</v>
      </c>
      <c r="H13" s="38">
        <v>0</v>
      </c>
      <c r="I13" s="38">
        <f>B13</f>
        <v>3.0003000300030003</v>
      </c>
      <c r="J13" s="38" t="s">
        <v>31</v>
      </c>
      <c r="K13" s="38" t="s">
        <v>31</v>
      </c>
      <c r="L13" s="38" t="s">
        <v>31</v>
      </c>
      <c r="M13" s="38" t="s">
        <v>31</v>
      </c>
      <c r="N13" s="38"/>
      <c r="O13" s="38"/>
      <c r="P13" s="38"/>
    </row>
    <row r="14" spans="1:17">
      <c r="A14" s="38" t="s">
        <v>379</v>
      </c>
      <c r="B14" s="52">
        <f t="shared" ref="B14:B15" si="0">1*Q7</f>
        <v>3.0003000300030003</v>
      </c>
      <c r="C14" s="38" t="s">
        <v>18</v>
      </c>
      <c r="D14" s="38" t="s">
        <v>2</v>
      </c>
      <c r="E14" s="38" t="s">
        <v>29</v>
      </c>
      <c r="F14" s="38" t="s">
        <v>35</v>
      </c>
      <c r="G14" s="38" t="s">
        <v>33</v>
      </c>
      <c r="H14" s="38">
        <v>0</v>
      </c>
      <c r="I14" s="38">
        <f t="shared" ref="I14:I15" si="1">B14</f>
        <v>3.0003000300030003</v>
      </c>
      <c r="J14" s="38" t="s">
        <v>31</v>
      </c>
      <c r="K14" s="38" t="s">
        <v>31</v>
      </c>
      <c r="L14" s="38" t="s">
        <v>31</v>
      </c>
      <c r="M14" s="38" t="s">
        <v>31</v>
      </c>
      <c r="N14" s="38"/>
      <c r="O14" s="38"/>
      <c r="P14" s="38"/>
    </row>
    <row r="15" spans="1:17">
      <c r="A15" s="38" t="s">
        <v>380</v>
      </c>
      <c r="B15" s="52">
        <f t="shared" si="0"/>
        <v>3.0003000300030003</v>
      </c>
      <c r="C15" s="38" t="s">
        <v>18</v>
      </c>
      <c r="D15" s="38" t="s">
        <v>2</v>
      </c>
      <c r="E15" s="38" t="s">
        <v>29</v>
      </c>
      <c r="F15" s="38" t="s">
        <v>35</v>
      </c>
      <c r="G15" s="38" t="s">
        <v>33</v>
      </c>
      <c r="H15" s="38">
        <v>0</v>
      </c>
      <c r="I15" s="38">
        <f t="shared" si="1"/>
        <v>3.0003000300030003</v>
      </c>
      <c r="J15" s="38" t="s">
        <v>31</v>
      </c>
      <c r="K15" s="38" t="s">
        <v>31</v>
      </c>
      <c r="L15" s="38" t="s">
        <v>31</v>
      </c>
      <c r="M15" s="38" t="s">
        <v>31</v>
      </c>
      <c r="N15" s="38"/>
      <c r="O15" s="38"/>
      <c r="P15" s="38"/>
    </row>
    <row r="16" spans="1:17" ht="15.75">
      <c r="A16" s="39" t="s">
        <v>5</v>
      </c>
      <c r="B16" s="39" t="s">
        <v>378</v>
      </c>
      <c r="C16" s="40"/>
      <c r="D16" s="41"/>
      <c r="E16" s="41"/>
      <c r="F16" s="41"/>
      <c r="G16" s="41"/>
      <c r="H16" s="41"/>
      <c r="I16" s="41"/>
      <c r="J16" s="41"/>
      <c r="K16" s="41"/>
      <c r="L16" s="41"/>
      <c r="M16" s="41"/>
      <c r="N16" s="41"/>
      <c r="O16" s="38"/>
      <c r="P16" s="38"/>
    </row>
    <row r="17" spans="1:16">
      <c r="A17" s="38" t="s">
        <v>7</v>
      </c>
      <c r="B17" s="38" t="s">
        <v>263</v>
      </c>
      <c r="C17" s="38"/>
      <c r="D17" s="38"/>
      <c r="E17" s="38"/>
      <c r="F17" s="38"/>
      <c r="G17" s="38"/>
      <c r="H17" s="38"/>
      <c r="I17" s="38"/>
      <c r="J17" s="38"/>
      <c r="K17" s="38"/>
      <c r="L17" s="38"/>
      <c r="M17" s="38"/>
      <c r="N17" s="38"/>
      <c r="O17" s="59" t="s">
        <v>381</v>
      </c>
      <c r="P17" s="38"/>
    </row>
    <row r="18" spans="1:16">
      <c r="A18" s="38" t="s">
        <v>9</v>
      </c>
      <c r="B18" s="38" t="s">
        <v>382</v>
      </c>
      <c r="C18" s="38"/>
      <c r="D18" s="38"/>
      <c r="E18" s="38"/>
      <c r="F18" s="38"/>
      <c r="G18" s="38"/>
      <c r="H18" s="38"/>
      <c r="I18" s="38"/>
      <c r="J18" s="38"/>
      <c r="K18" s="38"/>
      <c r="L18" s="38"/>
      <c r="M18" s="38"/>
      <c r="N18" s="38"/>
      <c r="O18" s="60">
        <v>98000</v>
      </c>
      <c r="P18" s="38"/>
    </row>
    <row r="19" spans="1:16">
      <c r="A19" s="38" t="s">
        <v>11</v>
      </c>
      <c r="B19" s="38" t="s">
        <v>383</v>
      </c>
      <c r="C19" s="38"/>
      <c r="D19" s="38"/>
      <c r="E19" s="38"/>
      <c r="F19" s="38"/>
      <c r="G19" s="38"/>
      <c r="H19" s="38"/>
      <c r="I19" s="38"/>
      <c r="J19" s="38"/>
      <c r="K19" s="38"/>
      <c r="L19" s="38"/>
      <c r="M19" s="38"/>
      <c r="N19" s="38"/>
      <c r="O19" s="38"/>
      <c r="P19" s="38"/>
    </row>
    <row r="20" spans="1:16">
      <c r="A20" s="38" t="s">
        <v>13</v>
      </c>
      <c r="B20" s="38" t="s">
        <v>35</v>
      </c>
      <c r="C20" s="38"/>
      <c r="D20" s="38"/>
      <c r="E20" s="38"/>
      <c r="F20" s="38"/>
      <c r="G20" s="38"/>
      <c r="H20" s="38"/>
      <c r="I20" s="38"/>
      <c r="J20" s="38"/>
      <c r="K20" s="38"/>
      <c r="L20" s="38"/>
      <c r="M20" s="38"/>
      <c r="N20" s="38"/>
      <c r="O20" s="38"/>
      <c r="P20" s="38"/>
    </row>
    <row r="21" spans="1:16">
      <c r="A21" s="38" t="s">
        <v>15</v>
      </c>
      <c r="B21" s="48">
        <v>1</v>
      </c>
      <c r="C21" s="38"/>
      <c r="D21" s="38"/>
      <c r="E21" s="38"/>
      <c r="F21" s="38"/>
      <c r="G21" s="38"/>
      <c r="H21" s="38"/>
      <c r="I21" s="38"/>
      <c r="J21" s="38"/>
      <c r="K21" s="38"/>
      <c r="L21" s="38"/>
      <c r="M21" s="38"/>
      <c r="N21" s="38"/>
    </row>
    <row r="22" spans="1:16">
      <c r="A22" s="38" t="s">
        <v>16</v>
      </c>
      <c r="B22" s="38" t="s">
        <v>17</v>
      </c>
      <c r="C22" s="38"/>
      <c r="D22" s="38"/>
      <c r="E22" s="38"/>
      <c r="F22" s="38"/>
      <c r="G22" s="38"/>
      <c r="H22" s="38"/>
      <c r="I22" s="38"/>
      <c r="J22" s="38"/>
      <c r="K22" s="38"/>
      <c r="L22" s="38"/>
      <c r="M22" s="38"/>
      <c r="N22" s="38"/>
    </row>
    <row r="23" spans="1:16">
      <c r="A23" s="38" t="s">
        <v>18</v>
      </c>
      <c r="B23" s="38" t="s">
        <v>18</v>
      </c>
      <c r="C23" s="38"/>
      <c r="D23" s="38"/>
      <c r="E23" s="38"/>
      <c r="F23" s="38"/>
      <c r="G23" s="38"/>
      <c r="H23" s="38"/>
      <c r="I23" s="38"/>
      <c r="J23" s="38"/>
      <c r="K23" s="38"/>
      <c r="L23" s="38"/>
      <c r="M23" s="38"/>
      <c r="N23" s="38"/>
    </row>
    <row r="24" spans="1:16" ht="15.75">
      <c r="A24" s="37" t="s">
        <v>19</v>
      </c>
    </row>
    <row r="25" spans="1:16" ht="15.75">
      <c r="A25" s="37" t="s">
        <v>20</v>
      </c>
      <c r="B25" s="37" t="s">
        <v>21</v>
      </c>
      <c r="C25" s="37" t="s">
        <v>18</v>
      </c>
      <c r="D25" s="37" t="s">
        <v>22</v>
      </c>
      <c r="E25" s="37" t="s">
        <v>7</v>
      </c>
      <c r="F25" s="37" t="s">
        <v>13</v>
      </c>
      <c r="G25" s="37" t="s">
        <v>16</v>
      </c>
      <c r="H25" s="37" t="s">
        <v>23</v>
      </c>
      <c r="I25" s="37" t="s">
        <v>24</v>
      </c>
      <c r="J25" s="37" t="s">
        <v>25</v>
      </c>
      <c r="K25" s="37" t="s">
        <v>26</v>
      </c>
      <c r="L25" s="37" t="s">
        <v>27</v>
      </c>
      <c r="M25" s="37" t="s">
        <v>28</v>
      </c>
      <c r="N25" s="37" t="s">
        <v>272</v>
      </c>
    </row>
    <row r="26" spans="1:16">
      <c r="A26" s="38" t="str">
        <f>B16</f>
        <v>apron disposal</v>
      </c>
      <c r="B26" s="38">
        <f>B21</f>
        <v>1</v>
      </c>
      <c r="C26" s="38" t="str">
        <f>B23</f>
        <v>unit</v>
      </c>
      <c r="D26" s="38" t="s">
        <v>2</v>
      </c>
      <c r="E26" s="38" t="s">
        <v>29</v>
      </c>
      <c r="F26" s="38" t="str">
        <f>B20</f>
        <v>RER</v>
      </c>
      <c r="G26" s="38" t="s">
        <v>30</v>
      </c>
      <c r="H26" s="38">
        <v>0</v>
      </c>
      <c r="I26" s="38">
        <f>B26</f>
        <v>1</v>
      </c>
      <c r="J26" s="38"/>
      <c r="K26" s="38"/>
      <c r="L26" s="38"/>
      <c r="M26" s="38"/>
      <c r="N26" s="38"/>
    </row>
    <row r="27" spans="1:16">
      <c r="A27" s="38" t="s">
        <v>364</v>
      </c>
      <c r="B27" s="38">
        <f>O18*0.21</f>
        <v>20580</v>
      </c>
      <c r="C27" s="38" t="s">
        <v>48</v>
      </c>
      <c r="D27" s="38" t="s">
        <v>38</v>
      </c>
      <c r="E27" s="38" t="s">
        <v>29</v>
      </c>
      <c r="F27" s="38" t="s">
        <v>35</v>
      </c>
      <c r="G27" s="38" t="s">
        <v>33</v>
      </c>
      <c r="H27" s="38">
        <v>0</v>
      </c>
      <c r="I27" s="38">
        <f t="shared" ref="I27" si="2">B27</f>
        <v>20580</v>
      </c>
      <c r="J27" s="38" t="s">
        <v>31</v>
      </c>
      <c r="K27" s="38" t="s">
        <v>31</v>
      </c>
      <c r="L27" s="38" t="s">
        <v>31</v>
      </c>
      <c r="M27" s="38" t="s">
        <v>31</v>
      </c>
      <c r="N27" s="38" t="s">
        <v>384</v>
      </c>
    </row>
    <row r="28" spans="1:16" s="38" customFormat="1" ht="12.75">
      <c r="A28" s="38" t="s">
        <v>385</v>
      </c>
      <c r="B28" s="38">
        <f>O18*2195.45*(1+0.02)</f>
        <v>219457181.99999997</v>
      </c>
      <c r="C28" s="38" t="s">
        <v>37</v>
      </c>
      <c r="D28" s="38" t="s">
        <v>38</v>
      </c>
      <c r="E28" s="38" t="s">
        <v>29</v>
      </c>
      <c r="F28" s="38" t="s">
        <v>362</v>
      </c>
      <c r="G28" s="38" t="s">
        <v>33</v>
      </c>
      <c r="H28" s="38">
        <v>0</v>
      </c>
      <c r="I28" s="53">
        <f>ABS(B28)</f>
        <v>219457181.99999997</v>
      </c>
      <c r="J28" s="38" t="s">
        <v>31</v>
      </c>
      <c r="K28" s="38" t="s">
        <v>31</v>
      </c>
      <c r="L28" s="38" t="s">
        <v>31</v>
      </c>
      <c r="M28" s="38" t="s">
        <v>31</v>
      </c>
      <c r="N28" s="38" t="s">
        <v>386</v>
      </c>
    </row>
    <row r="29" spans="1:16" ht="15.75">
      <c r="A29" s="39" t="s">
        <v>5</v>
      </c>
      <c r="B29" s="39" t="s">
        <v>379</v>
      </c>
      <c r="C29" s="40"/>
      <c r="D29" s="41"/>
      <c r="E29" s="41"/>
      <c r="F29" s="41"/>
      <c r="G29" s="41"/>
      <c r="H29" s="41"/>
      <c r="I29" s="41"/>
      <c r="J29" s="41"/>
      <c r="K29" s="41"/>
      <c r="L29" s="41"/>
      <c r="M29" s="41"/>
      <c r="N29" s="41"/>
      <c r="O29" s="38"/>
      <c r="P29" s="38"/>
    </row>
    <row r="30" spans="1:16">
      <c r="A30" s="38" t="s">
        <v>7</v>
      </c>
      <c r="B30" s="38" t="s">
        <v>263</v>
      </c>
      <c r="C30" s="38"/>
      <c r="D30" s="38"/>
      <c r="E30" s="38"/>
      <c r="F30" s="38"/>
      <c r="G30" s="38"/>
      <c r="H30" s="38"/>
      <c r="I30" s="38"/>
      <c r="J30" s="38"/>
      <c r="K30" s="38"/>
      <c r="L30" s="38"/>
      <c r="M30" s="38"/>
      <c r="N30" s="38"/>
      <c r="O30" s="59" t="s">
        <v>387</v>
      </c>
      <c r="P30" s="38"/>
    </row>
    <row r="31" spans="1:16">
      <c r="A31" s="38" t="s">
        <v>9</v>
      </c>
      <c r="B31" s="38" t="s">
        <v>388</v>
      </c>
      <c r="C31" s="38"/>
      <c r="D31" s="38"/>
      <c r="E31" s="38"/>
      <c r="F31" s="38"/>
      <c r="G31" s="38"/>
      <c r="H31" s="38"/>
      <c r="I31" s="38"/>
      <c r="J31" s="38"/>
      <c r="K31" s="38"/>
      <c r="L31" s="38"/>
      <c r="M31" s="38"/>
      <c r="N31" s="38"/>
      <c r="O31" s="60">
        <v>78720</v>
      </c>
      <c r="P31" s="38"/>
    </row>
    <row r="32" spans="1:16">
      <c r="A32" s="38" t="s">
        <v>11</v>
      </c>
      <c r="B32" s="38" t="s">
        <v>383</v>
      </c>
      <c r="C32" s="38"/>
      <c r="D32" s="38"/>
      <c r="E32" s="38"/>
      <c r="F32" s="38"/>
      <c r="G32" s="38"/>
      <c r="H32" s="38"/>
      <c r="I32" s="38"/>
      <c r="J32" s="38"/>
      <c r="K32" s="38"/>
      <c r="L32" s="38"/>
      <c r="M32" s="38"/>
      <c r="N32" s="38"/>
      <c r="O32" s="38"/>
      <c r="P32" s="38"/>
    </row>
    <row r="33" spans="1:16">
      <c r="A33" s="38" t="s">
        <v>13</v>
      </c>
      <c r="B33" s="38" t="s">
        <v>35</v>
      </c>
      <c r="C33" s="38"/>
      <c r="D33" s="38"/>
      <c r="E33" s="38"/>
      <c r="F33" s="38"/>
      <c r="G33" s="38"/>
      <c r="H33" s="38"/>
      <c r="I33" s="38"/>
      <c r="J33" s="38"/>
      <c r="K33" s="38"/>
      <c r="L33" s="38"/>
      <c r="M33" s="38"/>
      <c r="N33" s="38"/>
      <c r="O33" s="38"/>
      <c r="P33" s="38"/>
    </row>
    <row r="34" spans="1:16">
      <c r="A34" s="38" t="s">
        <v>15</v>
      </c>
      <c r="B34" s="48">
        <v>1</v>
      </c>
      <c r="C34" s="38"/>
      <c r="D34" s="38"/>
      <c r="E34" s="38"/>
      <c r="F34" s="38"/>
      <c r="G34" s="38"/>
      <c r="H34" s="38"/>
      <c r="I34" s="38"/>
      <c r="J34" s="38"/>
      <c r="K34" s="38"/>
      <c r="L34" s="38"/>
      <c r="M34" s="38"/>
      <c r="N34" s="38"/>
    </row>
    <row r="35" spans="1:16">
      <c r="A35" s="38" t="s">
        <v>16</v>
      </c>
      <c r="B35" s="38" t="s">
        <v>17</v>
      </c>
      <c r="C35" s="38"/>
      <c r="D35" s="38"/>
      <c r="E35" s="38"/>
      <c r="F35" s="38"/>
      <c r="G35" s="38"/>
      <c r="H35" s="38"/>
      <c r="I35" s="38"/>
      <c r="J35" s="38"/>
      <c r="K35" s="38"/>
      <c r="L35" s="38"/>
      <c r="M35" s="38"/>
      <c r="N35" s="38"/>
    </row>
    <row r="36" spans="1:16">
      <c r="A36" s="38" t="s">
        <v>18</v>
      </c>
      <c r="B36" s="38" t="s">
        <v>18</v>
      </c>
      <c r="C36" s="38"/>
      <c r="D36" s="38"/>
      <c r="E36" s="38"/>
      <c r="F36" s="38"/>
      <c r="G36" s="38"/>
      <c r="H36" s="38"/>
      <c r="I36" s="38"/>
      <c r="J36" s="38"/>
      <c r="K36" s="38"/>
      <c r="L36" s="38"/>
      <c r="M36" s="38"/>
      <c r="N36" s="38"/>
    </row>
    <row r="37" spans="1:16" ht="15.75">
      <c r="A37" s="37" t="s">
        <v>19</v>
      </c>
    </row>
    <row r="38" spans="1:16"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272</v>
      </c>
    </row>
    <row r="39" spans="1:16">
      <c r="A39" s="38" t="str">
        <f>B29</f>
        <v>taxiway disposal</v>
      </c>
      <c r="B39" s="38">
        <f>B34</f>
        <v>1</v>
      </c>
      <c r="C39" s="38" t="str">
        <f>B36</f>
        <v>unit</v>
      </c>
      <c r="D39" s="38" t="s">
        <v>2</v>
      </c>
      <c r="E39" s="38" t="s">
        <v>29</v>
      </c>
      <c r="F39" s="38" t="str">
        <f>B33</f>
        <v>RER</v>
      </c>
      <c r="G39" s="38" t="s">
        <v>30</v>
      </c>
      <c r="H39" s="38">
        <v>0</v>
      </c>
      <c r="I39" s="38">
        <f>B39</f>
        <v>1</v>
      </c>
      <c r="J39" s="38"/>
      <c r="K39" s="38"/>
      <c r="L39" s="38"/>
      <c r="M39" s="38"/>
      <c r="N39" s="38"/>
    </row>
    <row r="40" spans="1:16">
      <c r="A40" s="38" t="s">
        <v>364</v>
      </c>
      <c r="B40" s="38">
        <f>O31*0.21</f>
        <v>16531.2</v>
      </c>
      <c r="C40" s="38" t="s">
        <v>48</v>
      </c>
      <c r="D40" s="38" t="s">
        <v>38</v>
      </c>
      <c r="E40" s="38" t="s">
        <v>29</v>
      </c>
      <c r="F40" s="38" t="s">
        <v>35</v>
      </c>
      <c r="G40" s="38" t="s">
        <v>33</v>
      </c>
      <c r="H40" s="38">
        <v>0</v>
      </c>
      <c r="I40" s="38">
        <f t="shared" ref="I40" si="3">B40</f>
        <v>16531.2</v>
      </c>
      <c r="J40" s="38" t="s">
        <v>31</v>
      </c>
      <c r="K40" s="38" t="s">
        <v>31</v>
      </c>
      <c r="L40" s="38" t="s">
        <v>31</v>
      </c>
      <c r="M40" s="38" t="s">
        <v>31</v>
      </c>
      <c r="N40" s="38" t="s">
        <v>384</v>
      </c>
    </row>
    <row r="41" spans="1:16" s="38" customFormat="1" ht="12.75">
      <c r="A41" s="38" t="s">
        <v>385</v>
      </c>
      <c r="B41" s="38">
        <f>O31*2195.45*(1+0.02)</f>
        <v>176282340.47999999</v>
      </c>
      <c r="C41" s="38" t="s">
        <v>37</v>
      </c>
      <c r="D41" s="38" t="s">
        <v>38</v>
      </c>
      <c r="E41" s="38" t="s">
        <v>29</v>
      </c>
      <c r="F41" s="38" t="s">
        <v>362</v>
      </c>
      <c r="G41" s="38" t="s">
        <v>33</v>
      </c>
      <c r="H41" s="38">
        <v>0</v>
      </c>
      <c r="I41" s="53">
        <f>ABS(B41)</f>
        <v>176282340.47999999</v>
      </c>
      <c r="J41" s="38" t="s">
        <v>31</v>
      </c>
      <c r="K41" s="38" t="s">
        <v>31</v>
      </c>
      <c r="L41" s="38" t="s">
        <v>31</v>
      </c>
      <c r="M41" s="38" t="s">
        <v>31</v>
      </c>
      <c r="N41" s="38" t="s">
        <v>386</v>
      </c>
    </row>
    <row r="42" spans="1:16" ht="15.75">
      <c r="A42" s="39" t="s">
        <v>5</v>
      </c>
      <c r="B42" s="39" t="s">
        <v>380</v>
      </c>
      <c r="C42" s="40"/>
      <c r="D42" s="41"/>
      <c r="E42" s="41"/>
      <c r="F42" s="41"/>
      <c r="G42" s="41"/>
      <c r="H42" s="41"/>
      <c r="I42" s="41"/>
      <c r="J42" s="41"/>
      <c r="K42" s="41"/>
      <c r="L42" s="41"/>
      <c r="M42" s="41"/>
      <c r="N42" s="41"/>
      <c r="O42" s="38"/>
    </row>
    <row r="43" spans="1:16">
      <c r="A43" s="38" t="s">
        <v>7</v>
      </c>
      <c r="B43" s="38" t="s">
        <v>263</v>
      </c>
      <c r="C43" s="38"/>
      <c r="D43" s="38"/>
      <c r="E43" s="38"/>
      <c r="F43" s="38"/>
      <c r="G43" s="38"/>
      <c r="H43" s="38"/>
      <c r="I43" s="38"/>
      <c r="J43" s="38"/>
      <c r="K43" s="38"/>
      <c r="L43" s="38"/>
      <c r="M43" s="38"/>
      <c r="N43" s="38"/>
      <c r="O43" s="59" t="s">
        <v>389</v>
      </c>
    </row>
    <row r="44" spans="1:16">
      <c r="A44" s="38" t="s">
        <v>9</v>
      </c>
      <c r="B44" s="38" t="s">
        <v>390</v>
      </c>
      <c r="C44" s="38"/>
      <c r="D44" s="38"/>
      <c r="E44" s="38"/>
      <c r="F44" s="38"/>
      <c r="G44" s="38"/>
      <c r="H44" s="38"/>
      <c r="I44" s="38"/>
      <c r="J44" s="38"/>
      <c r="K44" s="38"/>
      <c r="L44" s="38"/>
      <c r="M44" s="38"/>
      <c r="N44" s="38"/>
      <c r="O44" s="60">
        <v>99000</v>
      </c>
    </row>
    <row r="45" spans="1:16">
      <c r="A45" s="38" t="s">
        <v>11</v>
      </c>
      <c r="B45" s="38" t="s">
        <v>383</v>
      </c>
      <c r="C45" s="38"/>
      <c r="D45" s="38"/>
      <c r="E45" s="38"/>
      <c r="F45" s="38"/>
      <c r="G45" s="38"/>
      <c r="H45" s="38"/>
      <c r="I45" s="38"/>
      <c r="J45" s="38"/>
      <c r="K45" s="38"/>
      <c r="L45" s="38"/>
      <c r="M45" s="38"/>
      <c r="N45" s="38"/>
      <c r="O45" s="38"/>
    </row>
    <row r="46" spans="1:16">
      <c r="A46" s="38" t="s">
        <v>13</v>
      </c>
      <c r="B46" s="38" t="s">
        <v>35</v>
      </c>
      <c r="C46" s="38"/>
      <c r="D46" s="38"/>
      <c r="E46" s="38"/>
      <c r="F46" s="38"/>
      <c r="G46" s="38"/>
      <c r="H46" s="38"/>
      <c r="I46" s="38"/>
      <c r="J46" s="38"/>
      <c r="K46" s="38"/>
      <c r="L46" s="38"/>
      <c r="M46" s="38"/>
      <c r="N46" s="38"/>
      <c r="O46" s="38"/>
    </row>
    <row r="47" spans="1:16">
      <c r="A47" s="38" t="s">
        <v>15</v>
      </c>
      <c r="B47" s="48">
        <v>1</v>
      </c>
      <c r="C47" s="38"/>
      <c r="D47" s="38"/>
      <c r="E47" s="38"/>
      <c r="F47" s="38"/>
      <c r="G47" s="38"/>
      <c r="H47" s="38"/>
      <c r="I47" s="38"/>
      <c r="J47" s="38"/>
      <c r="K47" s="38"/>
      <c r="L47" s="38"/>
      <c r="M47" s="38"/>
      <c r="N47" s="38"/>
    </row>
    <row r="48" spans="1:16">
      <c r="A48" s="38" t="s">
        <v>16</v>
      </c>
      <c r="B48" s="38" t="s">
        <v>17</v>
      </c>
      <c r="C48" s="38"/>
      <c r="D48" s="38"/>
      <c r="E48" s="38"/>
      <c r="F48" s="38"/>
      <c r="G48" s="38"/>
      <c r="H48" s="38"/>
      <c r="I48" s="38"/>
      <c r="J48" s="38"/>
      <c r="K48" s="38"/>
      <c r="L48" s="38"/>
      <c r="M48" s="38"/>
      <c r="N48" s="38"/>
    </row>
    <row r="49" spans="1:15">
      <c r="A49" s="38" t="s">
        <v>18</v>
      </c>
      <c r="B49" s="38" t="s">
        <v>18</v>
      </c>
      <c r="C49" s="38"/>
      <c r="D49" s="38"/>
      <c r="E49" s="38"/>
      <c r="F49" s="38"/>
      <c r="G49" s="38"/>
      <c r="H49" s="38"/>
      <c r="I49" s="38"/>
      <c r="J49" s="38"/>
      <c r="K49" s="38"/>
      <c r="L49" s="38"/>
      <c r="M49" s="38"/>
      <c r="N49" s="38"/>
    </row>
    <row r="50" spans="1:15" ht="15.75">
      <c r="A50" s="37" t="s">
        <v>19</v>
      </c>
    </row>
    <row r="51" spans="1:15" ht="15.75">
      <c r="A51" s="37" t="s">
        <v>20</v>
      </c>
      <c r="B51" s="37" t="s">
        <v>21</v>
      </c>
      <c r="C51" s="37" t="s">
        <v>18</v>
      </c>
      <c r="D51" s="37" t="s">
        <v>22</v>
      </c>
      <c r="E51" s="37" t="s">
        <v>7</v>
      </c>
      <c r="F51" s="37" t="s">
        <v>13</v>
      </c>
      <c r="G51" s="37" t="s">
        <v>16</v>
      </c>
      <c r="H51" s="37" t="s">
        <v>23</v>
      </c>
      <c r="I51" s="37" t="s">
        <v>24</v>
      </c>
      <c r="J51" s="37" t="s">
        <v>25</v>
      </c>
      <c r="K51" s="37" t="s">
        <v>26</v>
      </c>
      <c r="L51" s="37" t="s">
        <v>27</v>
      </c>
      <c r="M51" s="37" t="s">
        <v>28</v>
      </c>
      <c r="N51" s="37" t="s">
        <v>272</v>
      </c>
    </row>
    <row r="52" spans="1:15">
      <c r="A52" s="38" t="str">
        <f>B42</f>
        <v>runway disposal</v>
      </c>
      <c r="B52" s="38">
        <f>B47</f>
        <v>1</v>
      </c>
      <c r="C52" s="38" t="str">
        <f>B49</f>
        <v>unit</v>
      </c>
      <c r="D52" s="38" t="s">
        <v>2</v>
      </c>
      <c r="E52" s="38" t="s">
        <v>29</v>
      </c>
      <c r="F52" s="38" t="str">
        <f>B46</f>
        <v>RER</v>
      </c>
      <c r="G52" s="38" t="s">
        <v>30</v>
      </c>
      <c r="H52" s="38">
        <v>0</v>
      </c>
      <c r="I52" s="38">
        <f>B52</f>
        <v>1</v>
      </c>
      <c r="J52" s="38"/>
      <c r="K52" s="38"/>
      <c r="L52" s="38"/>
      <c r="M52" s="38"/>
      <c r="N52" s="38"/>
    </row>
    <row r="53" spans="1:15">
      <c r="A53" s="38" t="s">
        <v>364</v>
      </c>
      <c r="B53" s="38">
        <f>O44*0.21</f>
        <v>20790</v>
      </c>
      <c r="C53" s="38" t="s">
        <v>48</v>
      </c>
      <c r="D53" s="38" t="s">
        <v>38</v>
      </c>
      <c r="E53" s="38" t="s">
        <v>29</v>
      </c>
      <c r="F53" s="38" t="s">
        <v>35</v>
      </c>
      <c r="G53" s="38" t="s">
        <v>33</v>
      </c>
      <c r="H53" s="38">
        <v>0</v>
      </c>
      <c r="I53" s="38">
        <f t="shared" ref="I53" si="4">B53</f>
        <v>20790</v>
      </c>
      <c r="J53" s="38" t="s">
        <v>31</v>
      </c>
      <c r="K53" s="38" t="s">
        <v>31</v>
      </c>
      <c r="L53" s="38" t="s">
        <v>31</v>
      </c>
      <c r="M53" s="38" t="s">
        <v>31</v>
      </c>
      <c r="N53" s="38" t="s">
        <v>384</v>
      </c>
    </row>
    <row r="54" spans="1:15">
      <c r="A54" s="38" t="s">
        <v>385</v>
      </c>
      <c r="B54" s="38">
        <f>O44*2195.45*(1+0.02)</f>
        <v>221696540.99999997</v>
      </c>
      <c r="C54" s="38" t="s">
        <v>37</v>
      </c>
      <c r="D54" s="38" t="s">
        <v>38</v>
      </c>
      <c r="E54" s="38" t="s">
        <v>29</v>
      </c>
      <c r="F54" s="38" t="s">
        <v>362</v>
      </c>
      <c r="G54" s="38" t="s">
        <v>33</v>
      </c>
      <c r="H54" s="38">
        <v>0</v>
      </c>
      <c r="I54" s="53">
        <f>ABS(B54)</f>
        <v>221696540.99999997</v>
      </c>
      <c r="J54" s="38" t="s">
        <v>31</v>
      </c>
      <c r="K54" s="38" t="s">
        <v>31</v>
      </c>
      <c r="L54" s="38" t="s">
        <v>31</v>
      </c>
      <c r="M54" s="38" t="s">
        <v>31</v>
      </c>
      <c r="N54" s="38" t="s">
        <v>386</v>
      </c>
      <c r="O54" s="38"/>
    </row>
  </sheetData>
  <mergeCells count="1">
    <mergeCell ref="O3:Q3"/>
  </mergeCells>
  <pageMargins left="0.7" right="0.7" top="0.75" bottom="0.75" header="0.3" footer="0.3"/>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887-D115-40A4-BB54-E8335FD6994F}">
  <dimension ref="A1:P14"/>
  <sheetViews>
    <sheetView zoomScale="85" zoomScaleNormal="85" workbookViewId="0">
      <selection activeCell="A2" sqref="A2:XFD3"/>
    </sheetView>
  </sheetViews>
  <sheetFormatPr defaultRowHeight="15"/>
  <cols>
    <col min="1" max="1" width="57.28515625" bestFit="1" customWidth="1"/>
    <col min="5" max="5" width="13.42578125" bestFit="1" customWidth="1"/>
    <col min="6" max="6" width="39.140625" bestFit="1" customWidth="1"/>
  </cols>
  <sheetData>
    <row r="1" spans="1:16" s="61" customFormat="1">
      <c r="A1" s="61" t="s">
        <v>0</v>
      </c>
      <c r="B1" s="61">
        <v>14</v>
      </c>
    </row>
    <row r="2" spans="1:16" s="66" customFormat="1" ht="15.75">
      <c r="A2" s="63" t="s">
        <v>5</v>
      </c>
      <c r="B2" s="63" t="s">
        <v>69</v>
      </c>
      <c r="C2" s="63"/>
      <c r="D2" s="64"/>
      <c r="E2" s="65"/>
      <c r="F2" s="65"/>
      <c r="G2" s="65"/>
      <c r="H2" s="65"/>
      <c r="I2" s="65"/>
      <c r="J2" s="65"/>
      <c r="K2" s="65"/>
      <c r="L2" s="65"/>
      <c r="M2" s="65"/>
      <c r="N2" s="65"/>
      <c r="O2" s="65"/>
      <c r="P2" s="65"/>
    </row>
    <row r="3" spans="1:16">
      <c r="A3" s="34" t="s">
        <v>7</v>
      </c>
      <c r="B3" s="34" t="s">
        <v>70</v>
      </c>
      <c r="C3" s="34"/>
      <c r="D3" s="34"/>
      <c r="E3" s="34"/>
      <c r="F3" s="34"/>
      <c r="G3" s="34"/>
      <c r="H3" s="34"/>
      <c r="I3" s="34"/>
      <c r="J3" s="34"/>
      <c r="K3" s="34"/>
      <c r="L3" s="34"/>
      <c r="M3" s="34"/>
      <c r="N3" s="34"/>
      <c r="O3" s="34"/>
      <c r="P3" s="34"/>
    </row>
    <row r="4" spans="1:16">
      <c r="A4" s="34" t="s">
        <v>9</v>
      </c>
      <c r="B4" s="67" t="s">
        <v>391</v>
      </c>
      <c r="C4" s="34"/>
      <c r="D4" s="34"/>
      <c r="E4" s="34"/>
      <c r="F4" s="34"/>
      <c r="G4" s="34"/>
      <c r="H4" s="34"/>
      <c r="I4" s="34"/>
      <c r="J4" s="34"/>
      <c r="K4" s="34"/>
      <c r="L4" s="34"/>
      <c r="M4" s="34"/>
      <c r="N4" s="34"/>
      <c r="O4" s="34"/>
      <c r="P4" s="34"/>
    </row>
    <row r="5" spans="1:16">
      <c r="A5" s="34" t="s">
        <v>11</v>
      </c>
      <c r="B5" s="34" t="s">
        <v>392</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18</v>
      </c>
      <c r="C9" s="34"/>
      <c r="D9" s="34"/>
      <c r="E9" s="34" t="s">
        <v>188</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16" ht="15.75">
      <c r="A12" s="68" t="str">
        <f>B2</f>
        <v>Decomissioning of aircraft, conventional, Long-Term</v>
      </c>
      <c r="B12" s="68">
        <v>1</v>
      </c>
      <c r="C12" s="68"/>
      <c r="D12" s="68" t="s">
        <v>18</v>
      </c>
      <c r="E12" s="34" t="s">
        <v>2</v>
      </c>
      <c r="F12" s="34" t="s">
        <v>70</v>
      </c>
      <c r="G12" s="68" t="s">
        <v>57</v>
      </c>
      <c r="H12" s="34" t="s">
        <v>30</v>
      </c>
      <c r="I12" s="34">
        <v>0</v>
      </c>
      <c r="J12" s="68" t="s">
        <v>31</v>
      </c>
      <c r="K12" s="68" t="s">
        <v>31</v>
      </c>
      <c r="L12" s="68" t="s">
        <v>31</v>
      </c>
      <c r="M12" s="68" t="s">
        <v>31</v>
      </c>
      <c r="N12" s="68" t="s">
        <v>31</v>
      </c>
      <c r="O12" s="68"/>
      <c r="P12" s="34"/>
    </row>
    <row r="13" spans="1:16">
      <c r="A13" t="str">
        <f>'powerplant EoL LCI'!A125</f>
        <v>treatment of powerplant, conventional, Long-Term</v>
      </c>
      <c r="B13">
        <f>'powerplant EoL LCI'!B125</f>
        <v>1</v>
      </c>
      <c r="D13" t="str">
        <f>'powerplant EoL LCI'!D125</f>
        <v>unit</v>
      </c>
      <c r="E13" t="str">
        <f>'powerplant EoL LCI'!E125</f>
        <v>GENESIS_2050_conventional_Base</v>
      </c>
      <c r="F13" t="str">
        <f>'powerplant EoL LCI'!F125</f>
        <v>powerplant EoL, conventional, Long-Term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Long-Term</v>
      </c>
      <c r="B14">
        <f>'airframe EoL LCI'!B242</f>
        <v>1</v>
      </c>
      <c r="D14" t="str">
        <f>'airframe EoL LCI'!D242</f>
        <v>unit</v>
      </c>
      <c r="E14" t="str">
        <f>'airframe EoL LCI'!E242</f>
        <v>GENESIS_2050_conventional_Base</v>
      </c>
      <c r="F14" t="str">
        <f>'airframe EoL LCI'!F242</f>
        <v>airframe EoL, conventional, Long-Term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D94A-917E-4670-BD90-E66492E019E8}">
  <sheetPr>
    <tabColor theme="9"/>
  </sheetPr>
  <dimension ref="A1:V129"/>
  <sheetViews>
    <sheetView topLeftCell="A9" zoomScale="85" zoomScaleNormal="85" workbookViewId="0">
      <selection activeCell="F27" sqref="F27"/>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6" customFormat="1" ht="15.75">
      <c r="A2" s="63" t="s">
        <v>5</v>
      </c>
      <c r="B2" s="63" t="s">
        <v>394</v>
      </c>
      <c r="C2" s="63"/>
      <c r="D2" s="64"/>
      <c r="E2" s="65"/>
      <c r="F2" s="65"/>
      <c r="G2" s="65"/>
      <c r="H2" s="65"/>
      <c r="I2" s="65"/>
      <c r="J2" s="65"/>
      <c r="K2" s="65"/>
      <c r="L2" s="65"/>
      <c r="M2" s="65"/>
      <c r="N2" s="65"/>
      <c r="O2" s="65"/>
      <c r="P2" s="65"/>
    </row>
    <row r="3" spans="1:22">
      <c r="A3" s="34" t="s">
        <v>7</v>
      </c>
      <c r="B3" s="34" t="s">
        <v>395</v>
      </c>
      <c r="C3" s="34"/>
      <c r="D3" s="34"/>
      <c r="E3" s="34"/>
      <c r="F3" s="34"/>
      <c r="G3" s="34"/>
      <c r="H3" s="34"/>
      <c r="I3" s="34"/>
      <c r="J3" s="34"/>
      <c r="K3" s="34"/>
      <c r="L3" s="34"/>
      <c r="M3" s="34"/>
      <c r="N3" s="34"/>
      <c r="O3" s="34"/>
      <c r="P3" s="34"/>
    </row>
    <row r="4" spans="1:22">
      <c r="A4" s="34" t="s">
        <v>9</v>
      </c>
      <c r="B4" s="70" t="s">
        <v>396</v>
      </c>
      <c r="C4" s="34"/>
      <c r="D4" s="34"/>
      <c r="E4" s="34"/>
      <c r="F4" s="34"/>
      <c r="G4" s="34"/>
      <c r="H4" s="34"/>
      <c r="I4" s="34"/>
      <c r="J4" s="34"/>
      <c r="K4" s="34"/>
      <c r="L4" s="34"/>
      <c r="M4" s="34"/>
      <c r="N4" s="34"/>
      <c r="O4" s="34"/>
      <c r="P4" s="34"/>
    </row>
    <row r="5" spans="1:22">
      <c r="A5" s="34" t="s">
        <v>11</v>
      </c>
      <c r="B5" s="34" t="s">
        <v>185</v>
      </c>
      <c r="C5" s="34"/>
      <c r="D5" s="34"/>
      <c r="E5" s="34"/>
      <c r="F5" s="34"/>
      <c r="G5" s="34"/>
      <c r="H5" s="34"/>
      <c r="I5" s="34"/>
      <c r="J5" s="34"/>
      <c r="K5" s="34"/>
      <c r="L5" s="34"/>
      <c r="M5" s="34"/>
      <c r="N5" s="34"/>
      <c r="O5" s="34"/>
      <c r="P5" s="34"/>
    </row>
    <row r="6" spans="1:22">
      <c r="A6" s="34" t="s">
        <v>13</v>
      </c>
      <c r="B6" s="34" t="s">
        <v>57</v>
      </c>
      <c r="C6" s="34"/>
      <c r="D6" s="34"/>
      <c r="E6" s="34"/>
      <c r="F6" s="34"/>
      <c r="G6" s="34"/>
      <c r="H6" s="34"/>
      <c r="I6" s="34"/>
      <c r="J6" s="34"/>
      <c r="K6" s="34"/>
      <c r="L6" s="34"/>
      <c r="M6" s="34"/>
      <c r="N6" s="34"/>
      <c r="O6" s="34"/>
      <c r="P6" s="34"/>
    </row>
    <row r="7" spans="1:22">
      <c r="A7" s="34" t="s">
        <v>15</v>
      </c>
      <c r="B7" s="34">
        <v>1</v>
      </c>
      <c r="C7" s="34"/>
      <c r="D7" s="34"/>
      <c r="E7" s="34"/>
      <c r="F7" s="34"/>
      <c r="G7" s="34"/>
      <c r="H7" s="34"/>
      <c r="I7" s="34"/>
      <c r="J7" s="34"/>
      <c r="K7" s="34"/>
      <c r="L7" s="34"/>
      <c r="M7" s="34"/>
      <c r="N7" s="34"/>
      <c r="O7" s="34"/>
      <c r="P7" s="34"/>
    </row>
    <row r="8" spans="1:22">
      <c r="A8" s="34" t="s">
        <v>16</v>
      </c>
      <c r="B8" s="34" t="s">
        <v>17</v>
      </c>
      <c r="C8" s="34"/>
      <c r="D8" s="34"/>
      <c r="E8" s="34"/>
      <c r="F8" s="34"/>
      <c r="G8" s="34"/>
      <c r="H8" s="34"/>
      <c r="I8" s="34"/>
      <c r="J8" s="34"/>
      <c r="K8" s="34"/>
      <c r="L8" s="34"/>
      <c r="M8" s="34"/>
      <c r="N8" s="34"/>
      <c r="O8" s="34"/>
      <c r="P8" s="34"/>
    </row>
    <row r="9" spans="1:22" ht="15.75">
      <c r="A9" s="34" t="s">
        <v>18</v>
      </c>
      <c r="B9" s="68" t="s">
        <v>37</v>
      </c>
      <c r="C9" s="34"/>
      <c r="D9" s="34"/>
      <c r="E9" s="34" t="s">
        <v>188</v>
      </c>
      <c r="F9" s="34"/>
      <c r="G9" s="34"/>
      <c r="H9" s="34"/>
      <c r="I9" s="34"/>
      <c r="J9" s="34"/>
      <c r="K9" s="34"/>
      <c r="L9" s="34"/>
      <c r="M9" s="34"/>
      <c r="N9" s="34"/>
      <c r="O9" s="34"/>
      <c r="P9" s="34"/>
    </row>
    <row r="10" spans="1:22" ht="15.75">
      <c r="A10" s="69" t="s">
        <v>19</v>
      </c>
      <c r="B10" s="34"/>
      <c r="C10" s="34"/>
      <c r="D10" s="34"/>
      <c r="E10" s="34"/>
      <c r="F10" s="34"/>
      <c r="G10" s="34"/>
      <c r="H10" s="34"/>
      <c r="I10" s="34"/>
      <c r="J10" s="34"/>
      <c r="K10" s="34"/>
      <c r="L10" s="34"/>
      <c r="M10" s="34"/>
      <c r="N10" s="34"/>
      <c r="O10" s="34"/>
      <c r="P10" s="34"/>
    </row>
    <row r="11" spans="1:22"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22" ht="15.75">
      <c r="A12" s="68" t="str">
        <f>B2</f>
        <v>treatment of titanium,powerplant, conventional, Long-Term</v>
      </c>
      <c r="B12" s="68">
        <v>1</v>
      </c>
      <c r="C12" s="68"/>
      <c r="D12" s="68" t="s">
        <v>37</v>
      </c>
      <c r="E12" s="34" t="s">
        <v>2</v>
      </c>
      <c r="F12" s="34" t="s">
        <v>395</v>
      </c>
      <c r="G12" s="68" t="s">
        <v>57</v>
      </c>
      <c r="H12" s="34" t="s">
        <v>30</v>
      </c>
      <c r="I12" s="34">
        <v>0</v>
      </c>
      <c r="J12" s="68" t="s">
        <v>31</v>
      </c>
      <c r="K12" s="68" t="s">
        <v>31</v>
      </c>
      <c r="L12" s="68" t="s">
        <v>31</v>
      </c>
      <c r="M12" s="68" t="s">
        <v>31</v>
      </c>
      <c r="N12" s="68" t="s">
        <v>31</v>
      </c>
      <c r="O12" s="34"/>
      <c r="P12" s="34" t="s">
        <v>397</v>
      </c>
    </row>
    <row r="13" spans="1:22">
      <c r="A13" t="s">
        <v>211</v>
      </c>
      <c r="B13">
        <f>U13</f>
        <v>9.5000076</v>
      </c>
      <c r="D13" t="s">
        <v>81</v>
      </c>
      <c r="E13" t="s">
        <v>38</v>
      </c>
      <c r="F13" s="34" t="s">
        <v>395</v>
      </c>
      <c r="G13" t="s">
        <v>57</v>
      </c>
      <c r="H13" t="s">
        <v>33</v>
      </c>
      <c r="I13">
        <v>2</v>
      </c>
      <c r="J13">
        <v>9.398101209</v>
      </c>
      <c r="K13">
        <v>0.30331501799999999</v>
      </c>
      <c r="L13" t="s">
        <v>31</v>
      </c>
      <c r="M13" t="s">
        <v>31</v>
      </c>
      <c r="N13" t="s">
        <v>31</v>
      </c>
      <c r="O13" t="s">
        <v>202</v>
      </c>
      <c r="P13" t="s">
        <v>398</v>
      </c>
      <c r="Q13" t="s">
        <v>184</v>
      </c>
      <c r="R13" s="61" t="s">
        <v>231</v>
      </c>
      <c r="S13" s="61">
        <f>114*0.6*0.5</f>
        <v>34.199999999999996</v>
      </c>
      <c r="T13" s="61" t="s">
        <v>195</v>
      </c>
      <c r="U13" s="61">
        <f>S13*0.277778</f>
        <v>9.5000076</v>
      </c>
      <c r="V13" s="61" t="s">
        <v>194</v>
      </c>
    </row>
    <row r="14" spans="1:22">
      <c r="A14" t="s">
        <v>83</v>
      </c>
      <c r="B14">
        <f>U14</f>
        <v>0.59530026109660583</v>
      </c>
      <c r="D14" t="s">
        <v>48</v>
      </c>
      <c r="E14" t="s">
        <v>38</v>
      </c>
      <c r="F14" s="34" t="s">
        <v>395</v>
      </c>
      <c r="G14" t="s">
        <v>232</v>
      </c>
      <c r="H14" t="s">
        <v>33</v>
      </c>
      <c r="I14">
        <v>2</v>
      </c>
      <c r="J14">
        <v>6.6281192500000001</v>
      </c>
      <c r="K14">
        <v>0.30331501799999999</v>
      </c>
      <c r="L14" t="s">
        <v>31</v>
      </c>
      <c r="M14" t="s">
        <v>31</v>
      </c>
      <c r="N14" t="s">
        <v>31</v>
      </c>
      <c r="O14" t="s">
        <v>202</v>
      </c>
      <c r="P14" t="s">
        <v>398</v>
      </c>
      <c r="Q14" t="s">
        <v>184</v>
      </c>
      <c r="R14" s="61" t="s">
        <v>234</v>
      </c>
      <c r="S14" s="61">
        <f>114*0.4*0.5</f>
        <v>22.8</v>
      </c>
      <c r="T14" s="61" t="s">
        <v>195</v>
      </c>
      <c r="U14" s="61">
        <f>S14/38.3</f>
        <v>0.59530026109660583</v>
      </c>
      <c r="V14" s="61" t="s">
        <v>235</v>
      </c>
    </row>
    <row r="15" spans="1:22">
      <c r="A15" s="71" t="s">
        <v>97</v>
      </c>
      <c r="B15" s="72">
        <f>S15</f>
        <v>0.5</v>
      </c>
      <c r="C15" s="72"/>
      <c r="D15" s="61" t="s">
        <v>37</v>
      </c>
      <c r="E15" s="61" t="s">
        <v>38</v>
      </c>
      <c r="F15" s="34" t="s">
        <v>395</v>
      </c>
      <c r="G15" s="61" t="s">
        <v>57</v>
      </c>
      <c r="H15" s="61" t="s">
        <v>135</v>
      </c>
      <c r="I15" s="61">
        <v>2</v>
      </c>
      <c r="J15" s="61">
        <f t="shared" ref="J15" si="0">LN(B15)</f>
        <v>-0.69314718055994529</v>
      </c>
      <c r="K15" s="61">
        <v>0.30331501776206199</v>
      </c>
      <c r="L15" s="61" t="s">
        <v>31</v>
      </c>
      <c r="M15" s="61" t="s">
        <v>31</v>
      </c>
      <c r="N15" s="61" t="s">
        <v>31</v>
      </c>
      <c r="O15" s="61" t="s">
        <v>202</v>
      </c>
      <c r="P15" t="s">
        <v>398</v>
      </c>
      <c r="Q15" s="61" t="s">
        <v>184</v>
      </c>
      <c r="R15" s="61"/>
      <c r="S15" s="61">
        <v>0.5</v>
      </c>
      <c r="T15" s="61" t="s">
        <v>399</v>
      </c>
    </row>
    <row r="16" spans="1:22" ht="15.75">
      <c r="A16" t="s">
        <v>400</v>
      </c>
      <c r="B16" s="22">
        <f>-0.5</f>
        <v>-0.5</v>
      </c>
      <c r="D16" t="s">
        <v>37</v>
      </c>
      <c r="E16" s="73" t="s">
        <v>38</v>
      </c>
      <c r="F16" s="34" t="s">
        <v>395</v>
      </c>
      <c r="G16" t="s">
        <v>57</v>
      </c>
      <c r="H16" t="s">
        <v>33</v>
      </c>
      <c r="I16">
        <v>0</v>
      </c>
      <c r="J16" t="s">
        <v>31</v>
      </c>
      <c r="K16" t="s">
        <v>31</v>
      </c>
      <c r="L16" t="s">
        <v>31</v>
      </c>
      <c r="M16" t="s">
        <v>31</v>
      </c>
      <c r="N16" t="s">
        <v>31</v>
      </c>
      <c r="O16" s="17"/>
      <c r="P16" s="34" t="s">
        <v>401</v>
      </c>
    </row>
    <row r="17" spans="1:17" s="66" customFormat="1" ht="15.75">
      <c r="A17" s="63" t="s">
        <v>5</v>
      </c>
      <c r="B17" s="63" t="s">
        <v>402</v>
      </c>
      <c r="C17" s="63"/>
      <c r="D17" s="64"/>
      <c r="E17" s="65"/>
      <c r="F17" s="65"/>
      <c r="G17" s="65"/>
      <c r="H17" s="65"/>
      <c r="I17" s="65"/>
      <c r="J17" s="65"/>
      <c r="K17" s="65"/>
      <c r="L17" s="65"/>
      <c r="M17" s="65"/>
      <c r="N17" s="65"/>
      <c r="O17" s="65"/>
      <c r="P17" s="65"/>
    </row>
    <row r="18" spans="1:17">
      <c r="A18" s="34" t="s">
        <v>7</v>
      </c>
      <c r="B18" s="34" t="s">
        <v>395</v>
      </c>
      <c r="C18" s="34"/>
      <c r="D18" s="34"/>
      <c r="E18" s="34"/>
      <c r="F18" s="34"/>
      <c r="G18" s="34"/>
      <c r="H18" s="34"/>
      <c r="I18" s="34"/>
      <c r="J18" s="34"/>
      <c r="K18" s="34"/>
      <c r="L18" s="34"/>
      <c r="M18" s="34"/>
      <c r="N18" s="34"/>
      <c r="O18" s="34"/>
      <c r="P18" s="34"/>
    </row>
    <row r="19" spans="1:17">
      <c r="A19" s="34" t="s">
        <v>9</v>
      </c>
      <c r="B19" s="70" t="s">
        <v>403</v>
      </c>
      <c r="C19" s="34"/>
      <c r="D19" s="34"/>
      <c r="E19" s="34"/>
      <c r="F19" s="34"/>
      <c r="G19" s="34"/>
      <c r="H19" s="34"/>
      <c r="I19" s="34"/>
      <c r="J19" s="34"/>
      <c r="K19" s="34"/>
      <c r="L19" s="34"/>
      <c r="M19" s="34"/>
      <c r="N19" s="34"/>
      <c r="O19" s="34"/>
      <c r="P19" s="34"/>
    </row>
    <row r="20" spans="1:17">
      <c r="A20" s="34" t="s">
        <v>11</v>
      </c>
      <c r="B20" s="34" t="s">
        <v>185</v>
      </c>
      <c r="C20" s="34"/>
      <c r="D20" s="34"/>
      <c r="E20" s="34"/>
      <c r="F20" s="34"/>
      <c r="G20" s="34"/>
      <c r="H20" s="34"/>
      <c r="I20" s="34"/>
      <c r="J20" s="34"/>
      <c r="K20" s="34"/>
      <c r="L20" s="34"/>
      <c r="M20" s="34"/>
      <c r="N20" s="34"/>
      <c r="O20" s="34"/>
      <c r="P20" s="34"/>
    </row>
    <row r="21" spans="1:17">
      <c r="A21" s="34" t="s">
        <v>13</v>
      </c>
      <c r="B21" s="34" t="s">
        <v>57</v>
      </c>
      <c r="C21" s="34"/>
      <c r="D21" s="34"/>
      <c r="E21" s="34"/>
      <c r="F21" s="34"/>
      <c r="G21" s="34"/>
      <c r="H21" s="34"/>
      <c r="I21" s="34"/>
      <c r="J21" s="34"/>
      <c r="K21" s="34"/>
      <c r="L21" s="34"/>
      <c r="M21" s="34"/>
      <c r="N21" s="34"/>
      <c r="O21" s="34"/>
      <c r="P21" s="34"/>
    </row>
    <row r="22" spans="1:17">
      <c r="A22" s="34" t="s">
        <v>15</v>
      </c>
      <c r="B22" s="34">
        <v>1</v>
      </c>
      <c r="C22" s="34"/>
      <c r="D22" s="34"/>
      <c r="E22" s="34"/>
      <c r="F22" s="34"/>
      <c r="G22" s="34"/>
      <c r="H22" s="34"/>
      <c r="I22" s="34"/>
      <c r="J22" s="34"/>
      <c r="K22" s="34"/>
      <c r="L22" s="34"/>
      <c r="M22" s="34"/>
      <c r="N22" s="34"/>
      <c r="O22" s="34"/>
      <c r="P22" s="34"/>
    </row>
    <row r="23" spans="1:17">
      <c r="A23" s="34" t="s">
        <v>16</v>
      </c>
      <c r="B23" s="34" t="s">
        <v>17</v>
      </c>
      <c r="C23" s="34"/>
      <c r="D23" s="34"/>
      <c r="E23" s="34"/>
      <c r="F23" s="34"/>
      <c r="G23" s="34"/>
      <c r="H23" s="34"/>
      <c r="I23" s="34"/>
      <c r="J23" s="34"/>
      <c r="K23" s="34"/>
      <c r="L23" s="34"/>
      <c r="M23" s="34"/>
      <c r="N23" s="34"/>
      <c r="O23" s="34"/>
      <c r="P23" s="34"/>
    </row>
    <row r="24" spans="1:17" ht="15.75">
      <c r="A24" s="34" t="s">
        <v>18</v>
      </c>
      <c r="B24" s="68" t="s">
        <v>37</v>
      </c>
      <c r="C24" s="34"/>
      <c r="D24" s="34"/>
      <c r="E24" s="34" t="s">
        <v>188</v>
      </c>
      <c r="F24" s="34"/>
      <c r="G24" s="34"/>
      <c r="H24" s="34"/>
      <c r="I24" s="34"/>
      <c r="J24" s="34"/>
      <c r="K24" s="34"/>
      <c r="L24" s="34"/>
      <c r="M24" s="34"/>
      <c r="N24" s="34"/>
      <c r="O24" s="34"/>
      <c r="P24" s="34"/>
    </row>
    <row r="25" spans="1:17" ht="15.75">
      <c r="A25" s="69" t="s">
        <v>19</v>
      </c>
      <c r="B25" s="34"/>
      <c r="C25" s="34"/>
      <c r="D25" s="34"/>
      <c r="E25" s="34"/>
      <c r="F25" s="34"/>
      <c r="G25" s="34"/>
      <c r="H25" s="34"/>
      <c r="I25" s="34"/>
      <c r="J25" s="34"/>
      <c r="K25" s="34"/>
      <c r="L25" s="34"/>
      <c r="M25" s="34"/>
      <c r="N25" s="34"/>
      <c r="O25" s="34"/>
      <c r="P25" s="34"/>
    </row>
    <row r="26" spans="1:17" ht="15.75">
      <c r="A26" s="69" t="s">
        <v>20</v>
      </c>
      <c r="B26" s="69" t="s">
        <v>21</v>
      </c>
      <c r="C26" s="69" t="s">
        <v>189</v>
      </c>
      <c r="D26" s="69" t="s">
        <v>18</v>
      </c>
      <c r="E26" s="69" t="s">
        <v>22</v>
      </c>
      <c r="F26" s="69" t="s">
        <v>7</v>
      </c>
      <c r="G26" s="69" t="s">
        <v>13</v>
      </c>
      <c r="H26" s="69" t="s">
        <v>16</v>
      </c>
      <c r="I26" s="69" t="s">
        <v>23</v>
      </c>
      <c r="J26" s="69" t="s">
        <v>24</v>
      </c>
      <c r="K26" s="69" t="s">
        <v>25</v>
      </c>
      <c r="L26" s="69" t="s">
        <v>26</v>
      </c>
      <c r="M26" s="69" t="s">
        <v>27</v>
      </c>
      <c r="N26" s="69" t="s">
        <v>28</v>
      </c>
      <c r="O26" s="69" t="s">
        <v>11</v>
      </c>
      <c r="P26" s="69" t="s">
        <v>393</v>
      </c>
    </row>
    <row r="27" spans="1:17" ht="15.75">
      <c r="A27" s="68" t="str">
        <f>B17</f>
        <v>treatment of CFRP,powerplant, conventional, Long-Term</v>
      </c>
      <c r="B27" s="68">
        <v>1</v>
      </c>
      <c r="C27" s="68"/>
      <c r="D27" s="68" t="s">
        <v>37</v>
      </c>
      <c r="E27" s="34" t="s">
        <v>2</v>
      </c>
      <c r="F27" s="34" t="s">
        <v>395</v>
      </c>
      <c r="G27" s="68" t="s">
        <v>57</v>
      </c>
      <c r="H27" s="34" t="s">
        <v>30</v>
      </c>
      <c r="I27" s="34">
        <v>0</v>
      </c>
      <c r="J27" s="68" t="s">
        <v>31</v>
      </c>
      <c r="K27" s="68" t="s">
        <v>31</v>
      </c>
      <c r="L27" s="68" t="s">
        <v>31</v>
      </c>
      <c r="M27" s="68" t="s">
        <v>31</v>
      </c>
      <c r="N27" s="68" t="s">
        <v>31</v>
      </c>
      <c r="O27" s="34" t="s">
        <v>397</v>
      </c>
    </row>
    <row r="28" spans="1:17" ht="15.75">
      <c r="A28" s="73" t="s">
        <v>404</v>
      </c>
      <c r="B28">
        <v>-0.5</v>
      </c>
      <c r="D28" t="s">
        <v>37</v>
      </c>
      <c r="E28" s="74" t="s">
        <v>38</v>
      </c>
      <c r="F28" s="34" t="s">
        <v>395</v>
      </c>
      <c r="G28" t="s">
        <v>91</v>
      </c>
      <c r="H28" t="s">
        <v>33</v>
      </c>
      <c r="I28" s="34">
        <v>0</v>
      </c>
      <c r="J28" s="68" t="s">
        <v>31</v>
      </c>
      <c r="K28" s="68" t="s">
        <v>31</v>
      </c>
      <c r="L28" s="68" t="s">
        <v>31</v>
      </c>
      <c r="M28" s="68" t="s">
        <v>31</v>
      </c>
      <c r="N28" s="68" t="s">
        <v>31</v>
      </c>
      <c r="O28" s="34" t="s">
        <v>405</v>
      </c>
      <c r="P28" s="68" t="s">
        <v>406</v>
      </c>
      <c r="Q28" s="68" t="s">
        <v>407</v>
      </c>
    </row>
    <row r="29" spans="1:17" ht="15.75">
      <c r="A29" t="s">
        <v>80</v>
      </c>
      <c r="B29">
        <f>B30*0.277777777</f>
        <v>2.415277771015</v>
      </c>
      <c r="D29" t="s">
        <v>81</v>
      </c>
      <c r="E29" s="74" t="s">
        <v>38</v>
      </c>
      <c r="F29" s="34" t="s">
        <v>395</v>
      </c>
      <c r="G29" t="s">
        <v>57</v>
      </c>
      <c r="H29" s="34" t="s">
        <v>135</v>
      </c>
      <c r="I29" s="34">
        <v>0</v>
      </c>
      <c r="J29" s="68" t="s">
        <v>31</v>
      </c>
      <c r="K29" s="68" t="s">
        <v>31</v>
      </c>
      <c r="L29" s="68" t="s">
        <v>31</v>
      </c>
      <c r="M29" s="68" t="s">
        <v>31</v>
      </c>
      <c r="N29" s="68" t="s">
        <v>31</v>
      </c>
      <c r="O29" t="s">
        <v>408</v>
      </c>
    </row>
    <row r="30" spans="1:17" ht="15.75">
      <c r="A30" t="s">
        <v>84</v>
      </c>
      <c r="B30">
        <f>-B28*0.5*34.78</f>
        <v>8.6950000000000003</v>
      </c>
      <c r="D30" t="s">
        <v>85</v>
      </c>
      <c r="E30" s="74" t="s">
        <v>38</v>
      </c>
      <c r="F30" s="34" t="s">
        <v>395</v>
      </c>
      <c r="G30" t="s">
        <v>57</v>
      </c>
      <c r="H30" s="34" t="s">
        <v>135</v>
      </c>
      <c r="I30" s="34">
        <v>0</v>
      </c>
      <c r="J30" s="68" t="s">
        <v>31</v>
      </c>
      <c r="K30" s="68" t="s">
        <v>31</v>
      </c>
      <c r="L30" s="68" t="s">
        <v>31</v>
      </c>
      <c r="M30" s="68" t="s">
        <v>31</v>
      </c>
      <c r="N30" s="68" t="s">
        <v>31</v>
      </c>
      <c r="O30" t="s">
        <v>409</v>
      </c>
    </row>
    <row r="31" spans="1:17" ht="15.75">
      <c r="A31" s="73" t="s">
        <v>410</v>
      </c>
      <c r="B31">
        <f>B28</f>
        <v>-0.5</v>
      </c>
      <c r="D31" t="s">
        <v>37</v>
      </c>
      <c r="E31" s="74" t="s">
        <v>38</v>
      </c>
      <c r="F31" s="34" t="s">
        <v>395</v>
      </c>
      <c r="G31" t="s">
        <v>91</v>
      </c>
      <c r="H31" s="34" t="s">
        <v>33</v>
      </c>
      <c r="I31" s="34">
        <v>0</v>
      </c>
      <c r="J31" s="68" t="s">
        <v>31</v>
      </c>
      <c r="K31" s="68" t="s">
        <v>31</v>
      </c>
      <c r="L31" s="68" t="s">
        <v>31</v>
      </c>
      <c r="M31" s="68" t="s">
        <v>31</v>
      </c>
      <c r="N31" s="68" t="s">
        <v>31</v>
      </c>
      <c r="O31" s="68" t="s">
        <v>411</v>
      </c>
    </row>
    <row r="32" spans="1:17" s="66" customFormat="1" ht="15.75">
      <c r="A32" s="63" t="s">
        <v>5</v>
      </c>
      <c r="B32" s="63" t="s">
        <v>412</v>
      </c>
      <c r="C32" s="63"/>
      <c r="D32" s="64"/>
      <c r="E32" s="65"/>
      <c r="F32" s="65"/>
      <c r="G32" s="65"/>
      <c r="H32" s="65"/>
      <c r="I32" s="65"/>
      <c r="J32" s="65"/>
      <c r="K32" s="65"/>
      <c r="L32" s="65"/>
      <c r="M32" s="65"/>
      <c r="N32" s="65"/>
      <c r="O32" s="65"/>
      <c r="P32" s="65"/>
    </row>
    <row r="33" spans="1:16">
      <c r="A33" s="34" t="s">
        <v>7</v>
      </c>
      <c r="B33" s="34" t="s">
        <v>395</v>
      </c>
      <c r="C33" s="34"/>
      <c r="D33" s="34"/>
      <c r="E33" s="34"/>
      <c r="F33" s="34"/>
      <c r="G33" s="34"/>
      <c r="H33" s="34"/>
      <c r="I33" s="34"/>
      <c r="J33" s="34"/>
      <c r="K33" s="34"/>
      <c r="L33" s="34"/>
      <c r="M33" s="34"/>
      <c r="N33" s="34"/>
      <c r="O33" s="34"/>
      <c r="P33" s="34"/>
    </row>
    <row r="34" spans="1:16">
      <c r="A34" s="34" t="s">
        <v>9</v>
      </c>
      <c r="B34" s="70" t="s">
        <v>413</v>
      </c>
      <c r="C34" s="34"/>
      <c r="D34" s="34"/>
      <c r="E34" s="34"/>
      <c r="F34" s="34"/>
      <c r="G34" s="34"/>
      <c r="H34" s="34"/>
      <c r="I34" s="34"/>
      <c r="J34" s="34"/>
      <c r="K34" s="34"/>
      <c r="L34" s="34"/>
      <c r="M34" s="34"/>
      <c r="N34" s="34"/>
      <c r="O34" s="34"/>
      <c r="P34" s="34"/>
    </row>
    <row r="35" spans="1:16">
      <c r="A35" s="34" t="s">
        <v>11</v>
      </c>
      <c r="B35" s="34" t="s">
        <v>185</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188</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189</v>
      </c>
      <c r="D41" s="69" t="s">
        <v>18</v>
      </c>
      <c r="E41" s="69" t="s">
        <v>22</v>
      </c>
      <c r="F41" s="69" t="s">
        <v>7</v>
      </c>
      <c r="G41" s="69" t="s">
        <v>13</v>
      </c>
      <c r="H41" s="69" t="s">
        <v>16</v>
      </c>
      <c r="I41" s="69" t="s">
        <v>23</v>
      </c>
      <c r="J41" s="69" t="s">
        <v>24</v>
      </c>
      <c r="K41" s="69" t="s">
        <v>25</v>
      </c>
      <c r="L41" s="69" t="s">
        <v>26</v>
      </c>
      <c r="M41" s="69" t="s">
        <v>27</v>
      </c>
      <c r="N41" s="69" t="s">
        <v>28</v>
      </c>
      <c r="O41" s="69" t="s">
        <v>11</v>
      </c>
      <c r="P41" s="69" t="s">
        <v>393</v>
      </c>
    </row>
    <row r="42" spans="1:16" ht="15.75">
      <c r="A42" s="68" t="str">
        <f>B32</f>
        <v>treatment of aluminium,powerplant, conventional, Long-Term</v>
      </c>
      <c r="B42" s="68">
        <v>1</v>
      </c>
      <c r="C42" s="68"/>
      <c r="D42" s="68" t="s">
        <v>37</v>
      </c>
      <c r="E42" s="34" t="s">
        <v>2</v>
      </c>
      <c r="F42" s="34" t="s">
        <v>395</v>
      </c>
      <c r="G42" s="68" t="s">
        <v>57</v>
      </c>
      <c r="H42" s="34" t="s">
        <v>30</v>
      </c>
      <c r="I42" s="34">
        <v>0</v>
      </c>
      <c r="J42" s="68" t="s">
        <v>31</v>
      </c>
      <c r="K42" s="68" t="s">
        <v>31</v>
      </c>
      <c r="L42" s="68" t="s">
        <v>31</v>
      </c>
      <c r="M42" s="68" t="s">
        <v>31</v>
      </c>
      <c r="N42" s="68" t="s">
        <v>31</v>
      </c>
      <c r="O42" s="34" t="s">
        <v>414</v>
      </c>
    </row>
    <row r="43" spans="1:16" ht="15.75">
      <c r="A43" t="s">
        <v>205</v>
      </c>
      <c r="B43" s="22">
        <v>0.75</v>
      </c>
      <c r="C43" s="68"/>
      <c r="D43" s="68" t="s">
        <v>37</v>
      </c>
      <c r="E43" s="48" t="s">
        <v>38</v>
      </c>
      <c r="F43" s="34" t="s">
        <v>395</v>
      </c>
      <c r="G43" s="68" t="s">
        <v>91</v>
      </c>
      <c r="H43" s="34" t="s">
        <v>33</v>
      </c>
      <c r="I43" s="34">
        <v>0</v>
      </c>
      <c r="J43" s="68" t="s">
        <v>31</v>
      </c>
      <c r="K43" s="68" t="s">
        <v>31</v>
      </c>
      <c r="L43" s="68" t="s">
        <v>31</v>
      </c>
      <c r="M43" s="68" t="s">
        <v>31</v>
      </c>
      <c r="N43" s="68" t="s">
        <v>31</v>
      </c>
      <c r="O43" s="34" t="s">
        <v>415</v>
      </c>
      <c r="P43" s="34"/>
    </row>
    <row r="44" spans="1:16" ht="15.75">
      <c r="A44" t="s">
        <v>207</v>
      </c>
      <c r="B44" s="22">
        <v>0.75</v>
      </c>
      <c r="C44" s="61" t="s">
        <v>208</v>
      </c>
      <c r="D44" t="s">
        <v>37</v>
      </c>
      <c r="E44" s="74" t="s">
        <v>38</v>
      </c>
      <c r="F44" s="34" t="s">
        <v>395</v>
      </c>
      <c r="G44" s="68" t="s">
        <v>91</v>
      </c>
      <c r="H44" s="34" t="s">
        <v>33</v>
      </c>
      <c r="I44" s="34">
        <v>0</v>
      </c>
      <c r="J44" s="68" t="s">
        <v>31</v>
      </c>
      <c r="K44" s="68" t="s">
        <v>31</v>
      </c>
      <c r="L44" s="68" t="s">
        <v>31</v>
      </c>
      <c r="M44" s="68" t="s">
        <v>31</v>
      </c>
      <c r="N44" s="68" t="s">
        <v>31</v>
      </c>
      <c r="O44" s="68" t="s">
        <v>416</v>
      </c>
    </row>
    <row r="45" spans="1:16" ht="15.75">
      <c r="A45" t="s">
        <v>417</v>
      </c>
      <c r="B45" s="22">
        <v>0.75</v>
      </c>
      <c r="D45" t="s">
        <v>37</v>
      </c>
      <c r="E45" s="74" t="s">
        <v>38</v>
      </c>
      <c r="F45" s="34" t="s">
        <v>395</v>
      </c>
      <c r="G45" t="s">
        <v>57</v>
      </c>
      <c r="H45" s="34" t="s">
        <v>135</v>
      </c>
      <c r="I45" s="34">
        <v>0</v>
      </c>
      <c r="J45" s="68" t="s">
        <v>31</v>
      </c>
      <c r="K45" s="68" t="s">
        <v>31</v>
      </c>
      <c r="L45" s="68" t="s">
        <v>31</v>
      </c>
      <c r="M45" s="68" t="s">
        <v>31</v>
      </c>
      <c r="N45" s="68" t="s">
        <v>31</v>
      </c>
      <c r="O45" s="34"/>
    </row>
    <row r="46" spans="1:16" ht="15.75">
      <c r="A46" t="s">
        <v>400</v>
      </c>
      <c r="B46" s="22">
        <f>-0.25</f>
        <v>-0.25</v>
      </c>
      <c r="D46" t="s">
        <v>37</v>
      </c>
      <c r="E46" s="73" t="s">
        <v>38</v>
      </c>
      <c r="F46" s="34" t="s">
        <v>395</v>
      </c>
      <c r="G46" t="s">
        <v>57</v>
      </c>
      <c r="H46" t="s">
        <v>33</v>
      </c>
      <c r="I46">
        <v>0</v>
      </c>
      <c r="J46" t="s">
        <v>31</v>
      </c>
      <c r="K46" t="s">
        <v>31</v>
      </c>
      <c r="L46" t="s">
        <v>31</v>
      </c>
      <c r="M46" t="s">
        <v>31</v>
      </c>
      <c r="N46" t="s">
        <v>31</v>
      </c>
      <c r="O46" s="17"/>
      <c r="P46" s="34"/>
    </row>
    <row r="47" spans="1:16" s="66" customFormat="1" ht="15.75">
      <c r="A47" s="63" t="s">
        <v>5</v>
      </c>
      <c r="B47" s="63" t="s">
        <v>418</v>
      </c>
      <c r="C47" s="63"/>
      <c r="D47" s="64"/>
      <c r="E47" s="65"/>
      <c r="F47" s="65"/>
      <c r="G47" s="65"/>
      <c r="H47" s="65"/>
      <c r="I47" s="65"/>
      <c r="J47" s="65"/>
      <c r="K47" s="65"/>
      <c r="L47" s="65"/>
      <c r="M47" s="65"/>
      <c r="N47" s="65"/>
      <c r="O47" s="65"/>
      <c r="P47" s="65"/>
    </row>
    <row r="48" spans="1:16">
      <c r="A48" s="34" t="s">
        <v>7</v>
      </c>
      <c r="B48" s="34" t="s">
        <v>395</v>
      </c>
      <c r="C48" s="34"/>
      <c r="D48" s="34"/>
      <c r="E48" s="34"/>
      <c r="F48" s="34"/>
      <c r="G48" s="34"/>
      <c r="H48" s="34"/>
      <c r="I48" s="34"/>
      <c r="J48" s="34"/>
      <c r="K48" s="34"/>
      <c r="L48" s="34"/>
      <c r="M48" s="34"/>
      <c r="N48" s="34"/>
      <c r="O48" s="34"/>
      <c r="P48" s="34"/>
    </row>
    <row r="49" spans="1:17">
      <c r="A49" s="34" t="s">
        <v>9</v>
      </c>
      <c r="B49" s="70" t="s">
        <v>419</v>
      </c>
      <c r="C49" s="34"/>
      <c r="D49" s="34"/>
      <c r="E49" s="34"/>
      <c r="F49" s="34"/>
      <c r="G49" s="34"/>
      <c r="H49" s="34"/>
      <c r="I49" s="34"/>
      <c r="J49" s="34"/>
      <c r="K49" s="34"/>
      <c r="L49" s="34"/>
      <c r="M49" s="34"/>
      <c r="N49" s="34"/>
      <c r="O49" s="34"/>
      <c r="P49" s="34"/>
    </row>
    <row r="50" spans="1:17">
      <c r="A50" s="34" t="s">
        <v>11</v>
      </c>
      <c r="B50" s="34" t="s">
        <v>185</v>
      </c>
      <c r="C50" s="34"/>
      <c r="D50" s="34"/>
      <c r="E50" s="34"/>
      <c r="F50" s="34"/>
      <c r="G50" s="34"/>
      <c r="H50" s="34"/>
      <c r="I50" s="34"/>
      <c r="J50" s="34"/>
      <c r="K50" s="34"/>
      <c r="L50" s="34"/>
      <c r="M50" s="34"/>
      <c r="N50" s="34"/>
      <c r="O50" s="34"/>
      <c r="P50" s="34"/>
    </row>
    <row r="51" spans="1:17">
      <c r="A51" s="34" t="s">
        <v>13</v>
      </c>
      <c r="B51" s="34" t="s">
        <v>57</v>
      </c>
      <c r="C51" s="34"/>
      <c r="D51" s="34"/>
      <c r="E51" s="34"/>
      <c r="F51" s="34"/>
      <c r="G51" s="34"/>
      <c r="H51" s="34"/>
      <c r="I51" s="34"/>
      <c r="J51" s="34"/>
      <c r="K51" s="34"/>
      <c r="L51" s="34"/>
      <c r="M51" s="34"/>
      <c r="N51" s="34"/>
      <c r="O51" s="34"/>
      <c r="P51" s="34"/>
    </row>
    <row r="52" spans="1:17">
      <c r="A52" s="34" t="s">
        <v>15</v>
      </c>
      <c r="B52" s="34">
        <v>1</v>
      </c>
      <c r="C52" s="34"/>
      <c r="D52" s="34"/>
      <c r="E52" s="34"/>
      <c r="F52" s="34"/>
      <c r="G52" s="34"/>
      <c r="H52" s="34"/>
      <c r="I52" s="34"/>
      <c r="J52" s="34"/>
      <c r="K52" s="34"/>
      <c r="L52" s="34"/>
      <c r="M52" s="34"/>
      <c r="N52" s="34"/>
      <c r="O52" s="34"/>
      <c r="P52" s="34"/>
    </row>
    <row r="53" spans="1:17">
      <c r="A53" s="34" t="s">
        <v>16</v>
      </c>
      <c r="B53" s="34" t="s">
        <v>17</v>
      </c>
      <c r="C53" s="34"/>
      <c r="D53" s="34"/>
      <c r="E53" s="34"/>
      <c r="F53" s="34"/>
      <c r="G53" s="34"/>
      <c r="H53" s="34"/>
      <c r="I53" s="34"/>
      <c r="J53" s="34"/>
      <c r="K53" s="34"/>
      <c r="L53" s="34"/>
      <c r="M53" s="34"/>
      <c r="N53" s="34"/>
      <c r="O53" s="34"/>
      <c r="P53" s="34"/>
    </row>
    <row r="54" spans="1:17" ht="15.75">
      <c r="A54" s="34" t="s">
        <v>18</v>
      </c>
      <c r="B54" s="68" t="s">
        <v>37</v>
      </c>
      <c r="C54" s="34"/>
      <c r="D54" s="34"/>
      <c r="E54" s="34" t="s">
        <v>188</v>
      </c>
      <c r="F54" s="34"/>
      <c r="G54" s="34"/>
      <c r="H54" s="34"/>
      <c r="I54" s="34"/>
      <c r="J54" s="34"/>
      <c r="K54" s="34"/>
      <c r="L54" s="34"/>
      <c r="M54" s="34"/>
      <c r="N54" s="34"/>
      <c r="O54" s="34"/>
      <c r="P54" s="34"/>
    </row>
    <row r="55" spans="1:17" ht="15.75">
      <c r="A55" s="69" t="s">
        <v>19</v>
      </c>
      <c r="B55" s="34"/>
      <c r="C55" s="34"/>
      <c r="D55" s="34"/>
      <c r="E55" s="34"/>
      <c r="F55" s="34"/>
      <c r="G55" s="34"/>
      <c r="H55" s="34"/>
      <c r="I55" s="34"/>
      <c r="J55" s="34"/>
      <c r="K55" s="34"/>
      <c r="L55" s="34"/>
      <c r="M55" s="34"/>
      <c r="N55" s="34"/>
      <c r="O55" s="34"/>
      <c r="P55" s="34"/>
    </row>
    <row r="56" spans="1:17" ht="15.75">
      <c r="A56" s="69" t="s">
        <v>20</v>
      </c>
      <c r="B56" s="69" t="s">
        <v>21</v>
      </c>
      <c r="C56" s="69" t="s">
        <v>189</v>
      </c>
      <c r="D56" s="69" t="s">
        <v>18</v>
      </c>
      <c r="E56" s="69" t="s">
        <v>22</v>
      </c>
      <c r="F56" s="69" t="s">
        <v>7</v>
      </c>
      <c r="G56" s="69" t="s">
        <v>13</v>
      </c>
      <c r="H56" s="69" t="s">
        <v>16</v>
      </c>
      <c r="I56" s="69" t="s">
        <v>23</v>
      </c>
      <c r="J56" s="69" t="s">
        <v>24</v>
      </c>
      <c r="K56" s="69" t="s">
        <v>25</v>
      </c>
      <c r="L56" s="69" t="s">
        <v>26</v>
      </c>
      <c r="M56" s="69" t="s">
        <v>27</v>
      </c>
      <c r="N56" s="69" t="s">
        <v>28</v>
      </c>
      <c r="O56" s="69" t="s">
        <v>11</v>
      </c>
      <c r="P56" s="69" t="s">
        <v>393</v>
      </c>
    </row>
    <row r="57" spans="1:17" ht="15.75">
      <c r="A57" s="68" t="str">
        <f>B47</f>
        <v>treatment of iron-nickel chromium alloy,powerplant, conventional, Long-Term</v>
      </c>
      <c r="B57" s="68">
        <v>1</v>
      </c>
      <c r="C57" s="68"/>
      <c r="D57" s="68" t="s">
        <v>37</v>
      </c>
      <c r="E57" s="34" t="s">
        <v>2</v>
      </c>
      <c r="F57" s="34" t="s">
        <v>395</v>
      </c>
      <c r="G57" s="68" t="s">
        <v>57</v>
      </c>
      <c r="H57" s="34" t="s">
        <v>30</v>
      </c>
      <c r="I57" s="34">
        <v>0</v>
      </c>
      <c r="J57" s="68" t="s">
        <v>31</v>
      </c>
      <c r="K57" s="68" t="s">
        <v>31</v>
      </c>
      <c r="L57" s="68" t="s">
        <v>31</v>
      </c>
      <c r="M57" s="68" t="s">
        <v>31</v>
      </c>
      <c r="N57" s="68" t="s">
        <v>31</v>
      </c>
      <c r="O57" s="34" t="s">
        <v>414</v>
      </c>
    </row>
    <row r="58" spans="1:17" ht="15.75">
      <c r="A58" t="s">
        <v>420</v>
      </c>
      <c r="B58">
        <v>0.85</v>
      </c>
      <c r="C58" t="s">
        <v>421</v>
      </c>
      <c r="D58" t="s">
        <v>37</v>
      </c>
      <c r="E58" t="s">
        <v>38</v>
      </c>
      <c r="F58" s="34" t="s">
        <v>395</v>
      </c>
      <c r="G58" t="s">
        <v>91</v>
      </c>
      <c r="H58" t="s">
        <v>33</v>
      </c>
      <c r="I58" s="34">
        <v>0</v>
      </c>
      <c r="J58" s="68" t="s">
        <v>31</v>
      </c>
      <c r="K58" s="68" t="s">
        <v>31</v>
      </c>
      <c r="L58" s="68" t="s">
        <v>31</v>
      </c>
      <c r="M58" s="68" t="s">
        <v>31</v>
      </c>
      <c r="N58" s="68" t="s">
        <v>31</v>
      </c>
      <c r="O58" s="34" t="s">
        <v>414</v>
      </c>
      <c r="Q58" t="s">
        <v>184</v>
      </c>
    </row>
    <row r="59" spans="1:17" ht="15.75">
      <c r="A59" t="s">
        <v>151</v>
      </c>
      <c r="B59">
        <v>0.85</v>
      </c>
      <c r="D59" t="s">
        <v>37</v>
      </c>
      <c r="E59" t="s">
        <v>38</v>
      </c>
      <c r="F59" s="34" t="s">
        <v>395</v>
      </c>
      <c r="G59" t="s">
        <v>57</v>
      </c>
      <c r="H59" t="s">
        <v>135</v>
      </c>
      <c r="I59" s="34">
        <v>0</v>
      </c>
      <c r="J59" s="68" t="s">
        <v>31</v>
      </c>
      <c r="K59" s="68" t="s">
        <v>31</v>
      </c>
      <c r="L59" s="68" t="s">
        <v>31</v>
      </c>
      <c r="M59" s="68" t="s">
        <v>31</v>
      </c>
      <c r="N59" s="68" t="s">
        <v>31</v>
      </c>
      <c r="O59" s="34" t="s">
        <v>414</v>
      </c>
      <c r="Q59" t="s">
        <v>184</v>
      </c>
    </row>
    <row r="60" spans="1:17">
      <c r="A60" t="s">
        <v>400</v>
      </c>
      <c r="B60" s="22">
        <f>-0.25</f>
        <v>-0.25</v>
      </c>
      <c r="D60" t="s">
        <v>37</v>
      </c>
      <c r="E60" s="73" t="s">
        <v>38</v>
      </c>
      <c r="F60" s="34" t="s">
        <v>395</v>
      </c>
      <c r="G60" t="s">
        <v>57</v>
      </c>
      <c r="H60" t="s">
        <v>33</v>
      </c>
      <c r="I60">
        <v>0</v>
      </c>
      <c r="J60" t="s">
        <v>31</v>
      </c>
      <c r="K60" t="s">
        <v>31</v>
      </c>
      <c r="L60" t="s">
        <v>31</v>
      </c>
      <c r="M60" t="s">
        <v>31</v>
      </c>
      <c r="N60" t="s">
        <v>31</v>
      </c>
      <c r="O60" s="34" t="s">
        <v>414</v>
      </c>
    </row>
    <row r="61" spans="1:17" s="66" customFormat="1" ht="15.75">
      <c r="A61" s="63" t="s">
        <v>5</v>
      </c>
      <c r="B61" s="63" t="s">
        <v>422</v>
      </c>
      <c r="C61" s="63"/>
      <c r="D61" s="64"/>
      <c r="E61" s="65"/>
      <c r="F61" s="65"/>
      <c r="G61" s="65"/>
      <c r="H61" s="65"/>
      <c r="I61" s="65"/>
      <c r="J61" s="65"/>
      <c r="K61" s="65"/>
      <c r="L61" s="65"/>
      <c r="M61" s="65"/>
      <c r="N61" s="65"/>
      <c r="O61" s="65"/>
      <c r="P61" s="65"/>
    </row>
    <row r="62" spans="1:17">
      <c r="A62" s="34" t="s">
        <v>7</v>
      </c>
      <c r="B62" s="34" t="s">
        <v>395</v>
      </c>
      <c r="C62" s="34"/>
      <c r="D62" s="34"/>
      <c r="E62" s="34"/>
      <c r="F62" s="34"/>
      <c r="G62" s="34"/>
      <c r="H62" s="34"/>
      <c r="I62" s="34"/>
      <c r="J62" s="34"/>
      <c r="K62" s="34"/>
      <c r="L62" s="34"/>
      <c r="M62" s="34"/>
      <c r="N62" s="34"/>
      <c r="O62" s="34"/>
      <c r="P62" s="34"/>
    </row>
    <row r="63" spans="1:17">
      <c r="A63" s="34" t="s">
        <v>9</v>
      </c>
      <c r="B63" s="70" t="s">
        <v>423</v>
      </c>
      <c r="C63" s="34"/>
      <c r="D63" s="34"/>
      <c r="E63" s="34"/>
      <c r="F63" s="34"/>
      <c r="G63" s="34"/>
      <c r="H63" s="34"/>
      <c r="I63" s="34"/>
      <c r="J63" s="34"/>
      <c r="K63" s="34"/>
      <c r="L63" s="34"/>
      <c r="M63" s="34"/>
      <c r="N63" s="34"/>
      <c r="O63" s="34"/>
      <c r="P63" s="34"/>
    </row>
    <row r="64" spans="1:17">
      <c r="A64" s="34" t="s">
        <v>11</v>
      </c>
      <c r="B64" s="70" t="s">
        <v>185</v>
      </c>
      <c r="C64" s="34"/>
      <c r="D64" s="34"/>
      <c r="E64" s="34"/>
      <c r="F64" s="34"/>
      <c r="G64" s="34"/>
      <c r="H64" s="34"/>
      <c r="I64" s="34"/>
      <c r="J64" s="34"/>
      <c r="K64" s="34"/>
      <c r="L64" s="34"/>
      <c r="M64" s="34"/>
      <c r="N64" s="34"/>
      <c r="O64" s="34"/>
      <c r="P64" s="34"/>
    </row>
    <row r="65" spans="1:17">
      <c r="A65" s="34" t="s">
        <v>13</v>
      </c>
      <c r="B65" s="34" t="s">
        <v>57</v>
      </c>
      <c r="C65" s="34"/>
      <c r="D65" s="34"/>
      <c r="E65" s="34"/>
      <c r="F65" s="34"/>
      <c r="G65" s="34"/>
      <c r="H65" s="34"/>
      <c r="I65" s="34"/>
      <c r="J65" s="34"/>
      <c r="K65" s="34"/>
      <c r="L65" s="34"/>
      <c r="M65" s="34"/>
      <c r="N65" s="34"/>
      <c r="O65" s="34"/>
      <c r="P65" s="34"/>
    </row>
    <row r="66" spans="1:17">
      <c r="A66" s="34" t="s">
        <v>15</v>
      </c>
      <c r="B66" s="34">
        <v>1</v>
      </c>
      <c r="C66" s="34"/>
      <c r="D66" s="34"/>
      <c r="E66" s="34"/>
      <c r="F66" s="34"/>
      <c r="G66" s="34"/>
      <c r="H66" s="34"/>
      <c r="I66" s="34"/>
      <c r="J66" s="34"/>
      <c r="K66" s="34"/>
      <c r="L66" s="34"/>
      <c r="M66" s="34"/>
      <c r="N66" s="34"/>
      <c r="O66" s="34"/>
      <c r="P66" s="34"/>
    </row>
    <row r="67" spans="1:17">
      <c r="A67" s="34" t="s">
        <v>16</v>
      </c>
      <c r="B67" s="34" t="s">
        <v>17</v>
      </c>
      <c r="C67" s="34"/>
      <c r="D67" s="34"/>
      <c r="E67" s="34"/>
      <c r="F67" s="34"/>
      <c r="G67" s="34"/>
      <c r="H67" s="34"/>
      <c r="I67" s="34"/>
      <c r="J67" s="34"/>
      <c r="K67" s="34"/>
      <c r="L67" s="34"/>
      <c r="M67" s="34"/>
      <c r="N67" s="34"/>
      <c r="O67" s="34"/>
      <c r="P67" s="34"/>
    </row>
    <row r="68" spans="1:17" ht="15.75">
      <c r="A68" s="34" t="s">
        <v>18</v>
      </c>
      <c r="B68" s="68" t="s">
        <v>37</v>
      </c>
      <c r="C68" s="34"/>
      <c r="D68" s="34"/>
      <c r="E68" s="34" t="s">
        <v>188</v>
      </c>
      <c r="F68" s="34"/>
      <c r="G68" s="34"/>
      <c r="H68" s="34"/>
      <c r="I68" s="34"/>
      <c r="J68" s="34"/>
      <c r="K68" s="34"/>
      <c r="L68" s="34"/>
      <c r="M68" s="34"/>
      <c r="N68" s="34"/>
      <c r="O68" s="34"/>
      <c r="P68" s="34"/>
    </row>
    <row r="69" spans="1:17" ht="15.75">
      <c r="A69" s="69" t="s">
        <v>19</v>
      </c>
      <c r="B69" s="34"/>
      <c r="C69" s="34"/>
      <c r="D69" s="34"/>
      <c r="E69" s="34"/>
      <c r="F69" s="34"/>
      <c r="G69" s="34"/>
      <c r="H69" s="34"/>
      <c r="I69" s="34"/>
      <c r="J69" s="34"/>
      <c r="K69" s="34"/>
      <c r="L69" s="34"/>
      <c r="M69" s="34"/>
      <c r="N69" s="34"/>
      <c r="O69" s="34"/>
      <c r="P69" s="34"/>
    </row>
    <row r="70" spans="1:17" ht="15.75">
      <c r="A70" s="69" t="s">
        <v>20</v>
      </c>
      <c r="B70" s="69" t="s">
        <v>21</v>
      </c>
      <c r="C70" s="69" t="s">
        <v>189</v>
      </c>
      <c r="D70" s="69" t="s">
        <v>18</v>
      </c>
      <c r="E70" s="69" t="s">
        <v>22</v>
      </c>
      <c r="F70" s="69" t="s">
        <v>7</v>
      </c>
      <c r="G70" s="69" t="s">
        <v>13</v>
      </c>
      <c r="H70" s="69" t="s">
        <v>16</v>
      </c>
      <c r="I70" s="69" t="s">
        <v>23</v>
      </c>
      <c r="J70" s="69" t="s">
        <v>24</v>
      </c>
      <c r="K70" s="69" t="s">
        <v>25</v>
      </c>
      <c r="L70" s="69" t="s">
        <v>26</v>
      </c>
      <c r="M70" s="69" t="s">
        <v>27</v>
      </c>
      <c r="N70" s="69" t="s">
        <v>28</v>
      </c>
      <c r="O70" s="69" t="s">
        <v>11</v>
      </c>
      <c r="P70" s="69" t="s">
        <v>393</v>
      </c>
    </row>
    <row r="71" spans="1:17" ht="15.75">
      <c r="A71" s="68" t="str">
        <f>B61</f>
        <v>treatment of nickel,powerplant, conventional, Long-Term</v>
      </c>
      <c r="B71" s="68">
        <v>1</v>
      </c>
      <c r="C71" s="68"/>
      <c r="D71" s="68" t="s">
        <v>37</v>
      </c>
      <c r="E71" s="34" t="s">
        <v>2</v>
      </c>
      <c r="F71" s="34" t="s">
        <v>395</v>
      </c>
      <c r="G71" s="68" t="s">
        <v>57</v>
      </c>
      <c r="H71" s="34" t="s">
        <v>30</v>
      </c>
      <c r="I71" s="34">
        <v>0</v>
      </c>
      <c r="J71" s="68" t="s">
        <v>31</v>
      </c>
      <c r="K71" s="68" t="s">
        <v>31</v>
      </c>
      <c r="L71" s="68" t="s">
        <v>31</v>
      </c>
      <c r="M71" s="68" t="s">
        <v>31</v>
      </c>
      <c r="N71" s="68" t="s">
        <v>31</v>
      </c>
      <c r="O71" s="34" t="s">
        <v>414</v>
      </c>
    </row>
    <row r="72" spans="1:17" ht="15.75">
      <c r="A72" t="s">
        <v>420</v>
      </c>
      <c r="B72">
        <v>0.85</v>
      </c>
      <c r="C72" t="s">
        <v>421</v>
      </c>
      <c r="D72" t="s">
        <v>37</v>
      </c>
      <c r="E72" t="s">
        <v>38</v>
      </c>
      <c r="F72" s="34" t="s">
        <v>395</v>
      </c>
      <c r="G72" t="s">
        <v>91</v>
      </c>
      <c r="H72" t="s">
        <v>33</v>
      </c>
      <c r="I72" s="34">
        <v>0</v>
      </c>
      <c r="J72" s="68" t="s">
        <v>31</v>
      </c>
      <c r="K72" s="68" t="s">
        <v>31</v>
      </c>
      <c r="L72" s="68" t="s">
        <v>31</v>
      </c>
      <c r="M72" s="68" t="s">
        <v>31</v>
      </c>
      <c r="N72" s="68" t="s">
        <v>31</v>
      </c>
      <c r="O72" s="34" t="s">
        <v>414</v>
      </c>
      <c r="Q72" t="s">
        <v>184</v>
      </c>
    </row>
    <row r="73" spans="1:17" ht="15.75">
      <c r="A73" t="s">
        <v>424</v>
      </c>
      <c r="B73">
        <v>0.85</v>
      </c>
      <c r="D73" t="s">
        <v>37</v>
      </c>
      <c r="E73" t="s">
        <v>38</v>
      </c>
      <c r="F73" s="34" t="s">
        <v>395</v>
      </c>
      <c r="G73" t="s">
        <v>57</v>
      </c>
      <c r="H73" t="s">
        <v>135</v>
      </c>
      <c r="I73" s="34">
        <v>0</v>
      </c>
      <c r="J73" s="68" t="s">
        <v>31</v>
      </c>
      <c r="K73" s="68" t="s">
        <v>31</v>
      </c>
      <c r="L73" s="68" t="s">
        <v>31</v>
      </c>
      <c r="M73" s="68" t="s">
        <v>31</v>
      </c>
      <c r="N73" s="68" t="s">
        <v>31</v>
      </c>
      <c r="O73" s="34" t="s">
        <v>414</v>
      </c>
      <c r="Q73" t="s">
        <v>184</v>
      </c>
    </row>
    <row r="74" spans="1:17">
      <c r="A74" t="s">
        <v>400</v>
      </c>
      <c r="B74" s="22">
        <f>-0.25</f>
        <v>-0.25</v>
      </c>
      <c r="D74" t="s">
        <v>37</v>
      </c>
      <c r="E74" s="73" t="s">
        <v>38</v>
      </c>
      <c r="F74" s="34" t="s">
        <v>395</v>
      </c>
      <c r="G74" t="s">
        <v>57</v>
      </c>
      <c r="H74" t="s">
        <v>33</v>
      </c>
      <c r="I74">
        <v>0</v>
      </c>
      <c r="J74" t="s">
        <v>31</v>
      </c>
      <c r="K74" t="s">
        <v>31</v>
      </c>
      <c r="L74" t="s">
        <v>31</v>
      </c>
      <c r="M74" t="s">
        <v>31</v>
      </c>
      <c r="N74" t="s">
        <v>31</v>
      </c>
      <c r="O74" s="34" t="s">
        <v>414</v>
      </c>
    </row>
    <row r="75" spans="1:17" s="66" customFormat="1" ht="15.75">
      <c r="A75" s="63" t="s">
        <v>5</v>
      </c>
      <c r="B75" s="63" t="s">
        <v>425</v>
      </c>
      <c r="C75" s="63"/>
      <c r="D75" s="64"/>
      <c r="E75" s="65"/>
      <c r="F75" s="65"/>
      <c r="G75" s="65"/>
      <c r="H75" s="65"/>
      <c r="I75" s="65"/>
      <c r="J75" s="65"/>
      <c r="K75" s="65"/>
      <c r="L75" s="65"/>
      <c r="M75" s="65"/>
      <c r="N75" s="65"/>
      <c r="O75" s="65"/>
      <c r="P75" s="65"/>
    </row>
    <row r="76" spans="1:17">
      <c r="A76" s="34" t="s">
        <v>7</v>
      </c>
      <c r="B76" s="34" t="s">
        <v>395</v>
      </c>
      <c r="C76" s="34"/>
      <c r="D76" s="34"/>
      <c r="E76" s="34"/>
      <c r="F76" s="34"/>
      <c r="G76" s="34"/>
      <c r="H76" s="34"/>
      <c r="I76" s="34"/>
      <c r="J76" s="34"/>
      <c r="K76" s="34"/>
      <c r="L76" s="34"/>
      <c r="M76" s="34"/>
      <c r="N76" s="34"/>
      <c r="O76" s="34"/>
      <c r="P76" s="34"/>
    </row>
    <row r="77" spans="1:17">
      <c r="A77" s="34" t="s">
        <v>9</v>
      </c>
      <c r="B77" s="70" t="s">
        <v>426</v>
      </c>
      <c r="C77" s="34"/>
      <c r="D77" s="34"/>
      <c r="E77" s="34"/>
      <c r="F77" s="34"/>
      <c r="G77" s="34"/>
      <c r="H77" s="34"/>
      <c r="I77" s="34"/>
      <c r="J77" s="34"/>
      <c r="K77" s="34"/>
      <c r="L77" s="34"/>
      <c r="M77" s="34"/>
      <c r="N77" s="34"/>
      <c r="O77" s="34"/>
      <c r="P77" s="34"/>
    </row>
    <row r="78" spans="1:17">
      <c r="A78" s="34" t="s">
        <v>11</v>
      </c>
      <c r="B78" s="34" t="s">
        <v>185</v>
      </c>
      <c r="C78" s="34"/>
      <c r="D78" s="34"/>
      <c r="E78" s="34"/>
      <c r="F78" s="34"/>
      <c r="G78" s="34"/>
      <c r="H78" s="34"/>
      <c r="I78" s="34"/>
      <c r="J78" s="34"/>
      <c r="K78" s="34"/>
      <c r="L78" s="34"/>
      <c r="M78" s="34"/>
      <c r="N78" s="34"/>
      <c r="O78" s="34"/>
      <c r="P78" s="34"/>
    </row>
    <row r="79" spans="1:17">
      <c r="A79" s="34" t="s">
        <v>13</v>
      </c>
      <c r="B79" s="34" t="s">
        <v>57</v>
      </c>
      <c r="C79" s="34"/>
      <c r="D79" s="34"/>
      <c r="E79" s="34"/>
      <c r="F79" s="34"/>
      <c r="G79" s="34"/>
      <c r="H79" s="34"/>
      <c r="I79" s="34"/>
      <c r="J79" s="34"/>
      <c r="K79" s="34"/>
      <c r="L79" s="34"/>
      <c r="M79" s="34"/>
      <c r="N79" s="34"/>
      <c r="O79" s="34"/>
      <c r="P79" s="34"/>
    </row>
    <row r="80" spans="1:17">
      <c r="A80" s="34" t="s">
        <v>15</v>
      </c>
      <c r="B80" s="34">
        <v>1</v>
      </c>
      <c r="C80" s="34"/>
      <c r="D80" s="34"/>
      <c r="E80" s="34"/>
      <c r="F80" s="34"/>
      <c r="G80" s="34"/>
      <c r="H80" s="34"/>
      <c r="I80" s="34"/>
      <c r="J80" s="34"/>
      <c r="K80" s="34"/>
      <c r="L80" s="34"/>
      <c r="M80" s="34"/>
      <c r="N80" s="34"/>
      <c r="O80" s="34"/>
      <c r="P80" s="34"/>
    </row>
    <row r="81" spans="1:17">
      <c r="A81" s="34" t="s">
        <v>16</v>
      </c>
      <c r="B81" s="34" t="s">
        <v>17</v>
      </c>
      <c r="C81" s="34"/>
      <c r="D81" s="34"/>
      <c r="E81" s="34"/>
      <c r="F81" s="34"/>
      <c r="G81" s="34"/>
      <c r="H81" s="34"/>
      <c r="I81" s="34"/>
      <c r="J81" s="34"/>
      <c r="K81" s="34"/>
      <c r="L81" s="34"/>
      <c r="M81" s="34"/>
      <c r="N81" s="34"/>
      <c r="O81" s="34"/>
      <c r="P81" s="34"/>
    </row>
    <row r="82" spans="1:17" ht="15.75">
      <c r="A82" s="34" t="s">
        <v>18</v>
      </c>
      <c r="B82" s="68" t="s">
        <v>37</v>
      </c>
      <c r="C82" s="34"/>
      <c r="D82" s="34"/>
      <c r="E82" s="34" t="s">
        <v>188</v>
      </c>
      <c r="F82" s="34"/>
      <c r="G82" s="34"/>
      <c r="H82" s="34"/>
      <c r="I82" s="34"/>
      <c r="J82" s="34"/>
      <c r="K82" s="34"/>
      <c r="L82" s="34"/>
      <c r="M82" s="34"/>
      <c r="N82" s="34"/>
      <c r="O82" s="34"/>
      <c r="P82" s="34"/>
    </row>
    <row r="83" spans="1:17" ht="15.75">
      <c r="A83" s="69" t="s">
        <v>19</v>
      </c>
      <c r="B83" s="34"/>
      <c r="C83" s="34"/>
      <c r="D83" s="34"/>
      <c r="E83" s="34"/>
      <c r="F83" s="34"/>
      <c r="G83" s="34"/>
      <c r="H83" s="34"/>
      <c r="I83" s="34"/>
      <c r="J83" s="34"/>
      <c r="K83" s="34"/>
      <c r="L83" s="34"/>
      <c r="M83" s="34"/>
      <c r="N83" s="34"/>
      <c r="O83" s="34"/>
      <c r="P83" s="34"/>
    </row>
    <row r="84" spans="1:17" ht="15.75">
      <c r="A84" s="69" t="s">
        <v>20</v>
      </c>
      <c r="B84" s="69" t="s">
        <v>21</v>
      </c>
      <c r="C84" s="69" t="s">
        <v>189</v>
      </c>
      <c r="D84" s="69" t="s">
        <v>18</v>
      </c>
      <c r="E84" s="69" t="s">
        <v>22</v>
      </c>
      <c r="F84" s="69" t="s">
        <v>7</v>
      </c>
      <c r="G84" s="69" t="s">
        <v>13</v>
      </c>
      <c r="H84" s="69" t="s">
        <v>16</v>
      </c>
      <c r="I84" s="69" t="s">
        <v>23</v>
      </c>
      <c r="J84" s="69" t="s">
        <v>24</v>
      </c>
      <c r="K84" s="69" t="s">
        <v>25</v>
      </c>
      <c r="L84" s="69" t="s">
        <v>26</v>
      </c>
      <c r="M84" s="69" t="s">
        <v>27</v>
      </c>
      <c r="N84" s="69" t="s">
        <v>28</v>
      </c>
      <c r="O84" s="69" t="s">
        <v>11</v>
      </c>
      <c r="P84" s="69" t="s">
        <v>393</v>
      </c>
    </row>
    <row r="85" spans="1:17" ht="15.75">
      <c r="A85" s="68" t="str">
        <f>B75</f>
        <v>treatment of copper,powerplant, conventional, Long-Term</v>
      </c>
      <c r="B85" s="68">
        <v>1</v>
      </c>
      <c r="C85" s="68"/>
      <c r="D85" s="68" t="s">
        <v>37</v>
      </c>
      <c r="E85" s="34" t="s">
        <v>2</v>
      </c>
      <c r="F85" s="34" t="s">
        <v>395</v>
      </c>
      <c r="G85" s="68" t="s">
        <v>57</v>
      </c>
      <c r="H85" s="34" t="s">
        <v>30</v>
      </c>
      <c r="I85" s="34">
        <v>0</v>
      </c>
      <c r="J85" s="68" t="s">
        <v>31</v>
      </c>
      <c r="K85" s="68" t="s">
        <v>31</v>
      </c>
      <c r="L85" s="68" t="s">
        <v>31</v>
      </c>
      <c r="M85" s="68" t="s">
        <v>31</v>
      </c>
      <c r="N85" s="68" t="s">
        <v>31</v>
      </c>
      <c r="O85" s="34" t="s">
        <v>414</v>
      </c>
    </row>
    <row r="86" spans="1:17" ht="15.75">
      <c r="A86" t="s">
        <v>420</v>
      </c>
      <c r="B86">
        <v>0.85</v>
      </c>
      <c r="C86" t="s">
        <v>421</v>
      </c>
      <c r="D86" t="s">
        <v>37</v>
      </c>
      <c r="E86" t="s">
        <v>38</v>
      </c>
      <c r="F86" s="34" t="s">
        <v>395</v>
      </c>
      <c r="G86" t="s">
        <v>91</v>
      </c>
      <c r="H86" t="s">
        <v>33</v>
      </c>
      <c r="I86" s="34">
        <v>0</v>
      </c>
      <c r="J86" s="68" t="s">
        <v>31</v>
      </c>
      <c r="K86" s="68" t="s">
        <v>31</v>
      </c>
      <c r="L86" s="68" t="s">
        <v>31</v>
      </c>
      <c r="M86" s="68" t="s">
        <v>31</v>
      </c>
      <c r="N86" s="68" t="s">
        <v>31</v>
      </c>
      <c r="O86" s="34" t="s">
        <v>414</v>
      </c>
      <c r="Q86" t="s">
        <v>184</v>
      </c>
    </row>
    <row r="87" spans="1:17" ht="15.75">
      <c r="A87" t="s">
        <v>427</v>
      </c>
      <c r="B87">
        <v>0.85</v>
      </c>
      <c r="D87" t="s">
        <v>37</v>
      </c>
      <c r="E87" t="s">
        <v>38</v>
      </c>
      <c r="F87" s="34" t="s">
        <v>395</v>
      </c>
      <c r="G87" t="s">
        <v>57</v>
      </c>
      <c r="H87" t="s">
        <v>135</v>
      </c>
      <c r="I87" s="34">
        <v>0</v>
      </c>
      <c r="J87" s="68" t="s">
        <v>31</v>
      </c>
      <c r="K87" s="68" t="s">
        <v>31</v>
      </c>
      <c r="L87" s="68" t="s">
        <v>31</v>
      </c>
      <c r="M87" s="68" t="s">
        <v>31</v>
      </c>
      <c r="N87" s="68" t="s">
        <v>31</v>
      </c>
      <c r="O87" s="34" t="s">
        <v>414</v>
      </c>
      <c r="Q87" t="s">
        <v>184</v>
      </c>
    </row>
    <row r="88" spans="1:17">
      <c r="A88" t="s">
        <v>400</v>
      </c>
      <c r="B88" s="22">
        <f>-0.25</f>
        <v>-0.25</v>
      </c>
      <c r="D88" t="s">
        <v>37</v>
      </c>
      <c r="E88" s="73" t="s">
        <v>38</v>
      </c>
      <c r="F88" s="34" t="s">
        <v>395</v>
      </c>
      <c r="G88" t="s">
        <v>57</v>
      </c>
      <c r="H88" t="s">
        <v>33</v>
      </c>
      <c r="I88">
        <v>0</v>
      </c>
      <c r="J88" t="s">
        <v>31</v>
      </c>
      <c r="K88" t="s">
        <v>31</v>
      </c>
      <c r="L88" t="s">
        <v>31</v>
      </c>
      <c r="M88" t="s">
        <v>31</v>
      </c>
      <c r="N88" t="s">
        <v>31</v>
      </c>
      <c r="O88" s="34" t="s">
        <v>414</v>
      </c>
    </row>
    <row r="89" spans="1:17" s="66" customFormat="1" ht="15.75">
      <c r="A89" s="63" t="s">
        <v>5</v>
      </c>
      <c r="B89" s="63" t="s">
        <v>428</v>
      </c>
      <c r="C89" s="63"/>
      <c r="D89" s="64"/>
      <c r="E89" s="65"/>
      <c r="F89" s="65"/>
      <c r="G89" s="65"/>
      <c r="H89" s="65"/>
      <c r="I89" s="65"/>
      <c r="J89" s="65"/>
      <c r="K89" s="65"/>
      <c r="L89" s="65"/>
      <c r="M89" s="65"/>
      <c r="N89" s="65"/>
      <c r="O89" s="65"/>
      <c r="P89" s="65"/>
    </row>
    <row r="90" spans="1:17">
      <c r="A90" s="34" t="s">
        <v>7</v>
      </c>
      <c r="B90" s="34" t="s">
        <v>395</v>
      </c>
      <c r="C90" s="34"/>
      <c r="D90" s="34"/>
      <c r="E90" s="34"/>
      <c r="F90" s="34"/>
      <c r="G90" s="34"/>
      <c r="H90" s="34"/>
      <c r="I90" s="34"/>
      <c r="J90" s="34"/>
      <c r="K90" s="34"/>
      <c r="L90" s="34"/>
      <c r="M90" s="34"/>
      <c r="N90" s="34"/>
      <c r="O90" s="34"/>
      <c r="P90" s="34"/>
    </row>
    <row r="91" spans="1:17">
      <c r="A91" s="34" t="s">
        <v>9</v>
      </c>
      <c r="B91" s="70" t="s">
        <v>429</v>
      </c>
      <c r="C91" s="34"/>
      <c r="D91" s="34"/>
      <c r="E91" s="34"/>
      <c r="F91" s="34"/>
      <c r="G91" s="34"/>
      <c r="H91" s="34"/>
      <c r="I91" s="34"/>
      <c r="J91" s="34"/>
      <c r="K91" s="34"/>
      <c r="L91" s="34"/>
      <c r="M91" s="34"/>
      <c r="N91" s="34"/>
      <c r="O91" s="34"/>
      <c r="P91" s="34"/>
    </row>
    <row r="92" spans="1:17">
      <c r="A92" s="34" t="s">
        <v>11</v>
      </c>
      <c r="B92" s="34" t="s">
        <v>185</v>
      </c>
      <c r="C92" s="34"/>
      <c r="D92" s="34"/>
      <c r="E92" s="34"/>
      <c r="F92" s="34"/>
      <c r="G92" s="34"/>
      <c r="H92" s="34"/>
      <c r="I92" s="34"/>
      <c r="J92" s="34"/>
      <c r="K92" s="34"/>
      <c r="L92" s="34"/>
      <c r="M92" s="34"/>
      <c r="N92" s="34"/>
      <c r="O92" s="34"/>
      <c r="P92" s="34"/>
    </row>
    <row r="93" spans="1:17">
      <c r="A93" s="34" t="s">
        <v>13</v>
      </c>
      <c r="B93" s="34" t="s">
        <v>57</v>
      </c>
      <c r="C93" s="34"/>
      <c r="D93" s="34"/>
      <c r="E93" s="34"/>
      <c r="F93" s="34"/>
      <c r="G93" s="34"/>
      <c r="H93" s="34"/>
      <c r="I93" s="34"/>
      <c r="J93" s="34"/>
      <c r="K93" s="34"/>
      <c r="L93" s="34"/>
      <c r="M93" s="34"/>
      <c r="N93" s="34"/>
      <c r="O93" s="34"/>
      <c r="P93" s="34"/>
    </row>
    <row r="94" spans="1:17">
      <c r="A94" s="34" t="s">
        <v>15</v>
      </c>
      <c r="B94" s="34">
        <v>1</v>
      </c>
      <c r="C94" s="34"/>
      <c r="D94" s="34"/>
      <c r="E94" s="34"/>
      <c r="F94" s="34"/>
      <c r="G94" s="34"/>
      <c r="H94" s="34"/>
      <c r="I94" s="34"/>
      <c r="J94" s="34"/>
      <c r="K94" s="34"/>
      <c r="L94" s="34"/>
      <c r="M94" s="34"/>
      <c r="N94" s="34"/>
      <c r="O94" s="34"/>
      <c r="P94" s="34"/>
    </row>
    <row r="95" spans="1:17">
      <c r="A95" s="34" t="s">
        <v>16</v>
      </c>
      <c r="B95" s="34" t="s">
        <v>17</v>
      </c>
      <c r="C95" s="34"/>
      <c r="D95" s="34"/>
      <c r="E95" s="34"/>
      <c r="F95" s="34"/>
      <c r="G95" s="34"/>
      <c r="H95" s="34"/>
      <c r="I95" s="34"/>
      <c r="J95" s="34"/>
      <c r="K95" s="34"/>
      <c r="L95" s="34"/>
      <c r="M95" s="34"/>
      <c r="N95" s="34"/>
      <c r="O95" s="34"/>
      <c r="P95" s="34"/>
    </row>
    <row r="96" spans="1:17" ht="15.75">
      <c r="A96" s="34" t="s">
        <v>18</v>
      </c>
      <c r="B96" s="68" t="s">
        <v>37</v>
      </c>
      <c r="C96" s="34"/>
      <c r="D96" s="34"/>
      <c r="E96" s="34" t="s">
        <v>188</v>
      </c>
      <c r="F96" s="34"/>
      <c r="G96" s="34"/>
      <c r="H96" s="34"/>
      <c r="I96" s="34"/>
      <c r="J96" s="34"/>
      <c r="K96" s="34"/>
      <c r="L96" s="34"/>
      <c r="M96" s="34"/>
      <c r="N96" s="34"/>
      <c r="O96" s="34"/>
      <c r="P96" s="34"/>
    </row>
    <row r="97" spans="1:17" ht="15.75">
      <c r="A97" s="69" t="s">
        <v>19</v>
      </c>
      <c r="B97" s="34"/>
      <c r="C97" s="34"/>
      <c r="D97" s="34"/>
      <c r="E97" s="34"/>
      <c r="F97" s="34"/>
      <c r="G97" s="34"/>
      <c r="H97" s="34"/>
      <c r="I97" s="34"/>
      <c r="J97" s="34"/>
      <c r="K97" s="34"/>
      <c r="L97" s="34"/>
      <c r="M97" s="34"/>
      <c r="N97" s="34"/>
      <c r="O97" s="34"/>
      <c r="P97" s="34"/>
    </row>
    <row r="98" spans="1:17" ht="15.75">
      <c r="A98" s="69" t="s">
        <v>20</v>
      </c>
      <c r="B98" s="69" t="s">
        <v>21</v>
      </c>
      <c r="C98" s="69" t="s">
        <v>189</v>
      </c>
      <c r="D98" s="69" t="s">
        <v>18</v>
      </c>
      <c r="E98" s="69" t="s">
        <v>22</v>
      </c>
      <c r="F98" s="69" t="s">
        <v>7</v>
      </c>
      <c r="G98" s="69" t="s">
        <v>13</v>
      </c>
      <c r="H98" s="69" t="s">
        <v>16</v>
      </c>
      <c r="I98" s="69" t="s">
        <v>23</v>
      </c>
      <c r="J98" s="69" t="s">
        <v>24</v>
      </c>
      <c r="K98" s="69" t="s">
        <v>25</v>
      </c>
      <c r="L98" s="69" t="s">
        <v>26</v>
      </c>
      <c r="M98" s="69" t="s">
        <v>27</v>
      </c>
      <c r="N98" s="69" t="s">
        <v>28</v>
      </c>
      <c r="O98" s="69" t="s">
        <v>11</v>
      </c>
      <c r="P98" s="69" t="s">
        <v>393</v>
      </c>
    </row>
    <row r="99" spans="1:17" ht="15.75">
      <c r="A99" s="68" t="str">
        <f>B89</f>
        <v>treatment of magnesium alloy powerplant, conventional, Long-Term</v>
      </c>
      <c r="B99" s="68">
        <v>1</v>
      </c>
      <c r="C99" s="68"/>
      <c r="D99" s="68" t="s">
        <v>37</v>
      </c>
      <c r="E99" s="34" t="s">
        <v>2</v>
      </c>
      <c r="F99" s="34" t="s">
        <v>395</v>
      </c>
      <c r="G99" s="68" t="s">
        <v>57</v>
      </c>
      <c r="H99" s="34" t="s">
        <v>30</v>
      </c>
      <c r="I99" s="34">
        <v>0</v>
      </c>
      <c r="J99" s="68" t="s">
        <v>31</v>
      </c>
      <c r="K99" s="68" t="s">
        <v>31</v>
      </c>
      <c r="L99" s="68" t="s">
        <v>31</v>
      </c>
      <c r="M99" s="68" t="s">
        <v>31</v>
      </c>
      <c r="N99" s="68" t="s">
        <v>31</v>
      </c>
      <c r="O99" s="34" t="s">
        <v>430</v>
      </c>
    </row>
    <row r="100" spans="1:17">
      <c r="A100" t="s">
        <v>400</v>
      </c>
      <c r="B100" s="22">
        <v>-0.1</v>
      </c>
      <c r="D100" t="s">
        <v>37</v>
      </c>
      <c r="E100" s="73" t="s">
        <v>38</v>
      </c>
      <c r="F100" s="34" t="s">
        <v>395</v>
      </c>
      <c r="G100" t="s">
        <v>57</v>
      </c>
      <c r="H100" t="s">
        <v>33</v>
      </c>
      <c r="I100">
        <v>0</v>
      </c>
      <c r="J100" t="s">
        <v>31</v>
      </c>
      <c r="K100" t="s">
        <v>31</v>
      </c>
      <c r="L100" t="s">
        <v>31</v>
      </c>
      <c r="M100" t="s">
        <v>31</v>
      </c>
      <c r="N100" t="s">
        <v>31</v>
      </c>
      <c r="O100" s="34" t="s">
        <v>431</v>
      </c>
    </row>
    <row r="101" spans="1:17" ht="15.75">
      <c r="A101" t="s">
        <v>420</v>
      </c>
      <c r="B101">
        <f>0.9*0.85</f>
        <v>0.76500000000000001</v>
      </c>
      <c r="C101" t="s">
        <v>421</v>
      </c>
      <c r="D101" t="s">
        <v>37</v>
      </c>
      <c r="E101" t="s">
        <v>38</v>
      </c>
      <c r="F101" s="34" t="s">
        <v>395</v>
      </c>
      <c r="G101" t="s">
        <v>91</v>
      </c>
      <c r="H101" t="s">
        <v>33</v>
      </c>
      <c r="I101" s="34">
        <v>0</v>
      </c>
      <c r="J101" s="68" t="s">
        <v>31</v>
      </c>
      <c r="K101" s="68" t="s">
        <v>31</v>
      </c>
      <c r="L101" s="68" t="s">
        <v>31</v>
      </c>
      <c r="M101" s="68" t="s">
        <v>31</v>
      </c>
      <c r="N101" s="68" t="s">
        <v>31</v>
      </c>
      <c r="O101" s="34" t="s">
        <v>432</v>
      </c>
      <c r="Q101" t="s">
        <v>184</v>
      </c>
    </row>
    <row r="102" spans="1:17">
      <c r="A102" t="s">
        <v>400</v>
      </c>
      <c r="B102" s="22">
        <f>-0.25*0.9</f>
        <v>-0.22500000000000001</v>
      </c>
      <c r="D102" t="s">
        <v>37</v>
      </c>
      <c r="E102" s="73" t="s">
        <v>38</v>
      </c>
      <c r="F102" s="34" t="s">
        <v>395</v>
      </c>
      <c r="G102" t="s">
        <v>57</v>
      </c>
      <c r="H102" t="s">
        <v>33</v>
      </c>
      <c r="I102">
        <v>0</v>
      </c>
      <c r="J102" t="s">
        <v>31</v>
      </c>
      <c r="K102" t="s">
        <v>31</v>
      </c>
      <c r="L102" t="s">
        <v>31</v>
      </c>
      <c r="M102" t="s">
        <v>31</v>
      </c>
      <c r="N102" t="s">
        <v>31</v>
      </c>
      <c r="O102" s="34" t="s">
        <v>433</v>
      </c>
    </row>
    <row r="103" spans="1:17" s="66" customFormat="1" ht="15.75">
      <c r="A103" s="63" t="s">
        <v>5</v>
      </c>
      <c r="B103" s="63" t="s">
        <v>434</v>
      </c>
      <c r="C103" s="63"/>
      <c r="D103" s="64"/>
      <c r="E103" s="65"/>
      <c r="F103" s="65"/>
      <c r="G103" s="65"/>
      <c r="H103" s="65"/>
      <c r="I103" s="65"/>
      <c r="J103" s="65"/>
      <c r="K103" s="65"/>
      <c r="L103" s="65"/>
      <c r="M103" s="65"/>
      <c r="N103" s="65"/>
      <c r="O103" s="65"/>
      <c r="P103" s="65"/>
    </row>
    <row r="104" spans="1:17">
      <c r="A104" s="34" t="s">
        <v>7</v>
      </c>
      <c r="B104" s="34" t="s">
        <v>395</v>
      </c>
      <c r="C104" s="34"/>
      <c r="D104" s="34"/>
      <c r="E104" s="34"/>
      <c r="F104" s="34"/>
      <c r="G104" s="34"/>
      <c r="H104" s="34"/>
      <c r="I104" s="34"/>
      <c r="J104" s="34"/>
      <c r="K104" s="34"/>
      <c r="L104" s="34"/>
      <c r="M104" s="34"/>
      <c r="N104" s="34"/>
      <c r="O104" s="34"/>
      <c r="P104" s="34"/>
    </row>
    <row r="105" spans="1:17">
      <c r="A105" s="34" t="s">
        <v>9</v>
      </c>
      <c r="B105" s="70" t="s">
        <v>435</v>
      </c>
      <c r="C105" s="34"/>
      <c r="D105" s="34"/>
      <c r="E105" s="34"/>
      <c r="F105" s="34"/>
      <c r="G105" s="34"/>
      <c r="H105" s="34"/>
      <c r="I105" s="34"/>
      <c r="J105" s="34"/>
      <c r="K105" s="34"/>
      <c r="L105" s="34"/>
      <c r="M105" s="34"/>
      <c r="N105" s="34"/>
      <c r="O105" s="34"/>
      <c r="P105" s="34"/>
    </row>
    <row r="106" spans="1:17">
      <c r="A106" s="34" t="s">
        <v>11</v>
      </c>
      <c r="B106" s="34" t="s">
        <v>185</v>
      </c>
      <c r="C106" s="34"/>
      <c r="D106" s="34"/>
      <c r="E106" s="34"/>
      <c r="F106" s="34"/>
      <c r="G106" s="34"/>
      <c r="H106" s="34"/>
      <c r="I106" s="34"/>
      <c r="J106" s="34"/>
      <c r="K106" s="34"/>
      <c r="L106" s="34"/>
      <c r="M106" s="34"/>
      <c r="N106" s="34"/>
      <c r="O106" s="34"/>
      <c r="P106" s="34"/>
    </row>
    <row r="107" spans="1:17">
      <c r="A107" s="34" t="s">
        <v>13</v>
      </c>
      <c r="B107" s="34" t="s">
        <v>57</v>
      </c>
      <c r="C107" s="34"/>
      <c r="D107" s="34"/>
      <c r="E107" s="34"/>
      <c r="F107" s="34"/>
      <c r="G107" s="34"/>
      <c r="H107" s="34"/>
      <c r="I107" s="34"/>
      <c r="J107" s="34"/>
      <c r="K107" s="34"/>
      <c r="L107" s="34"/>
      <c r="M107" s="34"/>
      <c r="N107" s="34"/>
      <c r="O107" s="34"/>
      <c r="P107" s="34"/>
    </row>
    <row r="108" spans="1:17">
      <c r="A108" s="34" t="s">
        <v>15</v>
      </c>
      <c r="B108" s="34">
        <v>1</v>
      </c>
      <c r="C108" s="34"/>
      <c r="D108" s="34"/>
      <c r="E108" s="34"/>
      <c r="F108" s="34"/>
      <c r="G108" s="34"/>
      <c r="H108" s="34"/>
      <c r="I108" s="34"/>
      <c r="J108" s="34"/>
      <c r="K108" s="34"/>
      <c r="L108" s="34"/>
      <c r="M108" s="34"/>
      <c r="N108" s="34"/>
      <c r="O108" s="34"/>
      <c r="P108" s="34"/>
    </row>
    <row r="109" spans="1:17">
      <c r="A109" s="34" t="s">
        <v>16</v>
      </c>
      <c r="B109" s="34" t="s">
        <v>17</v>
      </c>
      <c r="C109" s="34"/>
      <c r="D109" s="34"/>
      <c r="E109" s="34"/>
      <c r="F109" s="34"/>
      <c r="G109" s="34"/>
      <c r="H109" s="34"/>
      <c r="I109" s="34"/>
      <c r="J109" s="34"/>
      <c r="K109" s="34"/>
      <c r="L109" s="34"/>
      <c r="M109" s="34"/>
      <c r="N109" s="34"/>
      <c r="O109" s="34"/>
      <c r="P109" s="34"/>
    </row>
    <row r="110" spans="1:17" ht="15.75">
      <c r="A110" s="34" t="s">
        <v>18</v>
      </c>
      <c r="B110" s="68" t="s">
        <v>37</v>
      </c>
      <c r="C110" s="34"/>
      <c r="D110" s="34"/>
      <c r="E110" s="34" t="s">
        <v>188</v>
      </c>
      <c r="F110" s="34"/>
      <c r="G110" s="34"/>
      <c r="H110" s="34"/>
      <c r="I110" s="34"/>
      <c r="J110" s="34"/>
      <c r="K110" s="34"/>
      <c r="L110" s="34"/>
      <c r="M110" s="34"/>
      <c r="N110" s="34"/>
      <c r="O110" s="34"/>
      <c r="P110" s="34"/>
    </row>
    <row r="111" spans="1:17" ht="15.75">
      <c r="A111" s="69" t="s">
        <v>19</v>
      </c>
      <c r="B111" s="34"/>
      <c r="C111" s="34"/>
      <c r="D111" s="34"/>
      <c r="E111" s="34"/>
      <c r="F111" s="34"/>
      <c r="G111" s="34"/>
      <c r="H111" s="34"/>
      <c r="I111" s="34"/>
      <c r="J111" s="34"/>
      <c r="K111" s="34"/>
      <c r="L111" s="34"/>
      <c r="M111" s="34"/>
      <c r="N111" s="34"/>
      <c r="O111" s="34"/>
      <c r="P111" s="34"/>
    </row>
    <row r="112" spans="1:17" ht="15.75">
      <c r="A112" s="69" t="s">
        <v>20</v>
      </c>
      <c r="B112" s="69" t="s">
        <v>21</v>
      </c>
      <c r="C112" s="69" t="s">
        <v>189</v>
      </c>
      <c r="D112" s="69" t="s">
        <v>18</v>
      </c>
      <c r="E112" s="69" t="s">
        <v>22</v>
      </c>
      <c r="F112" s="69" t="s">
        <v>7</v>
      </c>
      <c r="G112" s="69" t="s">
        <v>13</v>
      </c>
      <c r="H112" s="69" t="s">
        <v>16</v>
      </c>
      <c r="I112" s="69" t="s">
        <v>23</v>
      </c>
      <c r="J112" s="69" t="s">
        <v>24</v>
      </c>
      <c r="K112" s="69" t="s">
        <v>25</v>
      </c>
      <c r="L112" s="69" t="s">
        <v>26</v>
      </c>
      <c r="M112" s="69" t="s">
        <v>27</v>
      </c>
      <c r="N112" s="69" t="s">
        <v>28</v>
      </c>
      <c r="O112" s="69" t="s">
        <v>11</v>
      </c>
      <c r="P112" s="69" t="s">
        <v>393</v>
      </c>
    </row>
    <row r="113" spans="1:16" ht="15.75">
      <c r="A113" s="68" t="str">
        <f>B103</f>
        <v>treatment of rubber and cellulose fibre powerplant, conventional, Long-Term</v>
      </c>
      <c r="B113" s="68">
        <v>1</v>
      </c>
      <c r="C113" s="68"/>
      <c r="D113" s="68" t="s">
        <v>37</v>
      </c>
      <c r="E113" s="34" t="s">
        <v>2</v>
      </c>
      <c r="F113" s="34" t="s">
        <v>395</v>
      </c>
      <c r="G113" s="68" t="s">
        <v>57</v>
      </c>
      <c r="H113" s="34" t="s">
        <v>30</v>
      </c>
      <c r="I113" s="34">
        <v>0</v>
      </c>
      <c r="J113" s="68" t="s">
        <v>31</v>
      </c>
      <c r="K113" s="68" t="s">
        <v>31</v>
      </c>
      <c r="L113" s="68" t="s">
        <v>31</v>
      </c>
      <c r="M113" s="68" t="s">
        <v>31</v>
      </c>
      <c r="N113" s="68" t="s">
        <v>31</v>
      </c>
      <c r="O113" s="34" t="s">
        <v>436</v>
      </c>
    </row>
    <row r="114" spans="1:16" ht="15.75">
      <c r="A114" s="73" t="s">
        <v>437</v>
      </c>
      <c r="B114" s="34">
        <f>-1</f>
        <v>-1</v>
      </c>
      <c r="D114" t="s">
        <v>37</v>
      </c>
      <c r="E114" s="74" t="s">
        <v>38</v>
      </c>
      <c r="F114" s="34" t="s">
        <v>395</v>
      </c>
      <c r="G114" t="s">
        <v>91</v>
      </c>
      <c r="H114" t="s">
        <v>33</v>
      </c>
      <c r="I114" s="34">
        <v>0</v>
      </c>
      <c r="J114" s="68" t="s">
        <v>31</v>
      </c>
      <c r="K114" s="68" t="s">
        <v>31</v>
      </c>
      <c r="L114" s="68" t="s">
        <v>31</v>
      </c>
      <c r="M114" s="68" t="s">
        <v>31</v>
      </c>
      <c r="N114" s="68" t="s">
        <v>31</v>
      </c>
      <c r="O114" s="68"/>
    </row>
    <row r="115" spans="1:16" s="66" customFormat="1" ht="15.75">
      <c r="A115" s="63" t="s">
        <v>5</v>
      </c>
      <c r="B115" s="63" t="s">
        <v>438</v>
      </c>
      <c r="C115" s="63"/>
      <c r="D115" s="64"/>
      <c r="E115" s="65"/>
      <c r="F115" s="65"/>
      <c r="G115" s="65"/>
      <c r="H115" s="65"/>
      <c r="I115" s="65"/>
      <c r="J115" s="65"/>
      <c r="K115" s="65"/>
      <c r="L115" s="65"/>
      <c r="M115" s="65"/>
      <c r="N115" s="65"/>
      <c r="O115" s="65"/>
      <c r="P115" s="65"/>
    </row>
    <row r="116" spans="1:16">
      <c r="A116" s="34" t="s">
        <v>7</v>
      </c>
      <c r="B116" s="34" t="s">
        <v>395</v>
      </c>
      <c r="C116" s="34"/>
      <c r="D116" s="34"/>
      <c r="E116" s="34"/>
      <c r="F116" s="34"/>
      <c r="G116" s="34"/>
      <c r="H116" s="34"/>
      <c r="I116" s="34"/>
      <c r="J116" s="34"/>
      <c r="K116" s="34"/>
      <c r="L116" s="34"/>
      <c r="M116" s="34"/>
      <c r="N116" s="34"/>
      <c r="O116" s="34"/>
      <c r="P116" s="34"/>
    </row>
    <row r="117" spans="1:16">
      <c r="A117" s="34" t="s">
        <v>9</v>
      </c>
      <c r="B117" s="70" t="s">
        <v>439</v>
      </c>
      <c r="C117" s="34"/>
      <c r="D117" s="34"/>
      <c r="E117" s="34"/>
      <c r="F117" s="34"/>
      <c r="G117" s="34"/>
      <c r="H117" s="34"/>
      <c r="I117" s="34"/>
      <c r="J117" s="34"/>
      <c r="K117" s="34"/>
      <c r="L117" s="34"/>
      <c r="M117" s="34"/>
      <c r="N117" s="34"/>
      <c r="O117" s="34"/>
      <c r="P117" s="34"/>
    </row>
    <row r="118" spans="1:16">
      <c r="A118" s="34" t="s">
        <v>11</v>
      </c>
      <c r="B118" s="34" t="s">
        <v>185</v>
      </c>
      <c r="C118" s="34"/>
      <c r="D118" s="34"/>
      <c r="E118" s="34"/>
      <c r="F118" s="34"/>
      <c r="G118" s="34"/>
      <c r="H118" s="34"/>
      <c r="I118" s="34"/>
      <c r="J118" s="34"/>
      <c r="K118" s="34"/>
      <c r="L118" s="34"/>
      <c r="M118" s="34"/>
      <c r="N118" s="34"/>
      <c r="O118" s="34"/>
      <c r="P118" s="34"/>
    </row>
    <row r="119" spans="1:16">
      <c r="A119" s="34" t="s">
        <v>13</v>
      </c>
      <c r="B119" s="34" t="s">
        <v>57</v>
      </c>
      <c r="C119" s="34"/>
      <c r="D119" s="34"/>
      <c r="E119" s="34"/>
      <c r="F119" s="34"/>
      <c r="G119" s="34"/>
      <c r="H119" s="34"/>
      <c r="I119" s="34"/>
      <c r="J119" s="34"/>
      <c r="K119" s="34"/>
      <c r="L119" s="34"/>
      <c r="M119" s="34"/>
      <c r="N119" s="34"/>
      <c r="O119" s="34"/>
      <c r="P119" s="34"/>
    </row>
    <row r="120" spans="1:16">
      <c r="A120" s="34" t="s">
        <v>15</v>
      </c>
      <c r="B120" s="34">
        <v>1</v>
      </c>
      <c r="C120" s="34"/>
      <c r="D120" s="34"/>
      <c r="E120" s="34"/>
      <c r="F120" s="34"/>
      <c r="G120" s="34"/>
      <c r="H120" s="34"/>
      <c r="I120" s="34"/>
      <c r="J120" s="34"/>
      <c r="K120" s="34"/>
      <c r="L120" s="34"/>
      <c r="M120" s="34"/>
      <c r="N120" s="34"/>
      <c r="O120" s="34"/>
      <c r="P120" s="34"/>
    </row>
    <row r="121" spans="1:16">
      <c r="A121" s="34" t="s">
        <v>16</v>
      </c>
      <c r="B121" s="34" t="s">
        <v>17</v>
      </c>
      <c r="C121" s="34"/>
      <c r="D121" s="34"/>
      <c r="E121" s="34"/>
      <c r="F121" s="34"/>
      <c r="G121" s="34"/>
      <c r="H121" s="34"/>
      <c r="I121" s="34"/>
      <c r="J121" s="34"/>
      <c r="K121" s="34"/>
      <c r="L121" s="34"/>
      <c r="M121" s="34"/>
      <c r="N121" s="34"/>
      <c r="O121" s="34"/>
      <c r="P121" s="34"/>
    </row>
    <row r="122" spans="1:16" ht="15.75">
      <c r="A122" s="34" t="s">
        <v>18</v>
      </c>
      <c r="B122" s="68" t="s">
        <v>18</v>
      </c>
      <c r="C122" s="34"/>
      <c r="D122" s="34"/>
      <c r="E122" s="34" t="s">
        <v>188</v>
      </c>
      <c r="F122" s="34"/>
      <c r="G122" s="34"/>
      <c r="H122" s="34"/>
      <c r="I122" s="34"/>
      <c r="J122" s="34"/>
      <c r="K122" s="34"/>
      <c r="L122" s="34"/>
      <c r="M122" s="34"/>
      <c r="N122" s="34"/>
      <c r="O122" s="34"/>
      <c r="P122" s="34"/>
    </row>
    <row r="123" spans="1:16" ht="15.75">
      <c r="A123" s="69" t="s">
        <v>19</v>
      </c>
      <c r="B123" s="34"/>
      <c r="C123" s="34"/>
      <c r="D123" s="34"/>
      <c r="E123" s="34"/>
      <c r="F123" s="34"/>
      <c r="G123" s="34"/>
      <c r="H123" s="34"/>
      <c r="I123" s="34"/>
      <c r="J123" s="34"/>
      <c r="K123" s="34"/>
      <c r="L123" s="34"/>
      <c r="M123" s="34"/>
      <c r="N123" s="34"/>
      <c r="O123" s="34"/>
      <c r="P123" s="34"/>
    </row>
    <row r="124" spans="1:16" ht="15.75">
      <c r="A124" s="69" t="s">
        <v>20</v>
      </c>
      <c r="B124" s="69" t="s">
        <v>21</v>
      </c>
      <c r="C124" s="69" t="s">
        <v>189</v>
      </c>
      <c r="D124" s="69" t="s">
        <v>18</v>
      </c>
      <c r="E124" s="69" t="s">
        <v>22</v>
      </c>
      <c r="F124" s="69" t="s">
        <v>7</v>
      </c>
      <c r="G124" s="69" t="s">
        <v>13</v>
      </c>
      <c r="H124" s="69" t="s">
        <v>16</v>
      </c>
      <c r="I124" s="69" t="s">
        <v>23</v>
      </c>
      <c r="J124" s="69" t="s">
        <v>24</v>
      </c>
      <c r="K124" s="69" t="s">
        <v>25</v>
      </c>
      <c r="L124" s="69" t="s">
        <v>26</v>
      </c>
      <c r="M124" s="69" t="s">
        <v>27</v>
      </c>
      <c r="N124" s="69" t="s">
        <v>28</v>
      </c>
      <c r="O124" s="69" t="s">
        <v>11</v>
      </c>
      <c r="P124" s="69" t="s">
        <v>393</v>
      </c>
    </row>
    <row r="125" spans="1:16" ht="15.75">
      <c r="A125" s="68" t="str">
        <f>B115</f>
        <v>treatment of powerplant, conventional, Long-Term</v>
      </c>
      <c r="B125" s="69">
        <v>1</v>
      </c>
      <c r="C125" s="68"/>
      <c r="D125" s="68" t="s">
        <v>18</v>
      </c>
      <c r="E125" s="34" t="s">
        <v>2</v>
      </c>
      <c r="F125" s="34" t="s">
        <v>395</v>
      </c>
      <c r="G125" s="68" t="s">
        <v>57</v>
      </c>
      <c r="H125" s="34" t="s">
        <v>30</v>
      </c>
      <c r="I125" s="34">
        <v>0</v>
      </c>
      <c r="J125" s="68" t="s">
        <v>31</v>
      </c>
      <c r="K125" s="68" t="s">
        <v>31</v>
      </c>
      <c r="L125" s="68" t="s">
        <v>31</v>
      </c>
      <c r="M125" s="68" t="s">
        <v>31</v>
      </c>
      <c r="N125" s="68" t="s">
        <v>31</v>
      </c>
      <c r="O125" s="69"/>
      <c r="P125" s="69"/>
    </row>
    <row r="126" spans="1:16" ht="15.75">
      <c r="A126" s="75" t="str">
        <f>B32</f>
        <v>treatment of aluminium,powerplant, conventional, Long-Term</v>
      </c>
      <c r="B126">
        <v>77.564013599999868</v>
      </c>
      <c r="D126" t="s">
        <v>37</v>
      </c>
      <c r="E126" s="34" t="s">
        <v>2</v>
      </c>
      <c r="F126" s="34" t="s">
        <v>395</v>
      </c>
      <c r="G126" s="68" t="s">
        <v>57</v>
      </c>
      <c r="H126" t="s">
        <v>33</v>
      </c>
      <c r="I126" s="34">
        <v>0</v>
      </c>
      <c r="J126" s="68" t="s">
        <v>31</v>
      </c>
      <c r="K126" s="68" t="s">
        <v>31</v>
      </c>
      <c r="L126" s="68" t="s">
        <v>31</v>
      </c>
      <c r="M126" s="68" t="s">
        <v>31</v>
      </c>
      <c r="N126" s="68" t="s">
        <v>31</v>
      </c>
    </row>
    <row r="127" spans="1:16" ht="15.75">
      <c r="A127" s="75" t="str">
        <f>'airframe EoL LCI'!A131</f>
        <v>treatment of steel, fuselage, airframe, conventional, Long-Term</v>
      </c>
      <c r="B127">
        <v>64.742992500000014</v>
      </c>
      <c r="D127" t="s">
        <v>37</v>
      </c>
      <c r="E127" s="34" t="s">
        <v>2</v>
      </c>
      <c r="F127" s="34" t="s">
        <v>395</v>
      </c>
      <c r="G127" s="68" t="s">
        <v>57</v>
      </c>
      <c r="H127" t="s">
        <v>33</v>
      </c>
      <c r="I127" s="34">
        <v>0</v>
      </c>
      <c r="J127" s="68" t="s">
        <v>31</v>
      </c>
      <c r="K127" s="68" t="s">
        <v>31</v>
      </c>
      <c r="L127" s="68" t="s">
        <v>31</v>
      </c>
      <c r="M127" s="68" t="s">
        <v>31</v>
      </c>
      <c r="N127" s="68" t="s">
        <v>31</v>
      </c>
    </row>
    <row r="128" spans="1:16" ht="15.75">
      <c r="A128" s="75" t="str">
        <f>B2</f>
        <v>treatment of titanium,powerplant, conventional, Long-Term</v>
      </c>
      <c r="B128">
        <v>21.634842680000002</v>
      </c>
      <c r="D128" t="s">
        <v>37</v>
      </c>
      <c r="E128" s="34" t="s">
        <v>2</v>
      </c>
      <c r="F128" s="34" t="s">
        <v>395</v>
      </c>
      <c r="G128" s="68" t="s">
        <v>57</v>
      </c>
      <c r="H128" t="s">
        <v>33</v>
      </c>
      <c r="I128" s="34">
        <v>0</v>
      </c>
      <c r="J128" s="68" t="s">
        <v>31</v>
      </c>
      <c r="K128" s="68" t="s">
        <v>31</v>
      </c>
      <c r="L128" s="68" t="s">
        <v>31</v>
      </c>
      <c r="M128" s="68" t="s">
        <v>31</v>
      </c>
      <c r="N128" s="68" t="s">
        <v>31</v>
      </c>
    </row>
    <row r="129" spans="1:14" ht="15.75">
      <c r="A129" s="75" t="str">
        <f>B17</f>
        <v>treatment of CFRP,powerplant, conventional, Long-Term</v>
      </c>
      <c r="B129">
        <v>15.760167857000003</v>
      </c>
      <c r="D129" t="s">
        <v>37</v>
      </c>
      <c r="E129" s="34" t="s">
        <v>2</v>
      </c>
      <c r="F129" s="34" t="s">
        <v>395</v>
      </c>
      <c r="G129" s="68" t="s">
        <v>57</v>
      </c>
      <c r="H129" t="s">
        <v>33</v>
      </c>
      <c r="I129" s="34">
        <v>0</v>
      </c>
      <c r="J129" s="68" t="s">
        <v>31</v>
      </c>
      <c r="K129" s="68" t="s">
        <v>31</v>
      </c>
      <c r="L129" s="68" t="s">
        <v>31</v>
      </c>
      <c r="M129" s="68" t="s">
        <v>31</v>
      </c>
      <c r="N129" s="68"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E575-D3C0-4556-8758-E4D5DC679D57}">
  <sheetPr>
    <tabColor theme="9"/>
  </sheetPr>
  <dimension ref="A1:V249"/>
  <sheetViews>
    <sheetView topLeftCell="A157" zoomScale="85" zoomScaleNormal="85" workbookViewId="0">
      <selection activeCell="F27" sqref="F27"/>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6" customFormat="1" ht="15.75">
      <c r="A2" s="63" t="s">
        <v>5</v>
      </c>
      <c r="B2" s="63" t="s">
        <v>440</v>
      </c>
      <c r="C2" s="63"/>
      <c r="D2" s="64"/>
      <c r="E2" s="65"/>
      <c r="F2" s="65"/>
      <c r="G2" s="65"/>
      <c r="H2" s="65"/>
      <c r="I2" s="65"/>
      <c r="J2" s="65"/>
      <c r="K2" s="65"/>
      <c r="L2" s="65"/>
      <c r="M2" s="65"/>
      <c r="N2" s="65"/>
      <c r="O2" s="65"/>
      <c r="P2" s="65"/>
    </row>
    <row r="3" spans="1:16">
      <c r="A3" s="34" t="s">
        <v>7</v>
      </c>
      <c r="B3" s="34" t="s">
        <v>395</v>
      </c>
      <c r="C3" s="34"/>
      <c r="D3" s="34"/>
      <c r="E3" s="34"/>
      <c r="F3" s="34"/>
      <c r="G3" s="34"/>
      <c r="H3" s="34"/>
      <c r="I3" s="34"/>
      <c r="J3" s="34"/>
      <c r="K3" s="34"/>
      <c r="L3" s="34"/>
      <c r="M3" s="34"/>
      <c r="N3" s="34"/>
      <c r="O3" s="34"/>
      <c r="P3" s="34"/>
    </row>
    <row r="4" spans="1:16">
      <c r="A4" s="34" t="s">
        <v>9</v>
      </c>
      <c r="B4" s="70" t="s">
        <v>441</v>
      </c>
      <c r="C4" s="34"/>
      <c r="D4" s="34"/>
      <c r="E4" s="34"/>
      <c r="F4" s="34"/>
      <c r="G4" s="34"/>
      <c r="H4" s="34"/>
      <c r="I4" s="34"/>
      <c r="J4" s="34"/>
      <c r="K4" s="34"/>
      <c r="L4" s="34"/>
      <c r="M4" s="34"/>
      <c r="N4" s="34"/>
      <c r="O4" s="34"/>
      <c r="P4" s="34"/>
    </row>
    <row r="5" spans="1:16">
      <c r="A5" s="34" t="s">
        <v>11</v>
      </c>
      <c r="B5" s="34" t="s">
        <v>442</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37</v>
      </c>
      <c r="C9" s="34"/>
      <c r="D9" s="34"/>
      <c r="E9" s="34" t="s">
        <v>188</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16" ht="15.75">
      <c r="A12" s="68" t="str">
        <f>B2</f>
        <v>treatment of aluminium, wing, airframe, conventional, Long-Term</v>
      </c>
      <c r="B12" s="68">
        <v>1</v>
      </c>
      <c r="C12" s="68"/>
      <c r="D12" s="68" t="s">
        <v>37</v>
      </c>
      <c r="E12" s="34" t="s">
        <v>2</v>
      </c>
      <c r="F12" s="34" t="s">
        <v>443</v>
      </c>
      <c r="G12" s="68" t="s">
        <v>57</v>
      </c>
      <c r="H12" s="34" t="s">
        <v>30</v>
      </c>
      <c r="I12" s="34">
        <v>0</v>
      </c>
      <c r="J12" s="68" t="s">
        <v>31</v>
      </c>
      <c r="K12" s="68" t="s">
        <v>31</v>
      </c>
      <c r="L12" s="68" t="s">
        <v>31</v>
      </c>
      <c r="M12" s="68" t="s">
        <v>31</v>
      </c>
      <c r="N12" s="68" t="s">
        <v>31</v>
      </c>
      <c r="O12" s="68" t="s">
        <v>444</v>
      </c>
      <c r="P12" s="34"/>
    </row>
    <row r="13" spans="1:16" ht="15.75">
      <c r="A13" t="s">
        <v>205</v>
      </c>
      <c r="B13" s="22">
        <v>0.7</v>
      </c>
      <c r="C13" s="68"/>
      <c r="D13" s="68" t="s">
        <v>37</v>
      </c>
      <c r="E13" s="48" t="s">
        <v>38</v>
      </c>
      <c r="F13" s="34" t="s">
        <v>443</v>
      </c>
      <c r="G13" s="68" t="s">
        <v>91</v>
      </c>
      <c r="H13" s="34" t="s">
        <v>33</v>
      </c>
      <c r="I13" s="34">
        <v>0</v>
      </c>
      <c r="J13" s="68" t="s">
        <v>31</v>
      </c>
      <c r="K13" s="68" t="s">
        <v>31</v>
      </c>
      <c r="L13" s="68" t="s">
        <v>31</v>
      </c>
      <c r="M13" s="68" t="s">
        <v>31</v>
      </c>
      <c r="N13" s="68" t="s">
        <v>31</v>
      </c>
      <c r="O13" s="34"/>
      <c r="P13" s="34"/>
    </row>
    <row r="14" spans="1:16" ht="15.75">
      <c r="A14" t="s">
        <v>207</v>
      </c>
      <c r="B14" s="22">
        <v>0.7</v>
      </c>
      <c r="C14" s="61" t="s">
        <v>208</v>
      </c>
      <c r="D14" t="s">
        <v>37</v>
      </c>
      <c r="E14" s="74" t="s">
        <v>38</v>
      </c>
      <c r="F14" s="34" t="s">
        <v>443</v>
      </c>
      <c r="G14" t="s">
        <v>91</v>
      </c>
      <c r="H14" s="34" t="s">
        <v>33</v>
      </c>
      <c r="I14" s="34">
        <v>0</v>
      </c>
      <c r="J14" s="68" t="s">
        <v>31</v>
      </c>
      <c r="K14" s="68" t="s">
        <v>31</v>
      </c>
      <c r="L14" s="68" t="s">
        <v>31</v>
      </c>
      <c r="M14" s="68" t="s">
        <v>31</v>
      </c>
      <c r="N14" s="68" t="s">
        <v>31</v>
      </c>
      <c r="O14" s="68" t="s">
        <v>416</v>
      </c>
    </row>
    <row r="15" spans="1:16" ht="15.75">
      <c r="A15" t="s">
        <v>417</v>
      </c>
      <c r="B15" s="22">
        <f>0.7*0.9</f>
        <v>0.63</v>
      </c>
      <c r="D15" t="s">
        <v>37</v>
      </c>
      <c r="E15" s="74" t="s">
        <v>38</v>
      </c>
      <c r="F15" s="34" t="s">
        <v>443</v>
      </c>
      <c r="G15" t="s">
        <v>57</v>
      </c>
      <c r="H15" s="34" t="s">
        <v>135</v>
      </c>
      <c r="I15" s="34">
        <v>0</v>
      </c>
      <c r="J15" s="68" t="s">
        <v>31</v>
      </c>
      <c r="K15" s="68" t="s">
        <v>31</v>
      </c>
      <c r="L15" s="68" t="s">
        <v>31</v>
      </c>
      <c r="M15" s="68" t="s">
        <v>31</v>
      </c>
      <c r="N15" s="68" t="s">
        <v>31</v>
      </c>
      <c r="O15" s="34"/>
      <c r="P15" s="68" t="s">
        <v>445</v>
      </c>
    </row>
    <row r="16" spans="1:16" ht="15.75">
      <c r="A16" t="s">
        <v>400</v>
      </c>
      <c r="B16" s="22">
        <f>-(1-B15)</f>
        <v>-0.37</v>
      </c>
      <c r="D16" t="s">
        <v>37</v>
      </c>
      <c r="E16" s="73" t="s">
        <v>38</v>
      </c>
      <c r="F16" s="34" t="s">
        <v>443</v>
      </c>
      <c r="G16" t="s">
        <v>57</v>
      </c>
      <c r="H16" t="s">
        <v>33</v>
      </c>
      <c r="I16">
        <v>0</v>
      </c>
      <c r="J16" t="s">
        <v>31</v>
      </c>
      <c r="K16" t="s">
        <v>31</v>
      </c>
      <c r="L16" t="s">
        <v>31</v>
      </c>
      <c r="M16" t="s">
        <v>31</v>
      </c>
      <c r="N16" t="s">
        <v>31</v>
      </c>
      <c r="O16" s="17"/>
      <c r="P16" s="34"/>
    </row>
    <row r="17" spans="1:16" s="66" customFormat="1" ht="15.75">
      <c r="A17" s="63" t="s">
        <v>5</v>
      </c>
      <c r="B17" s="63" t="s">
        <v>446</v>
      </c>
      <c r="C17" s="63"/>
      <c r="D17" s="64"/>
      <c r="E17" s="65"/>
      <c r="F17" s="65"/>
      <c r="G17" s="65"/>
      <c r="H17" s="65"/>
      <c r="I17" s="65"/>
      <c r="J17" s="65"/>
      <c r="K17" s="65"/>
      <c r="L17" s="65"/>
      <c r="M17" s="65"/>
      <c r="N17" s="65"/>
      <c r="O17" s="65"/>
      <c r="P17" s="65"/>
    </row>
    <row r="18" spans="1:16">
      <c r="A18" s="34" t="s">
        <v>7</v>
      </c>
      <c r="B18" s="34" t="s">
        <v>395</v>
      </c>
      <c r="C18" s="34"/>
      <c r="D18" s="34"/>
      <c r="E18" s="34"/>
      <c r="F18" s="34"/>
      <c r="G18" s="34"/>
      <c r="H18" s="34"/>
      <c r="I18" s="34"/>
      <c r="J18" s="34"/>
      <c r="K18" s="34"/>
      <c r="L18" s="34"/>
      <c r="M18" s="34"/>
      <c r="N18" s="34"/>
      <c r="O18" s="34"/>
      <c r="P18" s="34"/>
    </row>
    <row r="19" spans="1:16">
      <c r="A19" s="34" t="s">
        <v>9</v>
      </c>
      <c r="B19" s="70" t="s">
        <v>447</v>
      </c>
      <c r="C19" s="34"/>
      <c r="D19" s="34"/>
      <c r="E19" s="34"/>
      <c r="F19" s="34"/>
      <c r="G19" s="34"/>
      <c r="H19" s="34"/>
      <c r="I19" s="34"/>
      <c r="J19" s="34"/>
      <c r="K19" s="34"/>
      <c r="L19" s="34"/>
      <c r="M19" s="34"/>
      <c r="N19" s="34"/>
      <c r="O19" s="34"/>
      <c r="P19" s="34"/>
    </row>
    <row r="20" spans="1:16">
      <c r="A20" s="34" t="s">
        <v>11</v>
      </c>
      <c r="B20" s="34" t="s">
        <v>442</v>
      </c>
      <c r="C20" s="34"/>
      <c r="D20" s="34"/>
      <c r="E20" s="34"/>
      <c r="F20" s="34"/>
      <c r="G20" s="34"/>
      <c r="H20" s="34"/>
      <c r="I20" s="34"/>
      <c r="J20" s="34"/>
      <c r="K20" s="34"/>
      <c r="L20" s="34"/>
      <c r="M20" s="34"/>
      <c r="N20" s="34"/>
      <c r="O20" s="34"/>
      <c r="P20" s="34"/>
    </row>
    <row r="21" spans="1:16">
      <c r="A21" s="34" t="s">
        <v>13</v>
      </c>
      <c r="B21" s="34" t="s">
        <v>57</v>
      </c>
      <c r="C21" s="34"/>
      <c r="D21" s="34"/>
      <c r="E21" s="34"/>
      <c r="F21" s="34"/>
      <c r="G21" s="34"/>
      <c r="H21" s="34"/>
      <c r="I21" s="34"/>
      <c r="J21" s="34"/>
      <c r="K21" s="34"/>
      <c r="L21" s="34"/>
      <c r="M21" s="34"/>
      <c r="N21" s="34"/>
      <c r="O21" s="34"/>
      <c r="P21" s="34"/>
    </row>
    <row r="22" spans="1:16">
      <c r="A22" s="34" t="s">
        <v>15</v>
      </c>
      <c r="B22" s="34">
        <v>1</v>
      </c>
      <c r="C22" s="34"/>
      <c r="D22" s="34"/>
      <c r="E22" s="34"/>
      <c r="F22" s="34"/>
      <c r="G22" s="34"/>
      <c r="H22" s="34"/>
      <c r="I22" s="34"/>
      <c r="J22" s="34"/>
      <c r="K22" s="34"/>
      <c r="L22" s="34"/>
      <c r="M22" s="34"/>
      <c r="N22" s="34"/>
      <c r="O22" s="34"/>
      <c r="P22" s="34"/>
    </row>
    <row r="23" spans="1:16">
      <c r="A23" s="34" t="s">
        <v>16</v>
      </c>
      <c r="B23" s="34" t="s">
        <v>17</v>
      </c>
      <c r="C23" s="34"/>
      <c r="D23" s="34"/>
      <c r="E23" s="34"/>
      <c r="F23" s="34"/>
      <c r="G23" s="34"/>
      <c r="H23" s="34"/>
      <c r="I23" s="34"/>
      <c r="J23" s="34"/>
      <c r="K23" s="34"/>
      <c r="L23" s="34"/>
      <c r="M23" s="34"/>
      <c r="N23" s="34"/>
      <c r="O23" s="34"/>
      <c r="P23" s="34"/>
    </row>
    <row r="24" spans="1:16" ht="15.75">
      <c r="A24" s="34" t="s">
        <v>18</v>
      </c>
      <c r="B24" s="68" t="s">
        <v>37</v>
      </c>
      <c r="C24" s="34"/>
      <c r="D24" s="34"/>
      <c r="E24" s="34" t="s">
        <v>188</v>
      </c>
      <c r="F24" s="34"/>
      <c r="G24" s="34"/>
      <c r="H24" s="34"/>
      <c r="I24" s="34"/>
      <c r="J24" s="34"/>
      <c r="K24" s="34"/>
      <c r="L24" s="34"/>
      <c r="M24" s="34"/>
      <c r="N24" s="34"/>
      <c r="O24" s="34"/>
      <c r="P24" s="34"/>
    </row>
    <row r="25" spans="1:16" ht="15.75">
      <c r="A25" s="69" t="s">
        <v>19</v>
      </c>
      <c r="B25" s="34"/>
      <c r="C25" s="34"/>
      <c r="D25" s="34"/>
      <c r="E25" s="34"/>
      <c r="F25" s="34"/>
      <c r="G25" s="34"/>
      <c r="H25" s="34"/>
      <c r="I25" s="34"/>
      <c r="J25" s="34"/>
      <c r="K25" s="34"/>
      <c r="L25" s="34"/>
      <c r="M25" s="34"/>
      <c r="N25" s="34"/>
      <c r="O25" s="34"/>
      <c r="P25" s="34"/>
    </row>
    <row r="26" spans="1:16" ht="15.75">
      <c r="A26" s="69" t="s">
        <v>20</v>
      </c>
      <c r="B26" s="69" t="s">
        <v>21</v>
      </c>
      <c r="C26" s="69" t="s">
        <v>189</v>
      </c>
      <c r="D26" s="69" t="s">
        <v>18</v>
      </c>
      <c r="E26" s="69" t="s">
        <v>22</v>
      </c>
      <c r="F26" s="69" t="s">
        <v>7</v>
      </c>
      <c r="G26" s="69" t="s">
        <v>13</v>
      </c>
      <c r="H26" s="69" t="s">
        <v>16</v>
      </c>
      <c r="I26" s="69" t="s">
        <v>23</v>
      </c>
      <c r="J26" s="69" t="s">
        <v>24</v>
      </c>
      <c r="K26" s="69" t="s">
        <v>25</v>
      </c>
      <c r="L26" s="69" t="s">
        <v>26</v>
      </c>
      <c r="M26" s="69" t="s">
        <v>27</v>
      </c>
      <c r="N26" s="69" t="s">
        <v>28</v>
      </c>
      <c r="O26" s="69" t="s">
        <v>11</v>
      </c>
      <c r="P26" s="69" t="s">
        <v>393</v>
      </c>
    </row>
    <row r="27" spans="1:16" ht="15.75">
      <c r="A27" s="68" t="str">
        <f>B17</f>
        <v>treatment of CFRP, wing, airframe, conventional, Long-Term</v>
      </c>
      <c r="B27" s="68">
        <v>1</v>
      </c>
      <c r="C27" s="68"/>
      <c r="D27" s="68" t="s">
        <v>37</v>
      </c>
      <c r="E27" s="34" t="s">
        <v>2</v>
      </c>
      <c r="F27" s="34" t="s">
        <v>443</v>
      </c>
      <c r="G27" s="68" t="s">
        <v>57</v>
      </c>
      <c r="H27" s="34" t="s">
        <v>30</v>
      </c>
      <c r="I27" s="34">
        <v>0</v>
      </c>
      <c r="J27" s="68" t="s">
        <v>31</v>
      </c>
      <c r="K27" s="68" t="s">
        <v>31</v>
      </c>
      <c r="L27" s="68" t="s">
        <v>31</v>
      </c>
      <c r="M27" s="68" t="s">
        <v>31</v>
      </c>
      <c r="N27" s="68" t="s">
        <v>31</v>
      </c>
      <c r="O27" s="68" t="s">
        <v>448</v>
      </c>
      <c r="P27" s="34"/>
    </row>
    <row r="28" spans="1:16" ht="15.75">
      <c r="A28" s="73" t="s">
        <v>404</v>
      </c>
      <c r="B28">
        <v>-0.5</v>
      </c>
      <c r="D28" t="s">
        <v>37</v>
      </c>
      <c r="E28" s="74" t="s">
        <v>38</v>
      </c>
      <c r="F28" s="34" t="s">
        <v>443</v>
      </c>
      <c r="G28" t="s">
        <v>91</v>
      </c>
      <c r="H28" t="s">
        <v>33</v>
      </c>
      <c r="I28" s="34">
        <v>0</v>
      </c>
      <c r="J28" s="68" t="s">
        <v>31</v>
      </c>
      <c r="K28" s="68" t="s">
        <v>31</v>
      </c>
      <c r="L28" s="68" t="s">
        <v>31</v>
      </c>
      <c r="M28" s="68" t="s">
        <v>31</v>
      </c>
      <c r="N28" s="68" t="s">
        <v>31</v>
      </c>
      <c r="O28" s="68" t="s">
        <v>406</v>
      </c>
      <c r="P28" s="68" t="s">
        <v>407</v>
      </c>
    </row>
    <row r="29" spans="1:16" ht="15.75">
      <c r="A29" t="s">
        <v>80</v>
      </c>
      <c r="B29">
        <f>B30*0.277777777</f>
        <v>2.415277771015</v>
      </c>
      <c r="D29" t="s">
        <v>81</v>
      </c>
      <c r="E29" s="74" t="s">
        <v>38</v>
      </c>
      <c r="F29" s="34" t="s">
        <v>443</v>
      </c>
      <c r="G29" t="s">
        <v>57</v>
      </c>
      <c r="H29" s="34" t="s">
        <v>135</v>
      </c>
      <c r="I29" s="34">
        <v>0</v>
      </c>
      <c r="J29" s="68" t="s">
        <v>31</v>
      </c>
      <c r="K29" s="68" t="s">
        <v>31</v>
      </c>
      <c r="L29" s="68" t="s">
        <v>31</v>
      </c>
      <c r="M29" s="68" t="s">
        <v>31</v>
      </c>
      <c r="N29" s="68" t="s">
        <v>31</v>
      </c>
      <c r="O29" t="s">
        <v>408</v>
      </c>
    </row>
    <row r="30" spans="1:16" ht="15.75">
      <c r="A30" t="s">
        <v>84</v>
      </c>
      <c r="B30">
        <f>-B28*0.5*34.78</f>
        <v>8.6950000000000003</v>
      </c>
      <c r="D30" t="s">
        <v>85</v>
      </c>
      <c r="E30" s="74" t="s">
        <v>38</v>
      </c>
      <c r="F30" s="34" t="s">
        <v>443</v>
      </c>
      <c r="G30" t="s">
        <v>57</v>
      </c>
      <c r="H30" s="34" t="s">
        <v>135</v>
      </c>
      <c r="I30" s="34">
        <v>0</v>
      </c>
      <c r="J30" s="68" t="s">
        <v>31</v>
      </c>
      <c r="K30" s="68" t="s">
        <v>31</v>
      </c>
      <c r="L30" s="68" t="s">
        <v>31</v>
      </c>
      <c r="M30" s="68" t="s">
        <v>31</v>
      </c>
      <c r="N30" s="68" t="s">
        <v>31</v>
      </c>
      <c r="O30" t="s">
        <v>449</v>
      </c>
    </row>
    <row r="31" spans="1:16" ht="15.75">
      <c r="A31" s="73" t="s">
        <v>410</v>
      </c>
      <c r="B31">
        <v>-0.5</v>
      </c>
      <c r="D31" t="s">
        <v>37</v>
      </c>
      <c r="E31" s="74" t="s">
        <v>38</v>
      </c>
      <c r="F31" s="34" t="s">
        <v>443</v>
      </c>
      <c r="G31" t="s">
        <v>91</v>
      </c>
      <c r="H31" s="34" t="s">
        <v>33</v>
      </c>
      <c r="I31" s="34">
        <v>0</v>
      </c>
      <c r="J31" s="68" t="s">
        <v>31</v>
      </c>
      <c r="K31" s="68" t="s">
        <v>31</v>
      </c>
      <c r="L31" s="68" t="s">
        <v>31</v>
      </c>
      <c r="M31" s="68" t="s">
        <v>31</v>
      </c>
      <c r="N31" s="68" t="s">
        <v>31</v>
      </c>
      <c r="O31" s="68" t="s">
        <v>411</v>
      </c>
    </row>
    <row r="32" spans="1:16" s="66" customFormat="1" ht="15.75">
      <c r="A32" s="63" t="s">
        <v>5</v>
      </c>
      <c r="B32" s="63" t="s">
        <v>450</v>
      </c>
      <c r="C32" s="63"/>
      <c r="D32" s="64"/>
      <c r="E32" s="65"/>
      <c r="F32" s="65"/>
      <c r="G32" s="65"/>
      <c r="H32" s="65"/>
      <c r="I32" s="65"/>
      <c r="J32" s="65"/>
      <c r="K32" s="65"/>
      <c r="L32" s="65"/>
      <c r="M32" s="65"/>
      <c r="N32" s="65"/>
      <c r="O32" s="65"/>
      <c r="P32" s="65"/>
    </row>
    <row r="33" spans="1:16">
      <c r="A33" s="34" t="s">
        <v>7</v>
      </c>
      <c r="B33" s="34" t="s">
        <v>395</v>
      </c>
      <c r="C33" s="34"/>
      <c r="D33" s="34"/>
      <c r="E33" s="34"/>
      <c r="F33" s="34"/>
      <c r="G33" s="34"/>
      <c r="H33" s="34"/>
      <c r="I33" s="34"/>
      <c r="J33" s="34"/>
      <c r="K33" s="34"/>
      <c r="L33" s="34"/>
      <c r="M33" s="34"/>
      <c r="N33" s="34"/>
      <c r="O33" s="34"/>
      <c r="P33" s="34"/>
    </row>
    <row r="34" spans="1:16">
      <c r="A34" s="34" t="s">
        <v>9</v>
      </c>
      <c r="B34" s="70" t="s">
        <v>451</v>
      </c>
      <c r="C34" s="34"/>
      <c r="D34" s="34"/>
      <c r="E34" s="34"/>
      <c r="F34" s="34"/>
      <c r="G34" s="34"/>
      <c r="H34" s="34"/>
      <c r="I34" s="34"/>
      <c r="J34" s="34"/>
      <c r="K34" s="34"/>
      <c r="L34" s="34"/>
      <c r="M34" s="34"/>
      <c r="N34" s="34"/>
      <c r="O34" s="34"/>
      <c r="P34" s="34"/>
    </row>
    <row r="35" spans="1:16">
      <c r="A35" s="34" t="s">
        <v>11</v>
      </c>
      <c r="B35" s="34" t="s">
        <v>442</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188</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189</v>
      </c>
      <c r="D41" s="69" t="s">
        <v>18</v>
      </c>
      <c r="E41" s="69" t="s">
        <v>22</v>
      </c>
      <c r="F41" s="69" t="s">
        <v>7</v>
      </c>
      <c r="G41" s="69" t="s">
        <v>13</v>
      </c>
      <c r="H41" s="69" t="s">
        <v>16</v>
      </c>
      <c r="I41" s="69" t="s">
        <v>23</v>
      </c>
      <c r="J41" s="69" t="s">
        <v>24</v>
      </c>
      <c r="K41" s="69" t="s">
        <v>25</v>
      </c>
      <c r="L41" s="69" t="s">
        <v>26</v>
      </c>
      <c r="M41" s="69" t="s">
        <v>27</v>
      </c>
      <c r="N41" s="69" t="s">
        <v>28</v>
      </c>
      <c r="O41" s="69" t="s">
        <v>11</v>
      </c>
      <c r="P41" s="69" t="s">
        <v>393</v>
      </c>
    </row>
    <row r="42" spans="1:16" ht="15.75">
      <c r="A42" s="68" t="str">
        <f>B32</f>
        <v>treatment of steel, wing, airframe, conventional, Long-Term</v>
      </c>
      <c r="B42" s="68">
        <v>1</v>
      </c>
      <c r="C42" s="68"/>
      <c r="D42" s="68" t="s">
        <v>37</v>
      </c>
      <c r="E42" s="34" t="s">
        <v>2</v>
      </c>
      <c r="F42" s="34" t="s">
        <v>443</v>
      </c>
      <c r="G42" s="68" t="s">
        <v>57</v>
      </c>
      <c r="H42" s="34" t="s">
        <v>30</v>
      </c>
      <c r="I42" s="34">
        <v>0</v>
      </c>
      <c r="J42" s="68" t="s">
        <v>31</v>
      </c>
      <c r="K42" s="68" t="s">
        <v>31</v>
      </c>
      <c r="L42" s="68" t="s">
        <v>31</v>
      </c>
      <c r="M42" s="68" t="s">
        <v>31</v>
      </c>
      <c r="N42" s="68" t="s">
        <v>31</v>
      </c>
      <c r="O42" s="68" t="s">
        <v>452</v>
      </c>
      <c r="P42" s="34"/>
    </row>
    <row r="43" spans="1:16" ht="15.75">
      <c r="A43" t="s">
        <v>134</v>
      </c>
      <c r="B43" s="22">
        <v>0.75</v>
      </c>
      <c r="C43" s="68"/>
      <c r="D43" s="68" t="s">
        <v>37</v>
      </c>
      <c r="E43" s="73" t="s">
        <v>38</v>
      </c>
      <c r="F43" s="34" t="s">
        <v>443</v>
      </c>
      <c r="G43" s="68" t="s">
        <v>91</v>
      </c>
      <c r="H43" s="34" t="s">
        <v>33</v>
      </c>
      <c r="I43" s="34">
        <v>0</v>
      </c>
      <c r="J43" s="68" t="s">
        <v>31</v>
      </c>
      <c r="K43" s="68" t="s">
        <v>31</v>
      </c>
      <c r="L43" s="68" t="s">
        <v>31</v>
      </c>
      <c r="M43" s="68" t="s">
        <v>31</v>
      </c>
      <c r="N43" s="68" t="s">
        <v>31</v>
      </c>
      <c r="O43" s="34"/>
      <c r="P43" s="34"/>
    </row>
    <row r="44" spans="1:16" ht="15.75">
      <c r="A44" t="s">
        <v>453</v>
      </c>
      <c r="B44" s="22">
        <f>0.9*B43</f>
        <v>0.67500000000000004</v>
      </c>
      <c r="C44" s="68"/>
      <c r="D44" s="68" t="s">
        <v>37</v>
      </c>
      <c r="E44" s="73" t="s">
        <v>38</v>
      </c>
      <c r="F44" s="34" t="s">
        <v>443</v>
      </c>
      <c r="G44" s="68" t="s">
        <v>57</v>
      </c>
      <c r="H44" s="34" t="s">
        <v>135</v>
      </c>
      <c r="I44" s="34">
        <v>0</v>
      </c>
      <c r="J44" s="68" t="s">
        <v>31</v>
      </c>
      <c r="K44" s="68" t="s">
        <v>31</v>
      </c>
      <c r="L44" s="68" t="s">
        <v>31</v>
      </c>
      <c r="M44" s="68" t="s">
        <v>31</v>
      </c>
      <c r="N44" s="68" t="s">
        <v>31</v>
      </c>
      <c r="O44" s="34"/>
      <c r="P44" s="34" t="s">
        <v>454</v>
      </c>
    </row>
    <row r="45" spans="1:16" ht="16.5" customHeight="1">
      <c r="A45" t="s">
        <v>400</v>
      </c>
      <c r="B45" s="22">
        <f>-(1-B44)</f>
        <v>-0.32499999999999996</v>
      </c>
      <c r="D45" t="s">
        <v>37</v>
      </c>
      <c r="E45" s="73" t="s">
        <v>38</v>
      </c>
      <c r="F45" s="34" t="s">
        <v>443</v>
      </c>
      <c r="G45" t="s">
        <v>57</v>
      </c>
      <c r="H45" t="s">
        <v>33</v>
      </c>
      <c r="I45">
        <v>0</v>
      </c>
      <c r="J45" t="s">
        <v>31</v>
      </c>
      <c r="K45" t="s">
        <v>31</v>
      </c>
      <c r="L45" t="s">
        <v>31</v>
      </c>
      <c r="M45" t="s">
        <v>31</v>
      </c>
      <c r="N45" t="s">
        <v>31</v>
      </c>
      <c r="O45" s="17"/>
      <c r="P45" s="34" t="s">
        <v>455</v>
      </c>
    </row>
    <row r="46" spans="1:16" s="66" customFormat="1" ht="15.75">
      <c r="A46" s="63" t="s">
        <v>5</v>
      </c>
      <c r="B46" s="63" t="s">
        <v>456</v>
      </c>
      <c r="C46" s="63"/>
      <c r="D46" s="64"/>
      <c r="E46" s="65"/>
      <c r="F46" s="65"/>
      <c r="G46" s="65"/>
      <c r="H46" s="65"/>
      <c r="I46" s="65"/>
      <c r="J46" s="65"/>
      <c r="K46" s="65"/>
      <c r="L46" s="65"/>
      <c r="M46" s="65"/>
      <c r="N46" s="65"/>
      <c r="O46" s="65"/>
      <c r="P46" s="65"/>
    </row>
    <row r="47" spans="1:16">
      <c r="A47" s="34" t="s">
        <v>7</v>
      </c>
      <c r="B47" s="34" t="s">
        <v>395</v>
      </c>
      <c r="C47" s="34"/>
      <c r="D47" s="34"/>
      <c r="E47" s="34"/>
      <c r="F47" s="34"/>
      <c r="G47" s="34"/>
      <c r="H47" s="34"/>
      <c r="I47" s="34"/>
      <c r="J47" s="34"/>
      <c r="K47" s="34"/>
      <c r="L47" s="34"/>
      <c r="M47" s="34"/>
      <c r="N47" s="34"/>
      <c r="O47" s="34"/>
      <c r="P47" s="34"/>
    </row>
    <row r="48" spans="1:16">
      <c r="A48" s="34" t="s">
        <v>9</v>
      </c>
      <c r="B48" s="70" t="s">
        <v>457</v>
      </c>
      <c r="C48" s="34"/>
      <c r="D48" s="34"/>
      <c r="E48" s="34"/>
      <c r="F48" s="34"/>
      <c r="G48" s="34"/>
      <c r="H48" s="34"/>
      <c r="I48" s="34"/>
      <c r="J48" s="34"/>
      <c r="K48" s="34"/>
      <c r="L48" s="34"/>
      <c r="M48" s="34"/>
      <c r="N48" s="34"/>
      <c r="O48" s="34"/>
      <c r="P48" s="34"/>
    </row>
    <row r="49" spans="1:22">
      <c r="A49" s="34" t="s">
        <v>11</v>
      </c>
      <c r="B49" s="34" t="s">
        <v>442</v>
      </c>
      <c r="C49" s="34"/>
      <c r="D49" s="34"/>
      <c r="E49" s="34"/>
      <c r="F49" s="34"/>
      <c r="G49" s="34"/>
      <c r="H49" s="34"/>
      <c r="I49" s="34"/>
      <c r="J49" s="34"/>
      <c r="K49" s="34"/>
      <c r="L49" s="34"/>
      <c r="M49" s="34"/>
      <c r="N49" s="34"/>
      <c r="O49" s="34"/>
      <c r="P49" s="34"/>
    </row>
    <row r="50" spans="1:22">
      <c r="A50" s="34" t="s">
        <v>13</v>
      </c>
      <c r="B50" s="34" t="s">
        <v>57</v>
      </c>
      <c r="C50" s="34"/>
      <c r="D50" s="34"/>
      <c r="E50" s="34"/>
      <c r="F50" s="34"/>
      <c r="G50" s="34"/>
      <c r="H50" s="34"/>
      <c r="I50" s="34"/>
      <c r="J50" s="34"/>
      <c r="K50" s="34"/>
      <c r="L50" s="34"/>
      <c r="M50" s="34"/>
      <c r="N50" s="34"/>
      <c r="O50" s="34"/>
      <c r="P50" s="34"/>
    </row>
    <row r="51" spans="1:22">
      <c r="A51" s="34" t="s">
        <v>15</v>
      </c>
      <c r="B51" s="34">
        <v>1</v>
      </c>
      <c r="C51" s="34"/>
      <c r="D51" s="34"/>
      <c r="E51" s="34"/>
      <c r="F51" s="34"/>
      <c r="G51" s="34"/>
      <c r="H51" s="34"/>
      <c r="I51" s="34"/>
      <c r="J51" s="34"/>
      <c r="K51" s="34"/>
      <c r="L51" s="34"/>
      <c r="M51" s="34"/>
      <c r="N51" s="34"/>
      <c r="O51" s="34"/>
      <c r="P51" s="34"/>
    </row>
    <row r="52" spans="1:22">
      <c r="A52" s="34" t="s">
        <v>16</v>
      </c>
      <c r="B52" s="34" t="s">
        <v>17</v>
      </c>
      <c r="C52" s="34"/>
      <c r="D52" s="34"/>
      <c r="E52" s="34"/>
      <c r="F52" s="34"/>
      <c r="G52" s="34"/>
      <c r="H52" s="34"/>
      <c r="I52" s="34"/>
      <c r="J52" s="34"/>
      <c r="K52" s="34"/>
      <c r="L52" s="34"/>
      <c r="M52" s="34"/>
      <c r="N52" s="34"/>
      <c r="O52" s="34"/>
      <c r="P52" s="34"/>
    </row>
    <row r="53" spans="1:22" ht="15.75">
      <c r="A53" s="34" t="s">
        <v>18</v>
      </c>
      <c r="B53" s="68" t="s">
        <v>37</v>
      </c>
      <c r="C53" s="34"/>
      <c r="D53" s="34"/>
      <c r="E53" s="34" t="s">
        <v>188</v>
      </c>
      <c r="F53" s="34"/>
      <c r="G53" s="34"/>
      <c r="H53" s="34"/>
      <c r="I53" s="34"/>
      <c r="J53" s="34"/>
      <c r="K53" s="34"/>
      <c r="L53" s="34"/>
      <c r="M53" s="34"/>
      <c r="N53" s="34"/>
      <c r="O53" s="34"/>
      <c r="P53" s="34"/>
    </row>
    <row r="54" spans="1:22" ht="15.75">
      <c r="A54" s="69" t="s">
        <v>19</v>
      </c>
      <c r="B54" s="34"/>
      <c r="C54" s="34"/>
      <c r="D54" s="34"/>
      <c r="E54" s="34"/>
      <c r="F54" s="34"/>
      <c r="G54" s="34"/>
      <c r="H54" s="34"/>
      <c r="I54" s="34"/>
      <c r="J54" s="34"/>
      <c r="K54" s="34"/>
      <c r="L54" s="34"/>
      <c r="M54" s="34"/>
      <c r="N54" s="34"/>
      <c r="O54" s="34"/>
      <c r="P54" s="34"/>
    </row>
    <row r="55" spans="1:22" ht="15.75">
      <c r="A55" s="69" t="s">
        <v>20</v>
      </c>
      <c r="B55" s="69" t="s">
        <v>21</v>
      </c>
      <c r="C55" s="69" t="s">
        <v>189</v>
      </c>
      <c r="D55" s="69" t="s">
        <v>18</v>
      </c>
      <c r="E55" s="69" t="s">
        <v>22</v>
      </c>
      <c r="F55" s="69" t="s">
        <v>7</v>
      </c>
      <c r="G55" s="69" t="s">
        <v>13</v>
      </c>
      <c r="H55" s="69" t="s">
        <v>16</v>
      </c>
      <c r="I55" s="69" t="s">
        <v>23</v>
      </c>
      <c r="J55" s="69" t="s">
        <v>24</v>
      </c>
      <c r="K55" s="69" t="s">
        <v>25</v>
      </c>
      <c r="L55" s="69" t="s">
        <v>26</v>
      </c>
      <c r="M55" s="69" t="s">
        <v>27</v>
      </c>
      <c r="N55" s="69" t="s">
        <v>28</v>
      </c>
      <c r="O55" s="69" t="s">
        <v>11</v>
      </c>
      <c r="P55" s="69" t="s">
        <v>393</v>
      </c>
    </row>
    <row r="56" spans="1:22" ht="15.75">
      <c r="A56" s="68" t="str">
        <f>B46</f>
        <v>treatment of titanium, wing, airframe, conventional, Long-Term</v>
      </c>
      <c r="B56" s="68">
        <v>1</v>
      </c>
      <c r="C56" s="68"/>
      <c r="D56" s="68" t="s">
        <v>37</v>
      </c>
      <c r="E56" s="34" t="s">
        <v>2</v>
      </c>
      <c r="F56" s="34" t="s">
        <v>443</v>
      </c>
      <c r="G56" s="68" t="s">
        <v>57</v>
      </c>
      <c r="H56" s="34" t="s">
        <v>30</v>
      </c>
      <c r="I56" s="34">
        <v>0</v>
      </c>
      <c r="J56" s="68" t="s">
        <v>31</v>
      </c>
      <c r="K56" s="68" t="s">
        <v>31</v>
      </c>
      <c r="L56" s="68" t="s">
        <v>31</v>
      </c>
      <c r="M56" s="68" t="s">
        <v>31</v>
      </c>
      <c r="N56" s="68" t="s">
        <v>31</v>
      </c>
      <c r="O56" s="68" t="s">
        <v>452</v>
      </c>
      <c r="P56" s="34"/>
    </row>
    <row r="57" spans="1:22">
      <c r="A57" t="s">
        <v>211</v>
      </c>
      <c r="B57">
        <f>U57</f>
        <v>9.5000076</v>
      </c>
      <c r="D57" t="s">
        <v>81</v>
      </c>
      <c r="E57" t="s">
        <v>38</v>
      </c>
      <c r="F57" s="34" t="s">
        <v>443</v>
      </c>
      <c r="G57" t="s">
        <v>57</v>
      </c>
      <c r="H57" t="s">
        <v>33</v>
      </c>
      <c r="I57">
        <v>2</v>
      </c>
      <c r="J57">
        <v>9.398101209</v>
      </c>
      <c r="K57">
        <v>0.30331501799999999</v>
      </c>
      <c r="L57" t="s">
        <v>31</v>
      </c>
      <c r="M57" t="s">
        <v>31</v>
      </c>
      <c r="N57" t="s">
        <v>31</v>
      </c>
      <c r="O57" t="s">
        <v>202</v>
      </c>
      <c r="P57" t="s">
        <v>398</v>
      </c>
      <c r="Q57" s="61" t="s">
        <v>458</v>
      </c>
      <c r="S57" s="61">
        <f>114*0.6*0.5</f>
        <v>34.199999999999996</v>
      </c>
      <c r="T57" s="61" t="s">
        <v>195</v>
      </c>
      <c r="U57" s="61">
        <f>S57*0.277778</f>
        <v>9.5000076</v>
      </c>
      <c r="V57" s="61" t="s">
        <v>194</v>
      </c>
    </row>
    <row r="58" spans="1:22">
      <c r="A58" t="s">
        <v>83</v>
      </c>
      <c r="B58">
        <f>U58</f>
        <v>0.59530026109660583</v>
      </c>
      <c r="D58" t="s">
        <v>48</v>
      </c>
      <c r="E58" t="s">
        <v>38</v>
      </c>
      <c r="F58" s="34" t="s">
        <v>443</v>
      </c>
      <c r="G58" t="s">
        <v>232</v>
      </c>
      <c r="H58" t="s">
        <v>33</v>
      </c>
      <c r="I58">
        <v>2</v>
      </c>
      <c r="J58">
        <v>6.6281192500000001</v>
      </c>
      <c r="K58">
        <v>0.30331501799999999</v>
      </c>
      <c r="L58" t="s">
        <v>31</v>
      </c>
      <c r="M58" t="s">
        <v>31</v>
      </c>
      <c r="N58" t="s">
        <v>31</v>
      </c>
      <c r="O58" t="s">
        <v>202</v>
      </c>
      <c r="P58" t="s">
        <v>398</v>
      </c>
      <c r="Q58" s="61" t="s">
        <v>459</v>
      </c>
      <c r="S58" s="61">
        <f>114*0.4*0.5</f>
        <v>22.8</v>
      </c>
      <c r="T58" s="61" t="s">
        <v>195</v>
      </c>
      <c r="U58" s="61">
        <f>S58/38.3</f>
        <v>0.59530026109660583</v>
      </c>
      <c r="V58" s="61" t="s">
        <v>235</v>
      </c>
    </row>
    <row r="59" spans="1:22">
      <c r="A59" s="71" t="s">
        <v>97</v>
      </c>
      <c r="B59" s="72">
        <f>S59</f>
        <v>0.5</v>
      </c>
      <c r="C59" s="72"/>
      <c r="D59" s="61" t="s">
        <v>37</v>
      </c>
      <c r="E59" s="61" t="s">
        <v>38</v>
      </c>
      <c r="F59" s="34" t="s">
        <v>443</v>
      </c>
      <c r="G59" s="61" t="s">
        <v>57</v>
      </c>
      <c r="H59" s="61" t="s">
        <v>135</v>
      </c>
      <c r="I59" s="61">
        <v>2</v>
      </c>
      <c r="J59" s="61">
        <f t="shared" ref="J59" si="0">LN(B59)</f>
        <v>-0.69314718055994529</v>
      </c>
      <c r="K59" s="61">
        <v>0.30331501776206199</v>
      </c>
      <c r="L59" s="61" t="s">
        <v>31</v>
      </c>
      <c r="M59" s="61" t="s">
        <v>31</v>
      </c>
      <c r="N59" s="61" t="s">
        <v>31</v>
      </c>
      <c r="O59" s="61" t="s">
        <v>202</v>
      </c>
      <c r="P59" t="s">
        <v>398</v>
      </c>
      <c r="Q59" s="61"/>
      <c r="R59" s="61"/>
      <c r="S59" s="61">
        <v>0.5</v>
      </c>
      <c r="T59" s="61" t="s">
        <v>399</v>
      </c>
    </row>
    <row r="60" spans="1:22" ht="15.75">
      <c r="A60" t="s">
        <v>400</v>
      </c>
      <c r="B60" s="22">
        <f>-0.5</f>
        <v>-0.5</v>
      </c>
      <c r="D60" t="s">
        <v>37</v>
      </c>
      <c r="E60" s="73" t="s">
        <v>38</v>
      </c>
      <c r="F60" s="34" t="s">
        <v>443</v>
      </c>
      <c r="G60" t="s">
        <v>57</v>
      </c>
      <c r="H60" t="s">
        <v>33</v>
      </c>
      <c r="I60">
        <v>0</v>
      </c>
      <c r="J60" t="s">
        <v>31</v>
      </c>
      <c r="K60" t="s">
        <v>31</v>
      </c>
      <c r="L60" t="s">
        <v>31</v>
      </c>
      <c r="M60" t="s">
        <v>31</v>
      </c>
      <c r="N60" t="s">
        <v>31</v>
      </c>
      <c r="O60" s="17"/>
      <c r="P60" s="34" t="s">
        <v>401</v>
      </c>
    </row>
    <row r="61" spans="1:22" s="66" customFormat="1" ht="15.75">
      <c r="A61" s="63" t="s">
        <v>5</v>
      </c>
      <c r="B61" s="63" t="s">
        <v>460</v>
      </c>
      <c r="C61" s="63"/>
      <c r="D61" s="64"/>
      <c r="E61" s="65"/>
      <c r="F61" s="65"/>
      <c r="G61" s="65"/>
      <c r="H61" s="65"/>
      <c r="I61" s="65"/>
      <c r="J61" s="65"/>
      <c r="K61" s="65"/>
      <c r="L61" s="65"/>
      <c r="M61" s="65"/>
      <c r="N61" s="65"/>
      <c r="O61" s="65"/>
      <c r="P61" s="65"/>
    </row>
    <row r="62" spans="1:22">
      <c r="A62" s="34" t="s">
        <v>7</v>
      </c>
      <c r="B62" s="34" t="s">
        <v>395</v>
      </c>
      <c r="C62" s="34"/>
      <c r="D62" s="34"/>
      <c r="E62" s="34"/>
      <c r="F62" s="34"/>
      <c r="G62" s="34"/>
      <c r="H62" s="34"/>
      <c r="I62" s="34"/>
      <c r="J62" s="34"/>
      <c r="K62" s="34"/>
      <c r="L62" s="34"/>
      <c r="M62" s="34"/>
      <c r="N62" s="34"/>
      <c r="O62" s="34"/>
      <c r="P62" s="34"/>
    </row>
    <row r="63" spans="1:22">
      <c r="A63" s="34" t="s">
        <v>9</v>
      </c>
      <c r="B63" s="70" t="s">
        <v>461</v>
      </c>
      <c r="C63" s="34"/>
      <c r="D63" s="34"/>
      <c r="E63" s="34"/>
      <c r="F63" s="34"/>
      <c r="G63" s="34"/>
      <c r="H63" s="34"/>
      <c r="I63" s="34"/>
      <c r="J63" s="34"/>
      <c r="K63" s="34"/>
      <c r="L63" s="34"/>
      <c r="M63" s="34"/>
      <c r="N63" s="34"/>
      <c r="O63" s="34"/>
      <c r="P63" s="34"/>
    </row>
    <row r="64" spans="1:22">
      <c r="A64" s="34" t="s">
        <v>11</v>
      </c>
      <c r="B64" s="34" t="s">
        <v>442</v>
      </c>
      <c r="C64" s="34"/>
      <c r="D64" s="34"/>
      <c r="E64" s="34"/>
      <c r="F64" s="34"/>
      <c r="G64" s="34"/>
      <c r="H64" s="34"/>
      <c r="I64" s="34"/>
      <c r="J64" s="34"/>
      <c r="K64" s="34"/>
      <c r="L64" s="34"/>
      <c r="M64" s="34"/>
      <c r="N64" s="34"/>
      <c r="O64" s="34"/>
      <c r="P64" s="34"/>
    </row>
    <row r="65" spans="1:16">
      <c r="A65" s="34" t="s">
        <v>13</v>
      </c>
      <c r="B65" s="34" t="s">
        <v>57</v>
      </c>
      <c r="C65" s="34"/>
      <c r="D65" s="34"/>
      <c r="E65" s="34"/>
      <c r="F65" s="34"/>
      <c r="G65" s="34"/>
      <c r="H65" s="34"/>
      <c r="I65" s="34"/>
      <c r="J65" s="34"/>
      <c r="K65" s="34"/>
      <c r="L65" s="34"/>
      <c r="M65" s="34"/>
      <c r="N65" s="34"/>
      <c r="O65" s="34"/>
      <c r="P65" s="34"/>
    </row>
    <row r="66" spans="1:16">
      <c r="A66" s="34" t="s">
        <v>15</v>
      </c>
      <c r="B66" s="34">
        <v>1</v>
      </c>
      <c r="C66" s="34"/>
      <c r="D66" s="34"/>
      <c r="E66" s="34"/>
      <c r="F66" s="34"/>
      <c r="G66" s="34"/>
      <c r="H66" s="34"/>
      <c r="I66" s="34"/>
      <c r="J66" s="34"/>
      <c r="K66" s="34"/>
      <c r="L66" s="34"/>
      <c r="M66" s="34"/>
      <c r="N66" s="34"/>
      <c r="O66" s="34"/>
      <c r="P66" s="34"/>
    </row>
    <row r="67" spans="1:16">
      <c r="A67" s="34" t="s">
        <v>16</v>
      </c>
      <c r="B67" s="34" t="s">
        <v>17</v>
      </c>
      <c r="C67" s="34"/>
      <c r="D67" s="34"/>
      <c r="E67" s="34"/>
      <c r="F67" s="34"/>
      <c r="G67" s="34"/>
      <c r="H67" s="34"/>
      <c r="I67" s="34"/>
      <c r="J67" s="34"/>
      <c r="K67" s="34"/>
      <c r="L67" s="34"/>
      <c r="M67" s="34"/>
      <c r="N67" s="34"/>
      <c r="O67" s="34"/>
      <c r="P67" s="34"/>
    </row>
    <row r="68" spans="1:16" ht="15.75">
      <c r="A68" s="34" t="s">
        <v>18</v>
      </c>
      <c r="B68" s="68" t="s">
        <v>37</v>
      </c>
      <c r="C68" s="34"/>
      <c r="D68" s="34"/>
      <c r="E68" s="34" t="s">
        <v>188</v>
      </c>
      <c r="F68" s="34"/>
      <c r="G68" s="34"/>
      <c r="H68" s="34"/>
      <c r="I68" s="34"/>
      <c r="J68" s="34"/>
      <c r="K68" s="34"/>
      <c r="L68" s="34"/>
      <c r="M68" s="34"/>
      <c r="N68" s="34"/>
      <c r="O68" s="34"/>
      <c r="P68" s="34"/>
    </row>
    <row r="69" spans="1:16" ht="15.75">
      <c r="A69" s="69" t="s">
        <v>19</v>
      </c>
      <c r="B69" s="34"/>
      <c r="C69" s="34"/>
      <c r="D69" s="34"/>
      <c r="E69" s="34"/>
      <c r="F69" s="34"/>
      <c r="G69" s="34"/>
      <c r="H69" s="34"/>
      <c r="I69" s="34"/>
      <c r="J69" s="34"/>
      <c r="K69" s="34"/>
      <c r="L69" s="34"/>
      <c r="M69" s="34"/>
      <c r="N69" s="34"/>
      <c r="O69" s="34"/>
      <c r="P69" s="34"/>
    </row>
    <row r="70" spans="1:16" ht="15.75">
      <c r="A70" s="69" t="s">
        <v>20</v>
      </c>
      <c r="B70" s="69" t="s">
        <v>21</v>
      </c>
      <c r="C70" s="69" t="s">
        <v>189</v>
      </c>
      <c r="D70" s="69" t="s">
        <v>18</v>
      </c>
      <c r="E70" s="69" t="s">
        <v>22</v>
      </c>
      <c r="F70" s="69" t="s">
        <v>7</v>
      </c>
      <c r="G70" s="69" t="s">
        <v>13</v>
      </c>
      <c r="H70" s="69" t="s">
        <v>16</v>
      </c>
      <c r="I70" s="69" t="s">
        <v>23</v>
      </c>
      <c r="J70" s="69" t="s">
        <v>24</v>
      </c>
      <c r="K70" s="69" t="s">
        <v>25</v>
      </c>
      <c r="L70" s="69" t="s">
        <v>26</v>
      </c>
      <c r="M70" s="69" t="s">
        <v>27</v>
      </c>
      <c r="N70" s="69" t="s">
        <v>28</v>
      </c>
      <c r="O70" s="69" t="s">
        <v>11</v>
      </c>
      <c r="P70" s="69" t="s">
        <v>393</v>
      </c>
    </row>
    <row r="71" spans="1:16" ht="15.75">
      <c r="A71" s="68" t="str">
        <f>B61</f>
        <v>treatment of aluminium, tail, airframe, conventional, Long-Term</v>
      </c>
      <c r="B71" s="68">
        <v>1</v>
      </c>
      <c r="C71" s="68"/>
      <c r="D71" s="68" t="s">
        <v>37</v>
      </c>
      <c r="E71" s="34" t="s">
        <v>2</v>
      </c>
      <c r="F71" s="34" t="s">
        <v>443</v>
      </c>
      <c r="G71" s="68" t="s">
        <v>57</v>
      </c>
      <c r="H71" s="34" t="s">
        <v>30</v>
      </c>
      <c r="I71" s="34">
        <v>0</v>
      </c>
      <c r="J71" s="68" t="s">
        <v>31</v>
      </c>
      <c r="K71" s="68" t="s">
        <v>31</v>
      </c>
      <c r="L71" s="68" t="s">
        <v>31</v>
      </c>
      <c r="M71" s="68" t="s">
        <v>31</v>
      </c>
      <c r="N71" s="68" t="s">
        <v>31</v>
      </c>
      <c r="O71" s="68" t="s">
        <v>462</v>
      </c>
      <c r="P71" s="34"/>
    </row>
    <row r="72" spans="1:16" ht="15.75">
      <c r="A72" t="s">
        <v>205</v>
      </c>
      <c r="B72" s="22">
        <v>0.64</v>
      </c>
      <c r="C72" s="68"/>
      <c r="D72" s="68" t="s">
        <v>37</v>
      </c>
      <c r="E72" s="48" t="s">
        <v>38</v>
      </c>
      <c r="F72" s="34" t="s">
        <v>443</v>
      </c>
      <c r="G72" s="68" t="s">
        <v>91</v>
      </c>
      <c r="H72" s="34" t="s">
        <v>33</v>
      </c>
      <c r="I72" s="34">
        <v>0</v>
      </c>
      <c r="J72" s="68" t="s">
        <v>31</v>
      </c>
      <c r="K72" s="68" t="s">
        <v>31</v>
      </c>
      <c r="L72" s="68" t="s">
        <v>31</v>
      </c>
      <c r="M72" s="68" t="s">
        <v>31</v>
      </c>
      <c r="N72" s="68" t="s">
        <v>31</v>
      </c>
      <c r="O72" s="34"/>
      <c r="P72" s="34"/>
    </row>
    <row r="73" spans="1:16" ht="15.75">
      <c r="A73" t="s">
        <v>207</v>
      </c>
      <c r="B73" s="22">
        <v>0.64</v>
      </c>
      <c r="C73" s="61" t="s">
        <v>208</v>
      </c>
      <c r="D73" t="s">
        <v>37</v>
      </c>
      <c r="E73" s="74" t="s">
        <v>38</v>
      </c>
      <c r="F73" s="34" t="s">
        <v>443</v>
      </c>
      <c r="G73" s="68" t="s">
        <v>91</v>
      </c>
      <c r="H73" s="34" t="s">
        <v>33</v>
      </c>
      <c r="I73" s="34">
        <v>0</v>
      </c>
      <c r="J73" s="68" t="s">
        <v>31</v>
      </c>
      <c r="K73" s="68" t="s">
        <v>31</v>
      </c>
      <c r="L73" s="68" t="s">
        <v>31</v>
      </c>
      <c r="M73" s="68" t="s">
        <v>31</v>
      </c>
      <c r="N73" s="68" t="s">
        <v>31</v>
      </c>
      <c r="O73" s="68" t="s">
        <v>416</v>
      </c>
    </row>
    <row r="74" spans="1:16" ht="15.75">
      <c r="A74" t="s">
        <v>417</v>
      </c>
      <c r="B74" s="22">
        <f>B73*0.9</f>
        <v>0.57600000000000007</v>
      </c>
      <c r="D74" t="s">
        <v>37</v>
      </c>
      <c r="E74" s="74" t="s">
        <v>38</v>
      </c>
      <c r="F74" s="34" t="s">
        <v>443</v>
      </c>
      <c r="G74" t="s">
        <v>57</v>
      </c>
      <c r="H74" s="34" t="s">
        <v>135</v>
      </c>
      <c r="I74" s="34">
        <v>0</v>
      </c>
      <c r="J74" s="68" t="s">
        <v>31</v>
      </c>
      <c r="K74" s="68" t="s">
        <v>31</v>
      </c>
      <c r="L74" s="68" t="s">
        <v>31</v>
      </c>
      <c r="M74" s="68" t="s">
        <v>31</v>
      </c>
      <c r="N74" s="68" t="s">
        <v>31</v>
      </c>
      <c r="O74" s="34"/>
      <c r="P74" s="68" t="s">
        <v>445</v>
      </c>
    </row>
    <row r="75" spans="1:16" ht="15.75">
      <c r="A75" t="s">
        <v>400</v>
      </c>
      <c r="B75" s="22">
        <f>-(1-B74)</f>
        <v>-0.42399999999999993</v>
      </c>
      <c r="D75" t="s">
        <v>37</v>
      </c>
      <c r="E75" s="73" t="s">
        <v>38</v>
      </c>
      <c r="F75" s="34" t="s">
        <v>443</v>
      </c>
      <c r="G75" t="s">
        <v>57</v>
      </c>
      <c r="H75" t="s">
        <v>33</v>
      </c>
      <c r="I75">
        <v>0</v>
      </c>
      <c r="J75" t="s">
        <v>31</v>
      </c>
      <c r="K75" t="s">
        <v>31</v>
      </c>
      <c r="L75" t="s">
        <v>31</v>
      </c>
      <c r="M75" t="s">
        <v>31</v>
      </c>
      <c r="N75" t="s">
        <v>31</v>
      </c>
      <c r="O75" s="17"/>
      <c r="P75" s="34"/>
    </row>
    <row r="76" spans="1:16" s="66" customFormat="1" ht="15.75">
      <c r="A76" s="63" t="s">
        <v>5</v>
      </c>
      <c r="B76" s="63" t="s">
        <v>463</v>
      </c>
      <c r="C76" s="63"/>
      <c r="D76" s="64"/>
      <c r="E76" s="65"/>
      <c r="F76" s="65"/>
      <c r="G76" s="65"/>
      <c r="H76" s="65"/>
      <c r="I76" s="65"/>
      <c r="J76" s="65"/>
      <c r="K76" s="65"/>
      <c r="L76" s="65"/>
      <c r="M76" s="65"/>
      <c r="N76" s="65"/>
      <c r="O76" s="65"/>
      <c r="P76" s="65"/>
    </row>
    <row r="77" spans="1:16">
      <c r="A77" s="34" t="s">
        <v>7</v>
      </c>
      <c r="B77" s="34" t="s">
        <v>395</v>
      </c>
      <c r="C77" s="34"/>
      <c r="D77" s="34"/>
      <c r="E77" s="34"/>
      <c r="F77" s="34"/>
      <c r="G77" s="34"/>
      <c r="H77" s="34"/>
      <c r="I77" s="34"/>
      <c r="J77" s="34"/>
      <c r="K77" s="34"/>
      <c r="L77" s="34"/>
      <c r="M77" s="34"/>
      <c r="N77" s="34"/>
      <c r="O77" s="34"/>
      <c r="P77" s="34"/>
    </row>
    <row r="78" spans="1:16">
      <c r="A78" s="34" t="s">
        <v>9</v>
      </c>
      <c r="B78" s="70" t="s">
        <v>464</v>
      </c>
      <c r="C78" s="34"/>
      <c r="D78" s="34"/>
      <c r="E78" s="34"/>
      <c r="F78" s="34"/>
      <c r="G78" s="34"/>
      <c r="H78" s="34"/>
      <c r="I78" s="34"/>
      <c r="J78" s="34"/>
      <c r="K78" s="34"/>
      <c r="L78" s="34"/>
      <c r="M78" s="34"/>
      <c r="N78" s="34"/>
      <c r="O78" s="34"/>
      <c r="P78" s="34"/>
    </row>
    <row r="79" spans="1:16">
      <c r="A79" s="34" t="s">
        <v>11</v>
      </c>
      <c r="B79" s="34" t="s">
        <v>465</v>
      </c>
      <c r="C79" s="34"/>
      <c r="D79" s="34"/>
      <c r="E79" s="34"/>
      <c r="F79" s="34"/>
      <c r="G79" s="34"/>
      <c r="H79" s="34"/>
      <c r="I79" s="34"/>
      <c r="J79" s="34"/>
      <c r="K79" s="34"/>
      <c r="L79" s="34"/>
      <c r="M79" s="34"/>
      <c r="N79" s="34"/>
      <c r="O79" s="34"/>
      <c r="P79" s="34"/>
    </row>
    <row r="80" spans="1:16">
      <c r="A80" s="34" t="s">
        <v>13</v>
      </c>
      <c r="B80" s="34" t="s">
        <v>57</v>
      </c>
      <c r="C80" s="34"/>
      <c r="D80" s="34"/>
      <c r="E80" s="34"/>
      <c r="F80" s="34"/>
      <c r="G80" s="34"/>
      <c r="H80" s="34"/>
      <c r="I80" s="34"/>
      <c r="J80" s="34"/>
      <c r="K80" s="34"/>
      <c r="L80" s="34"/>
      <c r="M80" s="34"/>
      <c r="N80" s="34"/>
      <c r="O80" s="34"/>
      <c r="P80" s="34"/>
    </row>
    <row r="81" spans="1:16">
      <c r="A81" s="34" t="s">
        <v>15</v>
      </c>
      <c r="B81" s="34">
        <v>1</v>
      </c>
      <c r="C81" s="34"/>
      <c r="D81" s="34"/>
      <c r="E81" s="34"/>
      <c r="F81" s="34"/>
      <c r="G81" s="34"/>
      <c r="H81" s="34"/>
      <c r="I81" s="34"/>
      <c r="J81" s="34"/>
      <c r="K81" s="34"/>
      <c r="L81" s="34"/>
      <c r="M81" s="34"/>
      <c r="N81" s="34"/>
      <c r="O81" s="34"/>
      <c r="P81" s="34"/>
    </row>
    <row r="82" spans="1:16">
      <c r="A82" s="34" t="s">
        <v>16</v>
      </c>
      <c r="B82" s="34" t="s">
        <v>17</v>
      </c>
      <c r="C82" s="34"/>
      <c r="D82" s="34"/>
      <c r="E82" s="34"/>
      <c r="F82" s="34"/>
      <c r="G82" s="34"/>
      <c r="H82" s="34"/>
      <c r="I82" s="34"/>
      <c r="J82" s="34"/>
      <c r="K82" s="34"/>
      <c r="L82" s="34"/>
      <c r="M82" s="34"/>
      <c r="N82" s="34"/>
      <c r="O82" s="34"/>
      <c r="P82" s="34"/>
    </row>
    <row r="83" spans="1:16" ht="15.75">
      <c r="A83" s="34" t="s">
        <v>18</v>
      </c>
      <c r="B83" s="68" t="s">
        <v>37</v>
      </c>
      <c r="C83" s="34"/>
      <c r="D83" s="34"/>
      <c r="E83" s="34" t="s">
        <v>188</v>
      </c>
      <c r="F83" s="34"/>
      <c r="G83" s="34"/>
      <c r="H83" s="34"/>
      <c r="I83" s="34"/>
      <c r="J83" s="34"/>
      <c r="K83" s="34"/>
      <c r="L83" s="34"/>
      <c r="M83" s="34"/>
      <c r="N83" s="34"/>
      <c r="O83" s="34"/>
      <c r="P83" s="34"/>
    </row>
    <row r="84" spans="1:16" ht="15.75">
      <c r="A84" s="69" t="s">
        <v>19</v>
      </c>
      <c r="B84" s="34"/>
      <c r="C84" s="34"/>
      <c r="D84" s="34"/>
      <c r="E84" s="34"/>
      <c r="F84" s="34"/>
      <c r="G84" s="34"/>
      <c r="H84" s="34"/>
      <c r="I84" s="34"/>
      <c r="J84" s="34"/>
      <c r="K84" s="34"/>
      <c r="L84" s="34"/>
      <c r="M84" s="34"/>
      <c r="N84" s="34"/>
      <c r="O84" s="34"/>
      <c r="P84" s="34"/>
    </row>
    <row r="85" spans="1:16" ht="15.75">
      <c r="A85" s="69" t="s">
        <v>20</v>
      </c>
      <c r="B85" s="69" t="s">
        <v>21</v>
      </c>
      <c r="C85" s="69" t="s">
        <v>189</v>
      </c>
      <c r="D85" s="69" t="s">
        <v>18</v>
      </c>
      <c r="E85" s="69" t="s">
        <v>22</v>
      </c>
      <c r="F85" s="69" t="s">
        <v>7</v>
      </c>
      <c r="G85" s="69" t="s">
        <v>13</v>
      </c>
      <c r="H85" s="69" t="s">
        <v>16</v>
      </c>
      <c r="I85" s="69" t="s">
        <v>23</v>
      </c>
      <c r="J85" s="69" t="s">
        <v>24</v>
      </c>
      <c r="K85" s="69" t="s">
        <v>25</v>
      </c>
      <c r="L85" s="69" t="s">
        <v>26</v>
      </c>
      <c r="M85" s="69" t="s">
        <v>27</v>
      </c>
      <c r="N85" s="69" t="s">
        <v>28</v>
      </c>
      <c r="O85" s="69" t="s">
        <v>11</v>
      </c>
      <c r="P85" s="69" t="s">
        <v>393</v>
      </c>
    </row>
    <row r="86" spans="1:16" ht="15.75">
      <c r="A86" s="68" t="str">
        <f>B76</f>
        <v>treatment of composites, tail, airframe, conventional, Long-Term</v>
      </c>
      <c r="B86" s="68">
        <v>1</v>
      </c>
      <c r="C86" s="68"/>
      <c r="D86" s="68" t="s">
        <v>37</v>
      </c>
      <c r="E86" s="34" t="s">
        <v>2</v>
      </c>
      <c r="F86" s="34" t="s">
        <v>443</v>
      </c>
      <c r="G86" s="68" t="s">
        <v>57</v>
      </c>
      <c r="H86" s="34" t="s">
        <v>30</v>
      </c>
      <c r="I86" s="34">
        <v>0</v>
      </c>
      <c r="J86" s="68" t="s">
        <v>31</v>
      </c>
      <c r="K86" s="68" t="s">
        <v>31</v>
      </c>
      <c r="L86" s="68" t="s">
        <v>31</v>
      </c>
      <c r="M86" s="68" t="s">
        <v>31</v>
      </c>
      <c r="N86" s="68" t="s">
        <v>31</v>
      </c>
      <c r="O86" s="68" t="s">
        <v>466</v>
      </c>
      <c r="P86" s="34"/>
    </row>
    <row r="87" spans="1:16" ht="15.75">
      <c r="A87" s="73" t="s">
        <v>404</v>
      </c>
      <c r="B87">
        <v>-0.5</v>
      </c>
      <c r="D87" t="s">
        <v>37</v>
      </c>
      <c r="E87" s="74" t="s">
        <v>38</v>
      </c>
      <c r="F87" s="34" t="s">
        <v>443</v>
      </c>
      <c r="G87" t="s">
        <v>91</v>
      </c>
      <c r="H87" t="s">
        <v>33</v>
      </c>
      <c r="I87" s="34">
        <v>0</v>
      </c>
      <c r="J87" s="68" t="s">
        <v>31</v>
      </c>
      <c r="K87" s="68" t="s">
        <v>31</v>
      </c>
      <c r="L87" s="68" t="s">
        <v>31</v>
      </c>
      <c r="M87" s="68" t="s">
        <v>31</v>
      </c>
      <c r="N87" s="68" t="s">
        <v>31</v>
      </c>
      <c r="O87" s="68" t="s">
        <v>406</v>
      </c>
      <c r="P87" s="68" t="s">
        <v>407</v>
      </c>
    </row>
    <row r="88" spans="1:16" ht="15.75">
      <c r="A88" t="s">
        <v>80</v>
      </c>
      <c r="B88">
        <f>B89*0.277777777</f>
        <v>2.415277771015</v>
      </c>
      <c r="D88" t="s">
        <v>81</v>
      </c>
      <c r="E88" s="74" t="s">
        <v>38</v>
      </c>
      <c r="F88" s="34" t="s">
        <v>443</v>
      </c>
      <c r="G88" t="s">
        <v>57</v>
      </c>
      <c r="H88" s="34" t="s">
        <v>135</v>
      </c>
      <c r="I88" s="34">
        <v>0</v>
      </c>
      <c r="J88" s="68" t="s">
        <v>31</v>
      </c>
      <c r="K88" s="68" t="s">
        <v>31</v>
      </c>
      <c r="L88" s="68" t="s">
        <v>31</v>
      </c>
      <c r="M88" s="68" t="s">
        <v>31</v>
      </c>
      <c r="N88" s="68" t="s">
        <v>31</v>
      </c>
      <c r="O88" t="s">
        <v>408</v>
      </c>
    </row>
    <row r="89" spans="1:16" ht="15.75">
      <c r="A89" t="s">
        <v>84</v>
      </c>
      <c r="B89">
        <f>-B87*0.5*34.78</f>
        <v>8.6950000000000003</v>
      </c>
      <c r="D89" t="s">
        <v>85</v>
      </c>
      <c r="E89" s="74" t="s">
        <v>38</v>
      </c>
      <c r="F89" s="34" t="s">
        <v>443</v>
      </c>
      <c r="G89" t="s">
        <v>57</v>
      </c>
      <c r="H89" s="34" t="s">
        <v>135</v>
      </c>
      <c r="I89" s="34">
        <v>0</v>
      </c>
      <c r="J89" s="68" t="s">
        <v>31</v>
      </c>
      <c r="K89" s="68" t="s">
        <v>31</v>
      </c>
      <c r="L89" s="68" t="s">
        <v>31</v>
      </c>
      <c r="M89" s="68" t="s">
        <v>31</v>
      </c>
      <c r="N89" s="68" t="s">
        <v>31</v>
      </c>
      <c r="O89" t="s">
        <v>449</v>
      </c>
    </row>
    <row r="90" spans="1:16" ht="15.75">
      <c r="A90" s="73" t="s">
        <v>410</v>
      </c>
      <c r="B90">
        <v>-0.5</v>
      </c>
      <c r="D90" t="s">
        <v>37</v>
      </c>
      <c r="E90" s="74" t="s">
        <v>38</v>
      </c>
      <c r="F90" s="34" t="s">
        <v>443</v>
      </c>
      <c r="G90" t="s">
        <v>91</v>
      </c>
      <c r="H90" s="34" t="s">
        <v>33</v>
      </c>
      <c r="I90" s="34">
        <v>0</v>
      </c>
      <c r="J90" s="68" t="s">
        <v>31</v>
      </c>
      <c r="K90" s="68" t="s">
        <v>31</v>
      </c>
      <c r="L90" s="68" t="s">
        <v>31</v>
      </c>
      <c r="M90" s="68" t="s">
        <v>31</v>
      </c>
      <c r="N90" s="68" t="s">
        <v>31</v>
      </c>
      <c r="O90" s="68"/>
    </row>
    <row r="91" spans="1:16" s="66" customFormat="1" ht="15.75">
      <c r="A91" s="63" t="s">
        <v>5</v>
      </c>
      <c r="B91" s="63" t="s">
        <v>467</v>
      </c>
      <c r="C91" s="63"/>
      <c r="D91" s="64"/>
      <c r="E91" s="65"/>
      <c r="F91" s="65"/>
      <c r="G91" s="65"/>
      <c r="H91" s="65"/>
      <c r="I91" s="65"/>
      <c r="J91" s="65"/>
      <c r="K91" s="65"/>
      <c r="L91" s="65"/>
      <c r="M91" s="65"/>
      <c r="N91" s="65"/>
      <c r="O91" s="65"/>
      <c r="P91" s="65"/>
    </row>
    <row r="92" spans="1:16">
      <c r="A92" s="34" t="s">
        <v>7</v>
      </c>
      <c r="B92" s="34" t="s">
        <v>395</v>
      </c>
      <c r="C92" s="34"/>
      <c r="D92" s="34"/>
      <c r="E92" s="34"/>
      <c r="F92" s="34"/>
      <c r="G92" s="34"/>
      <c r="H92" s="34"/>
      <c r="I92" s="34"/>
      <c r="J92" s="34"/>
      <c r="K92" s="34"/>
      <c r="L92" s="34"/>
      <c r="M92" s="34"/>
      <c r="N92" s="34"/>
      <c r="O92" s="34"/>
      <c r="P92" s="34"/>
    </row>
    <row r="93" spans="1:16">
      <c r="A93" s="34" t="s">
        <v>9</v>
      </c>
      <c r="B93" s="70" t="s">
        <v>468</v>
      </c>
      <c r="C93" s="34"/>
      <c r="D93" s="34"/>
      <c r="E93" s="34"/>
      <c r="F93" s="34"/>
      <c r="G93" s="34"/>
      <c r="H93" s="34"/>
      <c r="I93" s="34"/>
      <c r="J93" s="34"/>
      <c r="K93" s="34"/>
      <c r="L93" s="34"/>
      <c r="M93" s="34"/>
      <c r="N93" s="34"/>
      <c r="O93" s="34"/>
      <c r="P93" s="34"/>
    </row>
    <row r="94" spans="1:16">
      <c r="A94" s="34" t="s">
        <v>11</v>
      </c>
      <c r="B94" s="34" t="s">
        <v>442</v>
      </c>
      <c r="C94" s="34"/>
      <c r="D94" s="34"/>
      <c r="E94" s="34"/>
      <c r="F94" s="34"/>
      <c r="G94" s="34"/>
      <c r="H94" s="34"/>
      <c r="I94" s="34"/>
      <c r="J94" s="34"/>
      <c r="K94" s="34"/>
      <c r="L94" s="34"/>
      <c r="M94" s="34"/>
      <c r="N94" s="34"/>
      <c r="O94" s="34"/>
      <c r="P94" s="34"/>
    </row>
    <row r="95" spans="1:16">
      <c r="A95" s="34" t="s">
        <v>13</v>
      </c>
      <c r="B95" s="34" t="s">
        <v>57</v>
      </c>
      <c r="C95" s="34"/>
      <c r="D95" s="34"/>
      <c r="E95" s="34"/>
      <c r="F95" s="34"/>
      <c r="G95" s="34"/>
      <c r="H95" s="34"/>
      <c r="I95" s="34"/>
      <c r="J95" s="34"/>
      <c r="K95" s="34"/>
      <c r="L95" s="34"/>
      <c r="M95" s="34"/>
      <c r="N95" s="34"/>
      <c r="O95" s="34"/>
      <c r="P95" s="34"/>
    </row>
    <row r="96" spans="1:16">
      <c r="A96" s="34" t="s">
        <v>15</v>
      </c>
      <c r="B96" s="34">
        <v>1</v>
      </c>
      <c r="C96" s="34"/>
      <c r="D96" s="34"/>
      <c r="E96" s="34"/>
      <c r="F96" s="34"/>
      <c r="G96" s="34"/>
      <c r="H96" s="34"/>
      <c r="I96" s="34"/>
      <c r="J96" s="34"/>
      <c r="K96" s="34"/>
      <c r="L96" s="34"/>
      <c r="M96" s="34"/>
      <c r="N96" s="34"/>
      <c r="O96" s="34"/>
      <c r="P96" s="34"/>
    </row>
    <row r="97" spans="1:16">
      <c r="A97" s="34" t="s">
        <v>16</v>
      </c>
      <c r="B97" s="34" t="s">
        <v>17</v>
      </c>
      <c r="C97" s="34"/>
      <c r="D97" s="34"/>
      <c r="E97" s="34"/>
      <c r="F97" s="34"/>
      <c r="G97" s="34"/>
      <c r="H97" s="34"/>
      <c r="I97" s="34"/>
      <c r="J97" s="34"/>
      <c r="K97" s="34"/>
      <c r="L97" s="34"/>
      <c r="M97" s="34"/>
      <c r="N97" s="34"/>
      <c r="O97" s="34"/>
      <c r="P97" s="34"/>
    </row>
    <row r="98" spans="1:16" ht="15.75">
      <c r="A98" s="34" t="s">
        <v>18</v>
      </c>
      <c r="B98" s="68" t="s">
        <v>37</v>
      </c>
      <c r="C98" s="34"/>
      <c r="D98" s="34"/>
      <c r="E98" s="34" t="s">
        <v>188</v>
      </c>
      <c r="F98" s="34"/>
      <c r="G98" s="34"/>
      <c r="H98" s="34"/>
      <c r="I98" s="34"/>
      <c r="J98" s="34"/>
      <c r="K98" s="34"/>
      <c r="L98" s="34"/>
      <c r="M98" s="34"/>
      <c r="N98" s="34"/>
      <c r="O98" s="34"/>
      <c r="P98" s="34"/>
    </row>
    <row r="99" spans="1:16" ht="15.75">
      <c r="A99" s="69" t="s">
        <v>19</v>
      </c>
      <c r="B99" s="34"/>
      <c r="C99" s="34"/>
      <c r="D99" s="34"/>
      <c r="E99" s="34"/>
      <c r="F99" s="34"/>
      <c r="G99" s="34"/>
      <c r="H99" s="34"/>
      <c r="I99" s="34"/>
      <c r="J99" s="34"/>
      <c r="K99" s="34"/>
      <c r="L99" s="34"/>
      <c r="M99" s="34"/>
      <c r="N99" s="34"/>
      <c r="O99" s="34"/>
      <c r="P99" s="34"/>
    </row>
    <row r="100" spans="1:16" ht="15.75">
      <c r="A100" s="69" t="s">
        <v>20</v>
      </c>
      <c r="B100" s="69" t="s">
        <v>21</v>
      </c>
      <c r="C100" s="69" t="s">
        <v>189</v>
      </c>
      <c r="D100" s="69" t="s">
        <v>18</v>
      </c>
      <c r="E100" s="69" t="s">
        <v>22</v>
      </c>
      <c r="F100" s="69" t="s">
        <v>7</v>
      </c>
      <c r="G100" s="69" t="s">
        <v>13</v>
      </c>
      <c r="H100" s="69" t="s">
        <v>16</v>
      </c>
      <c r="I100" s="69" t="s">
        <v>23</v>
      </c>
      <c r="J100" s="69" t="s">
        <v>24</v>
      </c>
      <c r="K100" s="69" t="s">
        <v>25</v>
      </c>
      <c r="L100" s="69" t="s">
        <v>26</v>
      </c>
      <c r="M100" s="69" t="s">
        <v>27</v>
      </c>
      <c r="N100" s="69" t="s">
        <v>28</v>
      </c>
      <c r="O100" s="69" t="s">
        <v>11</v>
      </c>
      <c r="P100" s="69" t="s">
        <v>393</v>
      </c>
    </row>
    <row r="101" spans="1:16" ht="15.75">
      <c r="A101" s="68" t="str">
        <f>B91</f>
        <v>treatment of aluminium, fuselage, airframe, conventional, Long-Term</v>
      </c>
      <c r="B101" s="68">
        <v>1</v>
      </c>
      <c r="C101" s="68"/>
      <c r="D101" s="68" t="s">
        <v>37</v>
      </c>
      <c r="E101" s="34" t="s">
        <v>2</v>
      </c>
      <c r="F101" s="34" t="s">
        <v>443</v>
      </c>
      <c r="G101" s="68" t="s">
        <v>57</v>
      </c>
      <c r="H101" s="34" t="s">
        <v>30</v>
      </c>
      <c r="I101" s="34">
        <v>0</v>
      </c>
      <c r="J101" s="68" t="s">
        <v>31</v>
      </c>
      <c r="K101" s="68" t="s">
        <v>31</v>
      </c>
      <c r="L101" s="68" t="s">
        <v>31</v>
      </c>
      <c r="M101" s="68" t="s">
        <v>31</v>
      </c>
      <c r="N101" s="68" t="s">
        <v>31</v>
      </c>
      <c r="O101" s="68" t="s">
        <v>469</v>
      </c>
      <c r="P101" s="34"/>
    </row>
    <row r="102" spans="1:16" ht="15.75">
      <c r="A102" t="s">
        <v>205</v>
      </c>
      <c r="B102" s="22">
        <v>0.85</v>
      </c>
      <c r="C102" s="68"/>
      <c r="D102" s="68" t="s">
        <v>37</v>
      </c>
      <c r="E102" s="48" t="s">
        <v>38</v>
      </c>
      <c r="F102" s="34" t="s">
        <v>443</v>
      </c>
      <c r="G102" s="68" t="s">
        <v>91</v>
      </c>
      <c r="H102" s="34" t="s">
        <v>33</v>
      </c>
      <c r="I102" s="34">
        <v>0</v>
      </c>
      <c r="J102" s="68" t="s">
        <v>31</v>
      </c>
      <c r="K102" s="68" t="s">
        <v>31</v>
      </c>
      <c r="L102" s="68" t="s">
        <v>31</v>
      </c>
      <c r="M102" s="68" t="s">
        <v>31</v>
      </c>
      <c r="N102" s="68" t="s">
        <v>31</v>
      </c>
      <c r="O102" s="34"/>
      <c r="P102" s="34"/>
    </row>
    <row r="103" spans="1:16" ht="15.75">
      <c r="A103" t="s">
        <v>207</v>
      </c>
      <c r="B103" s="22">
        <v>0.85</v>
      </c>
      <c r="C103" s="61" t="s">
        <v>208</v>
      </c>
      <c r="D103" t="s">
        <v>37</v>
      </c>
      <c r="E103" s="74" t="s">
        <v>38</v>
      </c>
      <c r="F103" s="34" t="s">
        <v>443</v>
      </c>
      <c r="G103" s="68" t="s">
        <v>91</v>
      </c>
      <c r="H103" s="34" t="s">
        <v>33</v>
      </c>
      <c r="I103" s="34">
        <v>0</v>
      </c>
      <c r="J103" s="68" t="s">
        <v>31</v>
      </c>
      <c r="K103" s="68" t="s">
        <v>31</v>
      </c>
      <c r="L103" s="68" t="s">
        <v>31</v>
      </c>
      <c r="M103" s="68" t="s">
        <v>31</v>
      </c>
      <c r="N103" s="68" t="s">
        <v>31</v>
      </c>
      <c r="O103" s="68" t="s">
        <v>416</v>
      </c>
    </row>
    <row r="104" spans="1:16" ht="15.75">
      <c r="A104" t="s">
        <v>417</v>
      </c>
      <c r="B104" s="22">
        <f>B103*0.9</f>
        <v>0.76500000000000001</v>
      </c>
      <c r="D104" t="s">
        <v>37</v>
      </c>
      <c r="E104" s="74" t="s">
        <v>38</v>
      </c>
      <c r="F104" s="34" t="s">
        <v>443</v>
      </c>
      <c r="G104" t="s">
        <v>57</v>
      </c>
      <c r="H104" s="34" t="s">
        <v>135</v>
      </c>
      <c r="I104" s="34">
        <v>0</v>
      </c>
      <c r="J104" s="68" t="s">
        <v>31</v>
      </c>
      <c r="K104" s="68" t="s">
        <v>31</v>
      </c>
      <c r="L104" s="68" t="s">
        <v>31</v>
      </c>
      <c r="M104" s="68" t="s">
        <v>31</v>
      </c>
      <c r="N104" s="68" t="s">
        <v>31</v>
      </c>
      <c r="O104" s="34"/>
      <c r="P104" s="68" t="s">
        <v>445</v>
      </c>
    </row>
    <row r="105" spans="1:16" ht="15.75">
      <c r="A105" t="s">
        <v>400</v>
      </c>
      <c r="B105" s="22">
        <f>-(1-B104)</f>
        <v>-0.23499999999999999</v>
      </c>
      <c r="D105" t="s">
        <v>37</v>
      </c>
      <c r="E105" s="73" t="s">
        <v>38</v>
      </c>
      <c r="F105" s="34" t="s">
        <v>443</v>
      </c>
      <c r="G105" t="s">
        <v>57</v>
      </c>
      <c r="H105" t="s">
        <v>33</v>
      </c>
      <c r="I105">
        <v>0</v>
      </c>
      <c r="J105" t="s">
        <v>31</v>
      </c>
      <c r="K105" t="s">
        <v>31</v>
      </c>
      <c r="L105" t="s">
        <v>31</v>
      </c>
      <c r="M105" t="s">
        <v>31</v>
      </c>
      <c r="N105" t="s">
        <v>31</v>
      </c>
      <c r="O105" s="17"/>
      <c r="P105" s="34"/>
    </row>
    <row r="106" spans="1:16" s="66" customFormat="1" ht="15.75">
      <c r="A106" s="63" t="s">
        <v>5</v>
      </c>
      <c r="B106" s="63" t="s">
        <v>470</v>
      </c>
      <c r="C106" s="63"/>
      <c r="D106" s="64"/>
      <c r="E106" s="65"/>
      <c r="F106" s="65"/>
      <c r="G106" s="65"/>
      <c r="H106" s="65"/>
      <c r="I106" s="65"/>
      <c r="J106" s="65"/>
      <c r="K106" s="65"/>
      <c r="L106" s="65"/>
      <c r="M106" s="65"/>
      <c r="N106" s="65"/>
      <c r="O106" s="65"/>
      <c r="P106" s="65"/>
    </row>
    <row r="107" spans="1:16">
      <c r="A107" s="34" t="s">
        <v>7</v>
      </c>
      <c r="B107" s="34" t="s">
        <v>395</v>
      </c>
      <c r="C107" s="34"/>
      <c r="D107" s="34"/>
      <c r="E107" s="34"/>
      <c r="F107" s="34"/>
      <c r="G107" s="34"/>
      <c r="H107" s="34"/>
      <c r="I107" s="34"/>
      <c r="J107" s="34"/>
      <c r="K107" s="34"/>
      <c r="L107" s="34"/>
      <c r="M107" s="34"/>
      <c r="N107" s="34"/>
      <c r="O107" s="34"/>
      <c r="P107" s="34"/>
    </row>
    <row r="108" spans="1:16">
      <c r="A108" s="34" t="s">
        <v>9</v>
      </c>
      <c r="B108" s="70" t="s">
        <v>471</v>
      </c>
      <c r="C108" s="34"/>
      <c r="D108" s="34"/>
      <c r="E108" s="34"/>
      <c r="F108" s="34"/>
      <c r="G108" s="34"/>
      <c r="H108" s="34"/>
      <c r="I108" s="34"/>
      <c r="J108" s="34"/>
      <c r="K108" s="34"/>
      <c r="L108" s="34"/>
      <c r="M108" s="34"/>
      <c r="N108" s="34"/>
      <c r="O108" s="34"/>
      <c r="P108" s="34"/>
    </row>
    <row r="109" spans="1:16">
      <c r="A109" s="34" t="s">
        <v>11</v>
      </c>
      <c r="B109" s="34" t="s">
        <v>442</v>
      </c>
      <c r="C109" s="34"/>
      <c r="D109" s="34"/>
      <c r="E109" s="34"/>
      <c r="F109" s="34"/>
      <c r="G109" s="34"/>
      <c r="H109" s="34"/>
      <c r="I109" s="34"/>
      <c r="J109" s="34"/>
      <c r="K109" s="34"/>
      <c r="L109" s="34"/>
      <c r="M109" s="34"/>
      <c r="N109" s="34"/>
      <c r="O109" s="34"/>
      <c r="P109" s="34"/>
    </row>
    <row r="110" spans="1:16">
      <c r="A110" s="34" t="s">
        <v>13</v>
      </c>
      <c r="B110" s="34" t="s">
        <v>57</v>
      </c>
      <c r="C110" s="34"/>
      <c r="D110" s="34"/>
      <c r="E110" s="34"/>
      <c r="F110" s="34"/>
      <c r="G110" s="34"/>
      <c r="H110" s="34"/>
      <c r="I110" s="34"/>
      <c r="J110" s="34"/>
      <c r="K110" s="34"/>
      <c r="L110" s="34"/>
      <c r="M110" s="34"/>
      <c r="N110" s="34"/>
      <c r="O110" s="34"/>
      <c r="P110" s="34"/>
    </row>
    <row r="111" spans="1:16">
      <c r="A111" s="34" t="s">
        <v>15</v>
      </c>
      <c r="B111" s="34">
        <v>1</v>
      </c>
      <c r="C111" s="34"/>
      <c r="D111" s="34"/>
      <c r="E111" s="34"/>
      <c r="F111" s="34"/>
      <c r="G111" s="34"/>
      <c r="H111" s="34"/>
      <c r="I111" s="34"/>
      <c r="J111" s="34"/>
      <c r="K111" s="34"/>
      <c r="L111" s="34"/>
      <c r="M111" s="34"/>
      <c r="N111" s="34"/>
      <c r="O111" s="34"/>
      <c r="P111" s="34"/>
    </row>
    <row r="112" spans="1:16">
      <c r="A112" s="34" t="s">
        <v>16</v>
      </c>
      <c r="B112" s="34" t="s">
        <v>17</v>
      </c>
      <c r="C112" s="34"/>
      <c r="D112" s="34"/>
      <c r="E112" s="34"/>
      <c r="F112" s="34"/>
      <c r="G112" s="34"/>
      <c r="H112" s="34"/>
      <c r="I112" s="34"/>
      <c r="J112" s="34"/>
      <c r="K112" s="34"/>
      <c r="L112" s="34"/>
      <c r="M112" s="34"/>
      <c r="N112" s="34"/>
      <c r="O112" s="34"/>
      <c r="P112" s="34"/>
    </row>
    <row r="113" spans="1:16" ht="15.75">
      <c r="A113" s="34" t="s">
        <v>18</v>
      </c>
      <c r="B113" s="68" t="s">
        <v>37</v>
      </c>
      <c r="C113" s="34"/>
      <c r="D113" s="34"/>
      <c r="E113" s="34" t="s">
        <v>188</v>
      </c>
      <c r="F113" s="34"/>
      <c r="G113" s="34"/>
      <c r="H113" s="34"/>
      <c r="I113" s="34"/>
      <c r="J113" s="34"/>
      <c r="K113" s="34"/>
      <c r="L113" s="34"/>
      <c r="M113" s="34"/>
      <c r="N113" s="34"/>
      <c r="O113" s="34"/>
      <c r="P113" s="34"/>
    </row>
    <row r="114" spans="1:16" ht="15.75">
      <c r="A114" s="69" t="s">
        <v>19</v>
      </c>
      <c r="B114" s="34"/>
      <c r="C114" s="34"/>
      <c r="D114" s="34"/>
      <c r="E114" s="34"/>
      <c r="F114" s="34"/>
      <c r="G114" s="34"/>
      <c r="H114" s="34"/>
      <c r="I114" s="34"/>
      <c r="J114" s="34"/>
      <c r="K114" s="34"/>
      <c r="L114" s="34"/>
      <c r="M114" s="34"/>
      <c r="N114" s="34"/>
      <c r="O114" s="34"/>
      <c r="P114" s="34"/>
    </row>
    <row r="115" spans="1:16" ht="15.75">
      <c r="A115" s="69" t="s">
        <v>20</v>
      </c>
      <c r="B115" s="69" t="s">
        <v>21</v>
      </c>
      <c r="C115" s="69" t="s">
        <v>189</v>
      </c>
      <c r="D115" s="69" t="s">
        <v>18</v>
      </c>
      <c r="E115" s="69" t="s">
        <v>22</v>
      </c>
      <c r="F115" s="69" t="s">
        <v>7</v>
      </c>
      <c r="G115" s="69" t="s">
        <v>13</v>
      </c>
      <c r="H115" s="69" t="s">
        <v>16</v>
      </c>
      <c r="I115" s="69" t="s">
        <v>23</v>
      </c>
      <c r="J115" s="69" t="s">
        <v>24</v>
      </c>
      <c r="K115" s="69" t="s">
        <v>25</v>
      </c>
      <c r="L115" s="69" t="s">
        <v>26</v>
      </c>
      <c r="M115" s="69" t="s">
        <v>27</v>
      </c>
      <c r="N115" s="69" t="s">
        <v>28</v>
      </c>
      <c r="O115" s="69" t="s">
        <v>11</v>
      </c>
      <c r="P115" s="69" t="s">
        <v>393</v>
      </c>
    </row>
    <row r="116" spans="1:16" ht="15.75">
      <c r="A116" s="68" t="str">
        <f>B106</f>
        <v>treatment of composites, fuselage, airframe, conventional, Long-Term</v>
      </c>
      <c r="B116" s="68">
        <v>1</v>
      </c>
      <c r="C116" s="68"/>
      <c r="D116" s="68" t="s">
        <v>37</v>
      </c>
      <c r="E116" s="34" t="s">
        <v>2</v>
      </c>
      <c r="F116" s="34" t="s">
        <v>443</v>
      </c>
      <c r="G116" s="68" t="s">
        <v>57</v>
      </c>
      <c r="H116" s="34" t="s">
        <v>30</v>
      </c>
      <c r="I116" s="34">
        <v>0</v>
      </c>
      <c r="J116" s="68" t="s">
        <v>31</v>
      </c>
      <c r="K116" s="68" t="s">
        <v>31</v>
      </c>
      <c r="L116" s="68" t="s">
        <v>31</v>
      </c>
      <c r="M116" s="68" t="s">
        <v>31</v>
      </c>
      <c r="N116" s="68" t="s">
        <v>31</v>
      </c>
      <c r="O116" s="68" t="s">
        <v>472</v>
      </c>
      <c r="P116" s="34"/>
    </row>
    <row r="117" spans="1:16" ht="15.75">
      <c r="A117" s="73" t="s">
        <v>404</v>
      </c>
      <c r="B117">
        <v>-0.5</v>
      </c>
      <c r="D117" t="s">
        <v>37</v>
      </c>
      <c r="E117" s="74" t="s">
        <v>38</v>
      </c>
      <c r="F117" s="34" t="s">
        <v>443</v>
      </c>
      <c r="G117" t="s">
        <v>91</v>
      </c>
      <c r="H117" t="s">
        <v>33</v>
      </c>
      <c r="I117" s="34">
        <v>0</v>
      </c>
      <c r="J117" s="68" t="s">
        <v>31</v>
      </c>
      <c r="K117" s="68" t="s">
        <v>31</v>
      </c>
      <c r="L117" s="68" t="s">
        <v>31</v>
      </c>
      <c r="M117" s="68" t="s">
        <v>31</v>
      </c>
      <c r="N117" s="68" t="s">
        <v>31</v>
      </c>
      <c r="O117" s="68" t="s">
        <v>406</v>
      </c>
      <c r="P117" s="68" t="s">
        <v>407</v>
      </c>
    </row>
    <row r="118" spans="1:16" ht="15.75">
      <c r="A118" t="s">
        <v>80</v>
      </c>
      <c r="B118">
        <f>B119*0.277777777</f>
        <v>2.415277771015</v>
      </c>
      <c r="D118" t="s">
        <v>81</v>
      </c>
      <c r="E118" s="74" t="s">
        <v>38</v>
      </c>
      <c r="F118" s="34" t="s">
        <v>443</v>
      </c>
      <c r="G118" t="s">
        <v>57</v>
      </c>
      <c r="H118" s="34" t="s">
        <v>135</v>
      </c>
      <c r="I118" s="34">
        <v>0</v>
      </c>
      <c r="J118" s="68" t="s">
        <v>31</v>
      </c>
      <c r="K118" s="68" t="s">
        <v>31</v>
      </c>
      <c r="L118" s="68" t="s">
        <v>31</v>
      </c>
      <c r="M118" s="68" t="s">
        <v>31</v>
      </c>
      <c r="N118" s="68" t="s">
        <v>31</v>
      </c>
      <c r="O118" t="s">
        <v>408</v>
      </c>
    </row>
    <row r="119" spans="1:16" ht="15.75">
      <c r="A119" t="s">
        <v>84</v>
      </c>
      <c r="B119">
        <f>-B117*0.5*34.78</f>
        <v>8.6950000000000003</v>
      </c>
      <c r="D119" t="s">
        <v>85</v>
      </c>
      <c r="E119" s="74" t="s">
        <v>38</v>
      </c>
      <c r="F119" s="34" t="s">
        <v>443</v>
      </c>
      <c r="G119" t="s">
        <v>57</v>
      </c>
      <c r="H119" s="34" t="s">
        <v>135</v>
      </c>
      <c r="I119" s="34">
        <v>0</v>
      </c>
      <c r="J119" s="68" t="s">
        <v>31</v>
      </c>
      <c r="K119" s="68" t="s">
        <v>31</v>
      </c>
      <c r="L119" s="68" t="s">
        <v>31</v>
      </c>
      <c r="M119" s="68" t="s">
        <v>31</v>
      </c>
      <c r="N119" s="68" t="s">
        <v>31</v>
      </c>
      <c r="O119" t="s">
        <v>449</v>
      </c>
    </row>
    <row r="120" spans="1:16" ht="15.75">
      <c r="A120" s="73" t="s">
        <v>410</v>
      </c>
      <c r="B120">
        <v>-0.5</v>
      </c>
      <c r="D120" t="s">
        <v>37</v>
      </c>
      <c r="E120" s="74" t="s">
        <v>38</v>
      </c>
      <c r="F120" s="34" t="s">
        <v>443</v>
      </c>
      <c r="G120" t="s">
        <v>91</v>
      </c>
      <c r="H120" s="34" t="s">
        <v>33</v>
      </c>
      <c r="I120" s="34">
        <v>0</v>
      </c>
      <c r="J120" s="68" t="s">
        <v>31</v>
      </c>
      <c r="K120" s="68" t="s">
        <v>31</v>
      </c>
      <c r="L120" s="68" t="s">
        <v>31</v>
      </c>
      <c r="M120" s="68" t="s">
        <v>31</v>
      </c>
      <c r="N120" s="68" t="s">
        <v>31</v>
      </c>
      <c r="O120" s="68"/>
    </row>
    <row r="121" spans="1:16" s="66" customFormat="1" ht="15.75">
      <c r="A121" s="63" t="s">
        <v>5</v>
      </c>
      <c r="B121" s="63" t="s">
        <v>473</v>
      </c>
      <c r="C121" s="63"/>
      <c r="D121" s="64"/>
      <c r="E121" s="65"/>
      <c r="F121" s="65"/>
      <c r="G121" s="65"/>
      <c r="H121" s="65"/>
      <c r="I121" s="65"/>
      <c r="J121" s="65"/>
      <c r="K121" s="65"/>
      <c r="L121" s="65"/>
      <c r="M121" s="65"/>
      <c r="N121" s="65"/>
      <c r="O121" s="65"/>
      <c r="P121" s="65"/>
    </row>
    <row r="122" spans="1:16">
      <c r="A122" s="34" t="s">
        <v>7</v>
      </c>
      <c r="B122" s="34" t="s">
        <v>395</v>
      </c>
      <c r="C122" s="34"/>
      <c r="D122" s="34"/>
      <c r="E122" s="34"/>
      <c r="F122" s="34"/>
      <c r="G122" s="34"/>
      <c r="H122" s="34"/>
      <c r="I122" s="34"/>
      <c r="J122" s="34"/>
      <c r="K122" s="34"/>
      <c r="L122" s="34"/>
      <c r="M122" s="34"/>
      <c r="N122" s="34"/>
      <c r="O122" s="34"/>
      <c r="P122" s="34"/>
    </row>
    <row r="123" spans="1:16">
      <c r="A123" s="34" t="s">
        <v>9</v>
      </c>
      <c r="B123" s="70" t="s">
        <v>474</v>
      </c>
      <c r="C123" s="34"/>
      <c r="D123" s="34"/>
      <c r="E123" s="34"/>
      <c r="F123" s="34"/>
      <c r="G123" s="34"/>
      <c r="H123" s="34"/>
      <c r="I123" s="34"/>
      <c r="J123" s="34"/>
      <c r="K123" s="34"/>
      <c r="L123" s="34"/>
      <c r="M123" s="34"/>
      <c r="N123" s="34"/>
      <c r="O123" s="34"/>
      <c r="P123" s="34"/>
    </row>
    <row r="124" spans="1:16">
      <c r="A124" s="34" t="s">
        <v>11</v>
      </c>
      <c r="B124" s="34" t="s">
        <v>442</v>
      </c>
      <c r="C124" s="34"/>
      <c r="D124" s="34"/>
      <c r="E124" s="34"/>
      <c r="F124" s="34"/>
      <c r="G124" s="34"/>
      <c r="H124" s="34"/>
      <c r="I124" s="34"/>
      <c r="J124" s="34"/>
      <c r="K124" s="34"/>
      <c r="L124" s="34"/>
      <c r="M124" s="34"/>
      <c r="N124" s="34"/>
      <c r="O124" s="34"/>
      <c r="P124" s="34"/>
    </row>
    <row r="125" spans="1:16">
      <c r="A125" s="34" t="s">
        <v>13</v>
      </c>
      <c r="B125" s="34" t="s">
        <v>57</v>
      </c>
      <c r="C125" s="34"/>
      <c r="D125" s="34"/>
      <c r="E125" s="34"/>
      <c r="F125" s="34"/>
      <c r="G125" s="34"/>
      <c r="H125" s="34"/>
      <c r="I125" s="34"/>
      <c r="J125" s="34"/>
      <c r="K125" s="34"/>
      <c r="L125" s="34"/>
      <c r="M125" s="34"/>
      <c r="N125" s="34"/>
      <c r="O125" s="34"/>
      <c r="P125" s="34"/>
    </row>
    <row r="126" spans="1:16">
      <c r="A126" s="34" t="s">
        <v>15</v>
      </c>
      <c r="B126" s="34">
        <v>1</v>
      </c>
      <c r="C126" s="34"/>
      <c r="D126" s="34"/>
      <c r="E126" s="34"/>
      <c r="F126" s="34"/>
      <c r="G126" s="34"/>
      <c r="H126" s="34"/>
      <c r="I126" s="34"/>
      <c r="J126" s="34"/>
      <c r="K126" s="34"/>
      <c r="L126" s="34"/>
      <c r="M126" s="34"/>
      <c r="N126" s="34"/>
      <c r="O126" s="34"/>
      <c r="P126" s="34"/>
    </row>
    <row r="127" spans="1:16">
      <c r="A127" s="34" t="s">
        <v>16</v>
      </c>
      <c r="B127" s="34" t="s">
        <v>17</v>
      </c>
      <c r="C127" s="34"/>
      <c r="D127" s="34"/>
      <c r="E127" s="34"/>
      <c r="F127" s="34"/>
      <c r="G127" s="34"/>
      <c r="H127" s="34"/>
      <c r="I127" s="34"/>
      <c r="J127" s="34"/>
      <c r="K127" s="34"/>
      <c r="L127" s="34"/>
      <c r="M127" s="34"/>
      <c r="N127" s="34"/>
      <c r="O127" s="34"/>
      <c r="P127" s="34"/>
    </row>
    <row r="128" spans="1:16" ht="15.75">
      <c r="A128" s="34" t="s">
        <v>18</v>
      </c>
      <c r="B128" s="68" t="s">
        <v>37</v>
      </c>
      <c r="C128" s="34"/>
      <c r="D128" s="34"/>
      <c r="E128" s="34" t="s">
        <v>188</v>
      </c>
      <c r="F128" s="34"/>
      <c r="G128" s="34"/>
      <c r="H128" s="34"/>
      <c r="I128" s="34"/>
      <c r="J128" s="34"/>
      <c r="K128" s="34"/>
      <c r="L128" s="34"/>
      <c r="M128" s="34"/>
      <c r="N128" s="34"/>
      <c r="O128" s="34"/>
      <c r="P128" s="34"/>
    </row>
    <row r="129" spans="1:16" ht="15.75">
      <c r="A129" s="69" t="s">
        <v>19</v>
      </c>
      <c r="B129" s="34"/>
      <c r="C129" s="34"/>
      <c r="D129" s="34"/>
      <c r="E129" s="34"/>
      <c r="F129" s="34"/>
      <c r="G129" s="34"/>
      <c r="H129" s="34"/>
      <c r="I129" s="34"/>
      <c r="J129" s="34"/>
      <c r="K129" s="34"/>
      <c r="L129" s="34"/>
      <c r="M129" s="34"/>
      <c r="N129" s="34"/>
      <c r="O129" s="34"/>
      <c r="P129" s="34"/>
    </row>
    <row r="130" spans="1:16" ht="15.75">
      <c r="A130" s="69" t="s">
        <v>20</v>
      </c>
      <c r="B130" s="69" t="s">
        <v>21</v>
      </c>
      <c r="C130" s="69" t="s">
        <v>189</v>
      </c>
      <c r="D130" s="69" t="s">
        <v>18</v>
      </c>
      <c r="E130" s="69" t="s">
        <v>22</v>
      </c>
      <c r="F130" s="69" t="s">
        <v>7</v>
      </c>
      <c r="G130" s="69" t="s">
        <v>13</v>
      </c>
      <c r="H130" s="69" t="s">
        <v>16</v>
      </c>
      <c r="I130" s="69" t="s">
        <v>23</v>
      </c>
      <c r="J130" s="69" t="s">
        <v>24</v>
      </c>
      <c r="K130" s="69" t="s">
        <v>25</v>
      </c>
      <c r="L130" s="69" t="s">
        <v>26</v>
      </c>
      <c r="M130" s="69" t="s">
        <v>27</v>
      </c>
      <c r="N130" s="69" t="s">
        <v>28</v>
      </c>
      <c r="O130" s="69" t="s">
        <v>11</v>
      </c>
      <c r="P130" s="69" t="s">
        <v>393</v>
      </c>
    </row>
    <row r="131" spans="1:16" ht="15.75">
      <c r="A131" s="68" t="str">
        <f>B121</f>
        <v>treatment of steel, fuselage, airframe, conventional, Long-Term</v>
      </c>
      <c r="B131" s="68">
        <v>1</v>
      </c>
      <c r="C131" s="68"/>
      <c r="D131" s="68" t="s">
        <v>37</v>
      </c>
      <c r="E131" s="34" t="s">
        <v>2</v>
      </c>
      <c r="F131" s="34" t="s">
        <v>443</v>
      </c>
      <c r="G131" s="68" t="s">
        <v>57</v>
      </c>
      <c r="H131" s="34" t="s">
        <v>30</v>
      </c>
      <c r="I131" s="34">
        <v>0</v>
      </c>
      <c r="J131" s="68" t="s">
        <v>31</v>
      </c>
      <c r="K131" s="68" t="s">
        <v>31</v>
      </c>
      <c r="L131" s="68" t="s">
        <v>31</v>
      </c>
      <c r="M131" s="68" t="s">
        <v>31</v>
      </c>
      <c r="N131" s="68" t="s">
        <v>31</v>
      </c>
      <c r="O131" s="68" t="s">
        <v>475</v>
      </c>
      <c r="P131" s="34"/>
    </row>
    <row r="132" spans="1:16" ht="15.75">
      <c r="A132" t="s">
        <v>134</v>
      </c>
      <c r="B132" s="22">
        <v>0.85</v>
      </c>
      <c r="C132" s="68"/>
      <c r="D132" s="68" t="s">
        <v>37</v>
      </c>
      <c r="E132" s="73" t="s">
        <v>38</v>
      </c>
      <c r="F132" s="34" t="s">
        <v>443</v>
      </c>
      <c r="G132" s="68" t="s">
        <v>91</v>
      </c>
      <c r="H132" s="34" t="s">
        <v>33</v>
      </c>
      <c r="I132" s="34">
        <v>0</v>
      </c>
      <c r="J132" s="68" t="s">
        <v>31</v>
      </c>
      <c r="K132" s="68" t="s">
        <v>31</v>
      </c>
      <c r="L132" s="68" t="s">
        <v>31</v>
      </c>
      <c r="M132" s="68" t="s">
        <v>31</v>
      </c>
      <c r="N132" s="68" t="s">
        <v>31</v>
      </c>
      <c r="O132" s="34"/>
      <c r="P132" s="34"/>
    </row>
    <row r="133" spans="1:16" ht="15.75">
      <c r="A133" t="s">
        <v>453</v>
      </c>
      <c r="B133" s="22">
        <f>0.9*B132</f>
        <v>0.76500000000000001</v>
      </c>
      <c r="C133" s="68"/>
      <c r="D133" s="68" t="s">
        <v>37</v>
      </c>
      <c r="E133" s="73" t="s">
        <v>38</v>
      </c>
      <c r="F133" s="34" t="s">
        <v>443</v>
      </c>
      <c r="G133" s="68" t="s">
        <v>57</v>
      </c>
      <c r="H133" s="34" t="s">
        <v>135</v>
      </c>
      <c r="I133" s="34">
        <v>0</v>
      </c>
      <c r="J133" s="68" t="s">
        <v>31</v>
      </c>
      <c r="K133" s="68" t="s">
        <v>31</v>
      </c>
      <c r="L133" s="68" t="s">
        <v>31</v>
      </c>
      <c r="M133" s="68" t="s">
        <v>31</v>
      </c>
      <c r="N133" s="68" t="s">
        <v>31</v>
      </c>
      <c r="O133" s="34"/>
      <c r="P133" s="34" t="s">
        <v>454</v>
      </c>
    </row>
    <row r="134" spans="1:16" ht="16.5" customHeight="1">
      <c r="A134" t="s">
        <v>400</v>
      </c>
      <c r="B134" s="22">
        <f>-(1-B133)</f>
        <v>-0.23499999999999999</v>
      </c>
      <c r="D134" t="s">
        <v>37</v>
      </c>
      <c r="E134" s="73" t="s">
        <v>38</v>
      </c>
      <c r="F134" s="34" t="s">
        <v>443</v>
      </c>
      <c r="G134" t="s">
        <v>57</v>
      </c>
      <c r="H134" t="s">
        <v>33</v>
      </c>
      <c r="I134">
        <v>0</v>
      </c>
      <c r="J134" t="s">
        <v>31</v>
      </c>
      <c r="K134" t="s">
        <v>31</v>
      </c>
      <c r="L134" t="s">
        <v>31</v>
      </c>
      <c r="M134" t="s">
        <v>31</v>
      </c>
      <c r="N134" t="s">
        <v>31</v>
      </c>
      <c r="O134" s="17"/>
      <c r="P134" s="34" t="s">
        <v>455</v>
      </c>
    </row>
    <row r="135" spans="1:16" s="66" customFormat="1" ht="15.75">
      <c r="A135" s="63" t="s">
        <v>5</v>
      </c>
      <c r="B135" s="63" t="s">
        <v>476</v>
      </c>
      <c r="C135" s="63"/>
      <c r="D135" s="64"/>
      <c r="E135" s="65"/>
      <c r="F135" s="65"/>
      <c r="G135" s="65"/>
      <c r="H135" s="65"/>
      <c r="I135" s="65"/>
      <c r="J135" s="65"/>
      <c r="K135" s="65"/>
      <c r="L135" s="65"/>
      <c r="M135" s="65"/>
      <c r="N135" s="65"/>
      <c r="O135" s="65"/>
      <c r="P135" s="65"/>
    </row>
    <row r="136" spans="1:16">
      <c r="A136" s="34" t="s">
        <v>7</v>
      </c>
      <c r="B136" s="34" t="s">
        <v>395</v>
      </c>
      <c r="C136" s="34"/>
      <c r="D136" s="34"/>
      <c r="E136" s="34"/>
      <c r="F136" s="34"/>
      <c r="G136" s="34"/>
      <c r="H136" s="34"/>
      <c r="I136" s="34"/>
      <c r="J136" s="34"/>
      <c r="K136" s="34"/>
      <c r="L136" s="34"/>
      <c r="M136" s="34"/>
      <c r="N136" s="34"/>
      <c r="O136" s="34"/>
      <c r="P136" s="34"/>
    </row>
    <row r="137" spans="1:16">
      <c r="A137" s="34" t="s">
        <v>9</v>
      </c>
      <c r="B137" s="70" t="s">
        <v>477</v>
      </c>
      <c r="C137" s="34"/>
      <c r="D137" s="34"/>
      <c r="E137" s="34"/>
      <c r="F137" s="34"/>
      <c r="G137" s="34"/>
      <c r="H137" s="34"/>
      <c r="I137" s="34"/>
      <c r="J137" s="34"/>
      <c r="K137" s="34"/>
      <c r="L137" s="34"/>
      <c r="M137" s="34"/>
      <c r="N137" s="34"/>
      <c r="O137" s="34"/>
      <c r="P137" s="34"/>
    </row>
    <row r="138" spans="1:16">
      <c r="A138" s="34" t="s">
        <v>11</v>
      </c>
      <c r="B138" s="34" t="s">
        <v>442</v>
      </c>
      <c r="C138" s="34"/>
      <c r="D138" s="34"/>
      <c r="E138" s="34"/>
      <c r="F138" s="34"/>
      <c r="G138" s="34"/>
      <c r="H138" s="34"/>
      <c r="I138" s="34"/>
      <c r="J138" s="34"/>
      <c r="K138" s="34"/>
      <c r="L138" s="34"/>
      <c r="M138" s="34"/>
      <c r="N138" s="34"/>
      <c r="O138" s="34"/>
      <c r="P138" s="34"/>
    </row>
    <row r="139" spans="1:16">
      <c r="A139" s="34" t="s">
        <v>13</v>
      </c>
      <c r="B139" s="34" t="s">
        <v>57</v>
      </c>
      <c r="C139" s="34"/>
      <c r="D139" s="34"/>
      <c r="E139" s="34"/>
      <c r="F139" s="34"/>
      <c r="G139" s="34"/>
      <c r="H139" s="34"/>
      <c r="I139" s="34"/>
      <c r="J139" s="34"/>
      <c r="K139" s="34"/>
      <c r="L139" s="34"/>
      <c r="M139" s="34"/>
      <c r="N139" s="34"/>
      <c r="O139" s="34"/>
      <c r="P139" s="34"/>
    </row>
    <row r="140" spans="1:16">
      <c r="A140" s="34" t="s">
        <v>15</v>
      </c>
      <c r="B140" s="34">
        <v>1</v>
      </c>
      <c r="C140" s="34"/>
      <c r="D140" s="34"/>
      <c r="E140" s="34"/>
      <c r="F140" s="34"/>
      <c r="G140" s="34"/>
      <c r="H140" s="34"/>
      <c r="I140" s="34"/>
      <c r="J140" s="34"/>
      <c r="K140" s="34"/>
      <c r="L140" s="34"/>
      <c r="M140" s="34"/>
      <c r="N140" s="34"/>
      <c r="O140" s="34"/>
      <c r="P140" s="34"/>
    </row>
    <row r="141" spans="1:16">
      <c r="A141" s="34" t="s">
        <v>16</v>
      </c>
      <c r="B141" s="34" t="s">
        <v>17</v>
      </c>
      <c r="C141" s="34"/>
      <c r="D141" s="34"/>
      <c r="E141" s="34"/>
      <c r="F141" s="34"/>
      <c r="G141" s="34"/>
      <c r="H141" s="34"/>
      <c r="I141" s="34"/>
      <c r="J141" s="34"/>
      <c r="K141" s="34"/>
      <c r="L141" s="34"/>
      <c r="M141" s="34"/>
      <c r="N141" s="34"/>
      <c r="O141" s="34"/>
      <c r="P141" s="34"/>
    </row>
    <row r="142" spans="1:16" ht="15.75">
      <c r="A142" s="34" t="s">
        <v>18</v>
      </c>
      <c r="B142" s="68" t="s">
        <v>37</v>
      </c>
      <c r="C142" s="34"/>
      <c r="D142" s="34"/>
      <c r="E142" s="34" t="s">
        <v>188</v>
      </c>
      <c r="F142" s="34"/>
      <c r="G142" s="34"/>
      <c r="H142" s="34"/>
      <c r="I142" s="34"/>
      <c r="J142" s="34"/>
      <c r="K142" s="34"/>
      <c r="L142" s="34"/>
      <c r="M142" s="34"/>
      <c r="N142" s="34"/>
      <c r="O142" s="34"/>
      <c r="P142" s="34"/>
    </row>
    <row r="143" spans="1:16" ht="15.75">
      <c r="A143" s="69" t="s">
        <v>19</v>
      </c>
      <c r="B143" s="34"/>
      <c r="C143" s="34"/>
      <c r="D143" s="34"/>
      <c r="E143" s="34"/>
      <c r="F143" s="34"/>
      <c r="G143" s="34"/>
      <c r="H143" s="34"/>
      <c r="I143" s="34"/>
      <c r="J143" s="34"/>
      <c r="K143" s="34"/>
      <c r="L143" s="34"/>
      <c r="M143" s="34"/>
      <c r="N143" s="34"/>
      <c r="O143" s="34"/>
      <c r="P143" s="34"/>
    </row>
    <row r="144" spans="1:16" ht="15.75">
      <c r="A144" s="69" t="s">
        <v>20</v>
      </c>
      <c r="B144" s="69" t="s">
        <v>21</v>
      </c>
      <c r="C144" s="69" t="s">
        <v>189</v>
      </c>
      <c r="D144" s="69" t="s">
        <v>18</v>
      </c>
      <c r="E144" s="69" t="s">
        <v>22</v>
      </c>
      <c r="F144" s="69" t="s">
        <v>7</v>
      </c>
      <c r="G144" s="69" t="s">
        <v>13</v>
      </c>
      <c r="H144" s="69" t="s">
        <v>16</v>
      </c>
      <c r="I144" s="69" t="s">
        <v>23</v>
      </c>
      <c r="J144" s="69" t="s">
        <v>24</v>
      </c>
      <c r="K144" s="69" t="s">
        <v>25</v>
      </c>
      <c r="L144" s="69" t="s">
        <v>26</v>
      </c>
      <c r="M144" s="69" t="s">
        <v>27</v>
      </c>
      <c r="N144" s="69" t="s">
        <v>28</v>
      </c>
      <c r="O144" s="69" t="s">
        <v>11</v>
      </c>
      <c r="P144" s="69" t="s">
        <v>393</v>
      </c>
    </row>
    <row r="145" spans="1:22" ht="15.75">
      <c r="A145" s="68" t="str">
        <f>B135</f>
        <v>treatment of titanium, fuselage, airframe, conventional, Long-Term</v>
      </c>
      <c r="B145" s="68">
        <v>1</v>
      </c>
      <c r="C145" s="68"/>
      <c r="D145" s="68" t="s">
        <v>37</v>
      </c>
      <c r="E145" s="34" t="s">
        <v>2</v>
      </c>
      <c r="F145" s="34" t="s">
        <v>443</v>
      </c>
      <c r="G145" s="68" t="s">
        <v>57</v>
      </c>
      <c r="H145" s="34" t="s">
        <v>30</v>
      </c>
      <c r="I145" s="34">
        <v>0</v>
      </c>
      <c r="J145" s="68" t="s">
        <v>31</v>
      </c>
      <c r="K145" s="68" t="s">
        <v>31</v>
      </c>
      <c r="L145" s="68" t="s">
        <v>31</v>
      </c>
      <c r="M145" s="68" t="s">
        <v>31</v>
      </c>
      <c r="N145" s="68" t="s">
        <v>31</v>
      </c>
      <c r="O145" s="68" t="s">
        <v>452</v>
      </c>
      <c r="P145" s="34"/>
    </row>
    <row r="146" spans="1:22">
      <c r="A146" t="s">
        <v>211</v>
      </c>
      <c r="B146">
        <f>U146</f>
        <v>19.0000152</v>
      </c>
      <c r="D146" t="s">
        <v>81</v>
      </c>
      <c r="E146" t="s">
        <v>38</v>
      </c>
      <c r="F146" s="34" t="s">
        <v>443</v>
      </c>
      <c r="G146" t="s">
        <v>57</v>
      </c>
      <c r="H146" t="s">
        <v>33</v>
      </c>
      <c r="I146">
        <v>2</v>
      </c>
      <c r="J146">
        <v>9.398101209</v>
      </c>
      <c r="K146">
        <v>0.30331501799999999</v>
      </c>
      <c r="L146" t="s">
        <v>31</v>
      </c>
      <c r="M146" t="s">
        <v>31</v>
      </c>
      <c r="N146" t="s">
        <v>31</v>
      </c>
      <c r="O146" t="s">
        <v>478</v>
      </c>
      <c r="P146" t="s">
        <v>479</v>
      </c>
      <c r="Q146" s="61" t="s">
        <v>458</v>
      </c>
      <c r="S146" s="61">
        <f>114*0.6</f>
        <v>68.399999999999991</v>
      </c>
      <c r="T146" s="61" t="s">
        <v>195</v>
      </c>
      <c r="U146" s="61">
        <f>S146*0.277778</f>
        <v>19.0000152</v>
      </c>
      <c r="V146" s="61" t="s">
        <v>194</v>
      </c>
    </row>
    <row r="147" spans="1:22">
      <c r="A147" t="s">
        <v>83</v>
      </c>
      <c r="B147">
        <f>U147</f>
        <v>1.1906005221932117</v>
      </c>
      <c r="D147" t="s">
        <v>48</v>
      </c>
      <c r="E147" t="s">
        <v>38</v>
      </c>
      <c r="F147" s="34" t="s">
        <v>443</v>
      </c>
      <c r="G147" t="s">
        <v>232</v>
      </c>
      <c r="H147" t="s">
        <v>33</v>
      </c>
      <c r="I147">
        <v>2</v>
      </c>
      <c r="J147">
        <v>6.6281192500000001</v>
      </c>
      <c r="K147">
        <v>0.30331501799999999</v>
      </c>
      <c r="L147" t="s">
        <v>31</v>
      </c>
      <c r="M147" t="s">
        <v>31</v>
      </c>
      <c r="N147" t="s">
        <v>31</v>
      </c>
      <c r="O147" t="s">
        <v>480</v>
      </c>
      <c r="P147" t="s">
        <v>481</v>
      </c>
      <c r="Q147" s="61" t="s">
        <v>459</v>
      </c>
      <c r="S147" s="61">
        <f>114*0.4</f>
        <v>45.6</v>
      </c>
      <c r="T147" s="61" t="s">
        <v>195</v>
      </c>
      <c r="U147" s="61">
        <f>S147/38.3</f>
        <v>1.1906005221932117</v>
      </c>
      <c r="V147" s="61" t="s">
        <v>235</v>
      </c>
    </row>
    <row r="148" spans="1:22" ht="15.75">
      <c r="A148" t="s">
        <v>400</v>
      </c>
      <c r="B148" s="22">
        <f>-1</f>
        <v>-1</v>
      </c>
      <c r="D148" t="s">
        <v>37</v>
      </c>
      <c r="E148" s="73" t="s">
        <v>38</v>
      </c>
      <c r="F148" s="34" t="s">
        <v>443</v>
      </c>
      <c r="G148" t="s">
        <v>57</v>
      </c>
      <c r="H148" t="s">
        <v>33</v>
      </c>
      <c r="I148">
        <v>0</v>
      </c>
      <c r="J148" t="s">
        <v>31</v>
      </c>
      <c r="K148" t="s">
        <v>31</v>
      </c>
      <c r="L148" t="s">
        <v>31</v>
      </c>
      <c r="M148" t="s">
        <v>31</v>
      </c>
      <c r="N148" t="s">
        <v>31</v>
      </c>
      <c r="O148" s="17"/>
      <c r="P148" s="34" t="s">
        <v>482</v>
      </c>
    </row>
    <row r="149" spans="1:22" s="66" customFormat="1" ht="15.75">
      <c r="A149" s="63" t="s">
        <v>5</v>
      </c>
      <c r="B149" s="63" t="s">
        <v>483</v>
      </c>
      <c r="C149" s="63"/>
      <c r="D149" s="64"/>
      <c r="E149" s="65"/>
      <c r="F149" s="65"/>
      <c r="G149" s="65"/>
      <c r="H149" s="65"/>
      <c r="I149" s="65"/>
      <c r="J149" s="65"/>
      <c r="K149" s="65"/>
      <c r="L149" s="65"/>
      <c r="M149" s="65"/>
      <c r="N149" s="65"/>
      <c r="O149" s="65"/>
      <c r="P149" s="65"/>
    </row>
    <row r="150" spans="1:22">
      <c r="A150" s="34" t="s">
        <v>7</v>
      </c>
      <c r="B150" s="34" t="s">
        <v>395</v>
      </c>
      <c r="C150" s="34"/>
      <c r="D150" s="34"/>
      <c r="E150" s="34"/>
      <c r="F150" s="34"/>
      <c r="G150" s="34"/>
      <c r="H150" s="34"/>
      <c r="I150" s="34"/>
      <c r="J150" s="34"/>
      <c r="K150" s="34"/>
      <c r="L150" s="34"/>
      <c r="M150" s="34"/>
      <c r="N150" s="34"/>
      <c r="O150" s="34"/>
      <c r="P150" s="34"/>
    </row>
    <row r="151" spans="1:22">
      <c r="A151" s="34" t="s">
        <v>9</v>
      </c>
      <c r="B151" s="67" t="s">
        <v>484</v>
      </c>
      <c r="C151" s="34"/>
      <c r="D151" s="34"/>
      <c r="E151" s="34"/>
      <c r="F151" s="34"/>
      <c r="G151" s="34"/>
      <c r="H151" s="34"/>
      <c r="I151" s="34"/>
      <c r="J151" s="34"/>
      <c r="K151" s="34"/>
      <c r="L151" s="34"/>
      <c r="M151" s="34"/>
      <c r="N151" s="34"/>
      <c r="O151" s="34"/>
      <c r="P151" s="34"/>
    </row>
    <row r="152" spans="1:22">
      <c r="A152" s="34" t="s">
        <v>11</v>
      </c>
      <c r="B152" s="34" t="s">
        <v>442</v>
      </c>
      <c r="C152" s="34"/>
      <c r="D152" s="34"/>
      <c r="E152" s="34"/>
      <c r="F152" s="34"/>
      <c r="G152" s="34"/>
      <c r="H152" s="34"/>
      <c r="I152" s="34"/>
      <c r="J152" s="34"/>
      <c r="K152" s="34"/>
      <c r="L152" s="34"/>
      <c r="M152" s="34"/>
      <c r="N152" s="34"/>
      <c r="O152" s="34"/>
      <c r="P152" s="34"/>
    </row>
    <row r="153" spans="1:22">
      <c r="A153" s="34" t="s">
        <v>13</v>
      </c>
      <c r="B153" s="34" t="s">
        <v>57</v>
      </c>
      <c r="C153" s="34"/>
      <c r="D153" s="34"/>
      <c r="E153" s="34"/>
      <c r="F153" s="34"/>
      <c r="G153" s="34"/>
      <c r="H153" s="34"/>
      <c r="I153" s="34"/>
      <c r="J153" s="34"/>
      <c r="K153" s="34"/>
      <c r="L153" s="34"/>
      <c r="M153" s="34"/>
      <c r="N153" s="34"/>
      <c r="O153" s="34"/>
      <c r="P153" s="34"/>
    </row>
    <row r="154" spans="1:22">
      <c r="A154" s="34" t="s">
        <v>15</v>
      </c>
      <c r="B154" s="34">
        <v>1</v>
      </c>
      <c r="C154" s="34"/>
      <c r="D154" s="34"/>
      <c r="E154" s="34"/>
      <c r="F154" s="34"/>
      <c r="G154" s="34"/>
      <c r="H154" s="34"/>
      <c r="I154" s="34"/>
      <c r="J154" s="34"/>
      <c r="K154" s="34"/>
      <c r="L154" s="34"/>
      <c r="M154" s="34"/>
      <c r="N154" s="34"/>
      <c r="O154" s="34"/>
      <c r="P154" s="34"/>
    </row>
    <row r="155" spans="1:22">
      <c r="A155" s="34" t="s">
        <v>16</v>
      </c>
      <c r="B155" s="34" t="s">
        <v>17</v>
      </c>
      <c r="C155" s="34"/>
      <c r="D155" s="34"/>
      <c r="E155" s="34"/>
      <c r="F155" s="34"/>
      <c r="G155" s="34"/>
      <c r="H155" s="34"/>
      <c r="I155" s="34"/>
      <c r="J155" s="34"/>
      <c r="K155" s="34"/>
      <c r="L155" s="34"/>
      <c r="M155" s="34"/>
      <c r="N155" s="34"/>
      <c r="O155" s="34"/>
      <c r="P155" s="34"/>
    </row>
    <row r="156" spans="1:22" ht="15.75">
      <c r="A156" s="34" t="s">
        <v>18</v>
      </c>
      <c r="B156" s="68" t="s">
        <v>37</v>
      </c>
      <c r="C156" s="34"/>
      <c r="D156" s="34"/>
      <c r="E156" s="34" t="s">
        <v>188</v>
      </c>
      <c r="F156" s="34"/>
      <c r="G156" s="34"/>
      <c r="H156" s="34"/>
      <c r="I156" s="34"/>
      <c r="J156" s="34"/>
      <c r="K156" s="34"/>
      <c r="L156" s="34"/>
      <c r="M156" s="34"/>
      <c r="N156" s="34"/>
      <c r="O156" s="34"/>
      <c r="P156" s="34"/>
    </row>
    <row r="157" spans="1:22" ht="15.75">
      <c r="A157" s="69" t="s">
        <v>19</v>
      </c>
      <c r="B157" s="34"/>
      <c r="C157" s="34"/>
      <c r="D157" s="34"/>
      <c r="E157" s="34"/>
      <c r="F157" s="34"/>
      <c r="G157" s="34"/>
      <c r="H157" s="34"/>
      <c r="I157" s="34"/>
      <c r="J157" s="34"/>
      <c r="K157" s="34"/>
      <c r="L157" s="34"/>
      <c r="M157" s="34"/>
      <c r="N157" s="34"/>
      <c r="O157" s="34"/>
      <c r="P157" s="34"/>
    </row>
    <row r="158" spans="1:22" ht="15.75">
      <c r="A158" s="69" t="s">
        <v>20</v>
      </c>
      <c r="B158" s="69" t="s">
        <v>21</v>
      </c>
      <c r="C158" s="69" t="s">
        <v>189</v>
      </c>
      <c r="D158" s="69" t="s">
        <v>18</v>
      </c>
      <c r="E158" s="69" t="s">
        <v>22</v>
      </c>
      <c r="F158" s="69" t="s">
        <v>7</v>
      </c>
      <c r="G158" s="69" t="s">
        <v>13</v>
      </c>
      <c r="H158" s="69" t="s">
        <v>16</v>
      </c>
      <c r="I158" s="69" t="s">
        <v>23</v>
      </c>
      <c r="J158" s="69" t="s">
        <v>24</v>
      </c>
      <c r="K158" s="69" t="s">
        <v>25</v>
      </c>
      <c r="L158" s="69" t="s">
        <v>26</v>
      </c>
      <c r="M158" s="69" t="s">
        <v>27</v>
      </c>
      <c r="N158" s="69" t="s">
        <v>28</v>
      </c>
      <c r="O158" s="69" t="s">
        <v>11</v>
      </c>
      <c r="P158" s="69" t="s">
        <v>393</v>
      </c>
    </row>
    <row r="159" spans="1:22" ht="15.75">
      <c r="A159" s="68" t="str">
        <f>B149</f>
        <v>treatment of system, frunishing and, operative equipment, airframe, conventional, Long-Term</v>
      </c>
      <c r="B159" s="68">
        <v>1</v>
      </c>
      <c r="C159" s="68"/>
      <c r="D159" s="68" t="s">
        <v>37</v>
      </c>
      <c r="E159" s="34" t="s">
        <v>2</v>
      </c>
      <c r="F159" s="34" t="s">
        <v>443</v>
      </c>
      <c r="G159" s="68" t="s">
        <v>57</v>
      </c>
      <c r="H159" s="34" t="s">
        <v>30</v>
      </c>
      <c r="I159" s="34">
        <v>0</v>
      </c>
      <c r="J159" s="68" t="s">
        <v>31</v>
      </c>
      <c r="K159" s="68" t="s">
        <v>31</v>
      </c>
      <c r="L159" s="68" t="s">
        <v>31</v>
      </c>
      <c r="M159" s="68" t="s">
        <v>31</v>
      </c>
      <c r="N159" s="68" t="s">
        <v>31</v>
      </c>
      <c r="O159" s="68"/>
      <c r="P159" s="34"/>
    </row>
    <row r="160" spans="1:22" ht="15.75">
      <c r="A160" t="str">
        <f>B91</f>
        <v>treatment of aluminium, fuselage, airframe, conventional, Long-Term</v>
      </c>
      <c r="B160">
        <v>430.15800000000013</v>
      </c>
      <c r="D160" s="68" t="s">
        <v>37</v>
      </c>
      <c r="E160" s="34" t="s">
        <v>2</v>
      </c>
      <c r="F160" s="34" t="s">
        <v>443</v>
      </c>
      <c r="G160" s="68" t="s">
        <v>57</v>
      </c>
      <c r="H160" s="34" t="s">
        <v>30</v>
      </c>
      <c r="I160" s="34">
        <v>0</v>
      </c>
      <c r="J160" s="68" t="s">
        <v>31</v>
      </c>
      <c r="K160" s="68" t="s">
        <v>31</v>
      </c>
      <c r="L160" s="68" t="s">
        <v>31</v>
      </c>
      <c r="M160" s="68" t="s">
        <v>31</v>
      </c>
      <c r="N160" s="68" t="s">
        <v>31</v>
      </c>
      <c r="O160" s="68" t="s">
        <v>485</v>
      </c>
    </row>
    <row r="161" spans="1:16" ht="15.75">
      <c r="A161" s="73" t="s">
        <v>437</v>
      </c>
      <c r="B161" s="34">
        <v>420.41844479999997</v>
      </c>
      <c r="D161" t="s">
        <v>37</v>
      </c>
      <c r="E161" s="74" t="s">
        <v>38</v>
      </c>
      <c r="F161" s="34" t="s">
        <v>443</v>
      </c>
      <c r="G161" t="s">
        <v>91</v>
      </c>
      <c r="H161" t="s">
        <v>33</v>
      </c>
      <c r="I161" s="34">
        <v>0</v>
      </c>
      <c r="J161" s="68" t="s">
        <v>31</v>
      </c>
      <c r="K161" s="68" t="s">
        <v>31</v>
      </c>
      <c r="L161" s="68" t="s">
        <v>31</v>
      </c>
      <c r="M161" s="68" t="s">
        <v>31</v>
      </c>
      <c r="N161" s="68" t="s">
        <v>31</v>
      </c>
      <c r="O161" s="68" t="s">
        <v>486</v>
      </c>
    </row>
    <row r="162" spans="1:16">
      <c r="A162" t="s">
        <v>400</v>
      </c>
      <c r="B162" s="22">
        <v>-47.819000000000003</v>
      </c>
      <c r="D162" t="s">
        <v>37</v>
      </c>
      <c r="E162" s="73" t="s">
        <v>38</v>
      </c>
      <c r="F162" s="34" t="s">
        <v>443</v>
      </c>
      <c r="G162" t="s">
        <v>57</v>
      </c>
      <c r="H162" t="s">
        <v>33</v>
      </c>
      <c r="I162">
        <v>0</v>
      </c>
      <c r="J162" t="s">
        <v>31</v>
      </c>
      <c r="K162" t="s">
        <v>31</v>
      </c>
      <c r="L162" t="s">
        <v>31</v>
      </c>
      <c r="M162" t="s">
        <v>31</v>
      </c>
      <c r="N162" t="s">
        <v>31</v>
      </c>
      <c r="O162" s="34" t="s">
        <v>487</v>
      </c>
    </row>
    <row r="163" spans="1:16">
      <c r="A163" t="s">
        <v>400</v>
      </c>
      <c r="B163">
        <v>-7.3369999999999997</v>
      </c>
      <c r="D163" t="s">
        <v>37</v>
      </c>
      <c r="E163" s="73" t="s">
        <v>38</v>
      </c>
      <c r="F163" s="34" t="s">
        <v>443</v>
      </c>
      <c r="G163" t="s">
        <v>57</v>
      </c>
      <c r="H163" t="s">
        <v>33</v>
      </c>
      <c r="I163">
        <v>0</v>
      </c>
      <c r="J163" t="s">
        <v>31</v>
      </c>
      <c r="K163" t="s">
        <v>31</v>
      </c>
      <c r="L163" t="s">
        <v>31</v>
      </c>
      <c r="M163" t="s">
        <v>31</v>
      </c>
      <c r="N163" t="s">
        <v>31</v>
      </c>
      <c r="O163" s="34" t="s">
        <v>488</v>
      </c>
    </row>
    <row r="164" spans="1:16" ht="15.75">
      <c r="A164" s="73" t="s">
        <v>437</v>
      </c>
      <c r="B164" s="34">
        <v>133.7013024</v>
      </c>
      <c r="D164" t="s">
        <v>37</v>
      </c>
      <c r="E164" s="74" t="s">
        <v>38</v>
      </c>
      <c r="F164" s="34" t="s">
        <v>443</v>
      </c>
      <c r="G164" t="s">
        <v>91</v>
      </c>
      <c r="H164" t="s">
        <v>33</v>
      </c>
      <c r="I164" s="34">
        <v>0</v>
      </c>
      <c r="J164" s="68" t="s">
        <v>31</v>
      </c>
      <c r="K164" s="68" t="s">
        <v>31</v>
      </c>
      <c r="L164" s="68" t="s">
        <v>31</v>
      </c>
      <c r="M164" s="68" t="s">
        <v>31</v>
      </c>
      <c r="N164" s="68" t="s">
        <v>31</v>
      </c>
      <c r="O164" s="68" t="s">
        <v>489</v>
      </c>
    </row>
    <row r="165" spans="1:16" ht="15.75">
      <c r="A165" s="73" t="s">
        <v>437</v>
      </c>
      <c r="B165" s="34">
        <v>10</v>
      </c>
      <c r="D165" t="s">
        <v>37</v>
      </c>
      <c r="E165" s="74" t="s">
        <v>38</v>
      </c>
      <c r="F165" s="34" t="s">
        <v>443</v>
      </c>
      <c r="G165" t="s">
        <v>91</v>
      </c>
      <c r="H165" t="s">
        <v>33</v>
      </c>
      <c r="I165" s="34">
        <v>0</v>
      </c>
      <c r="J165" s="68" t="s">
        <v>31</v>
      </c>
      <c r="K165" s="68" t="s">
        <v>31</v>
      </c>
      <c r="L165" s="68" t="s">
        <v>31</v>
      </c>
      <c r="M165" s="68" t="s">
        <v>31</v>
      </c>
      <c r="N165" s="68" t="s">
        <v>31</v>
      </c>
      <c r="O165" s="68" t="s">
        <v>490</v>
      </c>
    </row>
    <row r="166" spans="1:16" ht="15.75">
      <c r="A166" s="73" t="s">
        <v>437</v>
      </c>
      <c r="B166" s="34">
        <v>10.5</v>
      </c>
      <c r="D166" t="s">
        <v>37</v>
      </c>
      <c r="E166" s="74" t="s">
        <v>38</v>
      </c>
      <c r="F166" s="34" t="s">
        <v>443</v>
      </c>
      <c r="G166" t="s">
        <v>91</v>
      </c>
      <c r="H166" t="s">
        <v>33</v>
      </c>
      <c r="I166" s="34">
        <v>0</v>
      </c>
      <c r="J166" s="68" t="s">
        <v>31</v>
      </c>
      <c r="K166" s="68" t="s">
        <v>31</v>
      </c>
      <c r="L166" s="68" t="s">
        <v>31</v>
      </c>
      <c r="M166" s="68" t="s">
        <v>31</v>
      </c>
      <c r="N166" s="68" t="s">
        <v>31</v>
      </c>
      <c r="O166" s="68" t="s">
        <v>491</v>
      </c>
    </row>
    <row r="167" spans="1:16" ht="15.75">
      <c r="A167" t="s">
        <v>400</v>
      </c>
      <c r="B167" s="34">
        <v>-6.26</v>
      </c>
      <c r="D167" t="s">
        <v>37</v>
      </c>
      <c r="E167" s="73" t="s">
        <v>38</v>
      </c>
      <c r="F167" s="34" t="s">
        <v>443</v>
      </c>
      <c r="G167" t="s">
        <v>57</v>
      </c>
      <c r="H167" t="s">
        <v>33</v>
      </c>
      <c r="I167">
        <v>0</v>
      </c>
      <c r="J167" t="s">
        <v>31</v>
      </c>
      <c r="K167" t="s">
        <v>31</v>
      </c>
      <c r="L167" t="s">
        <v>31</v>
      </c>
      <c r="M167" t="s">
        <v>31</v>
      </c>
      <c r="N167" t="s">
        <v>31</v>
      </c>
      <c r="O167" s="68" t="s">
        <v>492</v>
      </c>
    </row>
    <row r="168" spans="1:16">
      <c r="A168" t="s">
        <v>400</v>
      </c>
      <c r="B168" s="34">
        <v>-15.526999999999999</v>
      </c>
      <c r="D168" t="s">
        <v>37</v>
      </c>
      <c r="E168" s="73" t="s">
        <v>38</v>
      </c>
      <c r="F168" s="34" t="s">
        <v>443</v>
      </c>
      <c r="G168" t="s">
        <v>57</v>
      </c>
      <c r="H168" t="s">
        <v>33</v>
      </c>
      <c r="I168">
        <v>0</v>
      </c>
      <c r="J168" t="s">
        <v>31</v>
      </c>
      <c r="K168" t="s">
        <v>31</v>
      </c>
      <c r="L168" t="s">
        <v>31</v>
      </c>
      <c r="M168" t="s">
        <v>31</v>
      </c>
      <c r="N168" t="s">
        <v>31</v>
      </c>
      <c r="O168" s="34" t="s">
        <v>493</v>
      </c>
    </row>
    <row r="169" spans="1:16" s="79" customFormat="1" ht="15.75">
      <c r="A169" s="76" t="s">
        <v>5</v>
      </c>
      <c r="B169" s="76" t="s">
        <v>494</v>
      </c>
      <c r="C169" s="76"/>
      <c r="D169" s="77"/>
      <c r="E169" s="78"/>
      <c r="F169" s="78"/>
      <c r="G169" s="78"/>
      <c r="H169" s="78"/>
      <c r="I169" s="78"/>
      <c r="J169" s="78"/>
      <c r="K169" s="78"/>
      <c r="L169" s="78"/>
      <c r="M169" s="78"/>
      <c r="N169" s="78"/>
      <c r="O169" s="78"/>
      <c r="P169" s="78"/>
    </row>
    <row r="170" spans="1:16">
      <c r="A170" s="34" t="s">
        <v>7</v>
      </c>
      <c r="B170" s="34" t="s">
        <v>395</v>
      </c>
      <c r="C170" s="34"/>
      <c r="D170" s="34"/>
      <c r="E170" s="34"/>
      <c r="F170" s="34"/>
      <c r="G170" s="34"/>
      <c r="H170" s="34"/>
      <c r="I170" s="34"/>
      <c r="J170" s="34"/>
      <c r="K170" s="34"/>
      <c r="L170" s="34"/>
      <c r="M170" s="34"/>
      <c r="N170" s="34"/>
      <c r="O170" s="34"/>
      <c r="P170" s="34"/>
    </row>
    <row r="171" spans="1:16">
      <c r="A171" s="34" t="s">
        <v>9</v>
      </c>
      <c r="B171" s="70" t="s">
        <v>495</v>
      </c>
      <c r="C171" s="34"/>
      <c r="D171" s="34"/>
      <c r="E171" s="34"/>
      <c r="F171" s="34"/>
      <c r="G171" s="34"/>
      <c r="H171" s="34"/>
      <c r="I171" s="34"/>
      <c r="J171" s="34"/>
      <c r="K171" s="34"/>
      <c r="L171" s="34"/>
      <c r="M171" s="34"/>
      <c r="N171" s="34"/>
      <c r="O171" s="34"/>
      <c r="P171" s="34"/>
    </row>
    <row r="172" spans="1:16">
      <c r="A172" s="34" t="s">
        <v>11</v>
      </c>
      <c r="B172" s="34" t="s">
        <v>496</v>
      </c>
      <c r="C172" s="34"/>
      <c r="D172" s="34"/>
      <c r="E172" s="34"/>
      <c r="F172" s="34"/>
      <c r="G172" s="34"/>
      <c r="H172" s="34"/>
      <c r="I172" s="34"/>
      <c r="J172" s="34"/>
      <c r="K172" s="34"/>
      <c r="L172" s="34"/>
      <c r="M172" s="34"/>
      <c r="N172" s="34"/>
      <c r="O172" s="34"/>
      <c r="P172" s="34"/>
    </row>
    <row r="173" spans="1:16">
      <c r="A173" s="34" t="s">
        <v>13</v>
      </c>
      <c r="B173" s="34" t="s">
        <v>57</v>
      </c>
      <c r="C173" s="34"/>
      <c r="D173" s="34"/>
      <c r="E173" s="34"/>
      <c r="F173" s="34"/>
      <c r="G173" s="34"/>
      <c r="H173" s="34"/>
      <c r="I173" s="34"/>
      <c r="J173" s="34"/>
      <c r="K173" s="34"/>
      <c r="L173" s="34"/>
      <c r="M173" s="34"/>
      <c r="N173" s="34"/>
      <c r="O173" s="34"/>
      <c r="P173" s="34"/>
    </row>
    <row r="174" spans="1:16">
      <c r="A174" s="34" t="s">
        <v>15</v>
      </c>
      <c r="B174" s="34">
        <v>1</v>
      </c>
      <c r="C174" s="34"/>
      <c r="D174" s="34"/>
      <c r="E174" s="34"/>
      <c r="F174" s="34"/>
      <c r="G174" s="34"/>
      <c r="H174" s="34"/>
      <c r="I174" s="34"/>
      <c r="J174" s="34"/>
      <c r="K174" s="34"/>
      <c r="L174" s="34"/>
      <c r="M174" s="34"/>
      <c r="N174" s="34"/>
      <c r="O174" s="34"/>
      <c r="P174" s="34"/>
    </row>
    <row r="175" spans="1:16">
      <c r="A175" s="34" t="s">
        <v>16</v>
      </c>
      <c r="B175" s="34" t="s">
        <v>17</v>
      </c>
      <c r="C175" s="34"/>
      <c r="D175" s="34"/>
      <c r="E175" s="34"/>
      <c r="F175" s="34"/>
      <c r="G175" s="34"/>
      <c r="H175" s="34"/>
      <c r="I175" s="34"/>
      <c r="J175" s="34"/>
      <c r="K175" s="34"/>
      <c r="L175" s="34"/>
      <c r="M175" s="34"/>
      <c r="N175" s="34"/>
      <c r="O175" s="34"/>
      <c r="P175" s="34"/>
    </row>
    <row r="176" spans="1:16" ht="15.75">
      <c r="A176" s="34" t="s">
        <v>18</v>
      </c>
      <c r="B176" s="68" t="s">
        <v>18</v>
      </c>
      <c r="C176" s="34"/>
      <c r="D176" s="34"/>
      <c r="E176" s="34" t="s">
        <v>188</v>
      </c>
      <c r="F176" s="34"/>
      <c r="G176" s="34"/>
      <c r="H176" s="34"/>
      <c r="I176" s="34"/>
      <c r="J176" s="34"/>
      <c r="K176" s="34"/>
      <c r="L176" s="34"/>
      <c r="M176" s="34"/>
      <c r="N176" s="34"/>
      <c r="O176" s="34"/>
      <c r="P176" s="34"/>
    </row>
    <row r="177" spans="1:16" ht="15.75">
      <c r="A177" s="69" t="s">
        <v>19</v>
      </c>
      <c r="B177" s="34"/>
      <c r="C177" s="34"/>
      <c r="D177" s="34"/>
      <c r="E177" s="34"/>
      <c r="F177" s="34"/>
      <c r="G177" s="34"/>
      <c r="H177" s="34"/>
      <c r="I177" s="34"/>
      <c r="J177" s="34"/>
      <c r="K177" s="34"/>
      <c r="L177" s="34"/>
      <c r="M177" s="34"/>
      <c r="N177" s="34"/>
      <c r="O177" s="34"/>
      <c r="P177" s="34"/>
    </row>
    <row r="178" spans="1:16" ht="15.75">
      <c r="A178" s="69" t="s">
        <v>20</v>
      </c>
      <c r="B178" s="69" t="s">
        <v>21</v>
      </c>
      <c r="C178" s="69" t="s">
        <v>189</v>
      </c>
      <c r="D178" s="69" t="s">
        <v>18</v>
      </c>
      <c r="E178" s="69" t="s">
        <v>22</v>
      </c>
      <c r="F178" s="69" t="s">
        <v>7</v>
      </c>
      <c r="G178" s="69" t="s">
        <v>13</v>
      </c>
      <c r="H178" s="69" t="s">
        <v>16</v>
      </c>
      <c r="I178" s="69" t="s">
        <v>23</v>
      </c>
      <c r="J178" s="69" t="s">
        <v>24</v>
      </c>
      <c r="K178" s="69" t="s">
        <v>25</v>
      </c>
      <c r="L178" s="69" t="s">
        <v>26</v>
      </c>
      <c r="M178" s="69" t="s">
        <v>27</v>
      </c>
      <c r="N178" s="69" t="s">
        <v>28</v>
      </c>
      <c r="O178" s="69" t="s">
        <v>11</v>
      </c>
      <c r="P178" s="69" t="s">
        <v>393</v>
      </c>
    </row>
    <row r="179" spans="1:16" ht="15.75">
      <c r="A179" s="68" t="str">
        <f>B169</f>
        <v>treatment wing , airframe, conventional, Long-Term</v>
      </c>
      <c r="B179">
        <v>1</v>
      </c>
      <c r="C179" s="68"/>
      <c r="D179" s="68" t="s">
        <v>18</v>
      </c>
      <c r="E179" s="34" t="s">
        <v>2</v>
      </c>
      <c r="F179" s="34" t="s">
        <v>443</v>
      </c>
      <c r="G179" s="68" t="s">
        <v>57</v>
      </c>
      <c r="H179" s="34" t="s">
        <v>30</v>
      </c>
      <c r="I179" s="34">
        <v>0</v>
      </c>
      <c r="J179" s="68" t="s">
        <v>31</v>
      </c>
      <c r="K179" s="68" t="s">
        <v>31</v>
      </c>
      <c r="L179" s="68" t="s">
        <v>31</v>
      </c>
      <c r="M179" s="68" t="s">
        <v>31</v>
      </c>
      <c r="N179" s="68" t="s">
        <v>31</v>
      </c>
      <c r="O179" s="68"/>
      <c r="P179" s="34"/>
    </row>
    <row r="180" spans="1:16" ht="15.75">
      <c r="A180" t="str">
        <f>B2</f>
        <v>treatment of aluminium, wing, airframe, conventional, Long-Term</v>
      </c>
      <c r="B180" s="80">
        <v>1523.43884</v>
      </c>
      <c r="C180" s="68"/>
      <c r="D180" s="68" t="s">
        <v>37</v>
      </c>
      <c r="E180" s="34" t="s">
        <v>2</v>
      </c>
      <c r="F180" s="34" t="s">
        <v>443</v>
      </c>
      <c r="G180" s="68" t="s">
        <v>57</v>
      </c>
      <c r="H180" s="34" t="s">
        <v>33</v>
      </c>
      <c r="I180" s="34">
        <v>0</v>
      </c>
      <c r="J180" s="68" t="s">
        <v>31</v>
      </c>
      <c r="K180" s="68" t="s">
        <v>31</v>
      </c>
      <c r="L180" s="68" t="s">
        <v>31</v>
      </c>
      <c r="M180" s="68" t="s">
        <v>31</v>
      </c>
      <c r="N180" s="68" t="s">
        <v>31</v>
      </c>
    </row>
    <row r="181" spans="1:16" ht="15.75">
      <c r="A181" t="str">
        <f>B17</f>
        <v>treatment of CFRP, wing, airframe, conventional, Long-Term</v>
      </c>
      <c r="B181" s="80">
        <v>139.05408</v>
      </c>
      <c r="C181" s="68"/>
      <c r="D181" s="68" t="s">
        <v>37</v>
      </c>
      <c r="E181" s="34" t="s">
        <v>2</v>
      </c>
      <c r="F181" s="34" t="s">
        <v>443</v>
      </c>
      <c r="G181" s="68" t="s">
        <v>57</v>
      </c>
      <c r="H181" s="34" t="s">
        <v>33</v>
      </c>
      <c r="I181" s="34">
        <v>0</v>
      </c>
      <c r="J181" s="68" t="s">
        <v>31</v>
      </c>
      <c r="K181" s="68" t="s">
        <v>31</v>
      </c>
      <c r="L181" s="68" t="s">
        <v>31</v>
      </c>
      <c r="M181" s="68" t="s">
        <v>31</v>
      </c>
      <c r="N181" s="68" t="s">
        <v>31</v>
      </c>
    </row>
    <row r="182" spans="1:16" ht="15.75">
      <c r="A182" t="str">
        <f>B32</f>
        <v>treatment of steel, wing, airframe, conventional, Long-Term</v>
      </c>
      <c r="B182" s="80">
        <v>51.239980000000003</v>
      </c>
      <c r="C182" s="68"/>
      <c r="D182" s="68" t="s">
        <v>37</v>
      </c>
      <c r="E182" s="34" t="s">
        <v>2</v>
      </c>
      <c r="F182" s="34" t="s">
        <v>443</v>
      </c>
      <c r="G182" s="68" t="s">
        <v>57</v>
      </c>
      <c r="H182" s="34" t="s">
        <v>33</v>
      </c>
      <c r="I182" s="34">
        <v>0</v>
      </c>
      <c r="J182" s="68" t="s">
        <v>31</v>
      </c>
      <c r="K182" s="68" t="s">
        <v>31</v>
      </c>
      <c r="L182" s="68" t="s">
        <v>31</v>
      </c>
      <c r="M182" s="68" t="s">
        <v>31</v>
      </c>
      <c r="N182" s="68" t="s">
        <v>31</v>
      </c>
    </row>
    <row r="183" spans="1:16" ht="15.75">
      <c r="A183" t="str">
        <f>B46</f>
        <v>treatment of titanium, wing, airframe, conventional, Long-Term</v>
      </c>
      <c r="B183" s="80">
        <v>96.867099999999994</v>
      </c>
      <c r="C183" s="68"/>
      <c r="D183" s="68" t="s">
        <v>37</v>
      </c>
      <c r="E183" s="34" t="s">
        <v>2</v>
      </c>
      <c r="F183" s="34" t="s">
        <v>443</v>
      </c>
      <c r="G183" s="68" t="s">
        <v>57</v>
      </c>
      <c r="H183" s="34" t="s">
        <v>33</v>
      </c>
      <c r="I183" s="34">
        <v>0</v>
      </c>
      <c r="J183" s="68" t="s">
        <v>31</v>
      </c>
      <c r="K183" s="68" t="s">
        <v>31</v>
      </c>
      <c r="L183" s="68" t="s">
        <v>31</v>
      </c>
      <c r="M183" s="68" t="s">
        <v>31</v>
      </c>
      <c r="N183" s="68" t="s">
        <v>31</v>
      </c>
    </row>
    <row r="184" spans="1:16" s="79" customFormat="1" ht="15.75">
      <c r="A184" s="76" t="s">
        <v>5</v>
      </c>
      <c r="B184" s="76" t="s">
        <v>497</v>
      </c>
      <c r="C184" s="76"/>
      <c r="D184" s="77"/>
      <c r="E184" s="78"/>
      <c r="F184" s="78"/>
      <c r="G184" s="78"/>
      <c r="H184" s="78"/>
      <c r="I184" s="78"/>
      <c r="J184" s="78"/>
      <c r="K184" s="78"/>
      <c r="L184" s="78"/>
      <c r="M184" s="78"/>
      <c r="N184" s="78"/>
      <c r="O184" s="78"/>
      <c r="P184" s="78"/>
    </row>
    <row r="185" spans="1:16">
      <c r="A185" s="34" t="s">
        <v>7</v>
      </c>
      <c r="B185" s="34" t="s">
        <v>395</v>
      </c>
      <c r="C185" s="34"/>
      <c r="D185" s="34"/>
      <c r="E185" s="34"/>
      <c r="F185" s="34"/>
      <c r="G185" s="34"/>
      <c r="H185" s="34"/>
      <c r="I185" s="34"/>
      <c r="J185" s="34"/>
      <c r="K185" s="34"/>
      <c r="L185" s="34"/>
      <c r="M185" s="34"/>
      <c r="N185" s="34"/>
      <c r="O185" s="34"/>
      <c r="P185" s="34"/>
    </row>
    <row r="186" spans="1:16">
      <c r="A186" s="34" t="s">
        <v>9</v>
      </c>
      <c r="B186" s="70" t="s">
        <v>498</v>
      </c>
      <c r="C186" s="34"/>
      <c r="D186" s="34"/>
      <c r="E186" s="34"/>
      <c r="F186" s="34"/>
      <c r="G186" s="34"/>
      <c r="H186" s="34"/>
      <c r="I186" s="34"/>
      <c r="J186" s="34"/>
      <c r="K186" s="34"/>
      <c r="L186" s="34"/>
      <c r="M186" s="34"/>
      <c r="N186" s="34"/>
      <c r="O186" s="34"/>
      <c r="P186" s="34"/>
    </row>
    <row r="187" spans="1:16">
      <c r="A187" s="34" t="s">
        <v>11</v>
      </c>
      <c r="B187" s="34" t="s">
        <v>496</v>
      </c>
      <c r="C187" s="34"/>
      <c r="D187" s="34"/>
      <c r="E187" s="34"/>
      <c r="F187" s="34"/>
      <c r="G187" s="34"/>
      <c r="H187" s="34"/>
      <c r="I187" s="34"/>
      <c r="J187" s="34"/>
      <c r="K187" s="34"/>
      <c r="L187" s="34"/>
      <c r="M187" s="34"/>
      <c r="N187" s="34"/>
      <c r="O187" s="34"/>
      <c r="P187" s="34"/>
    </row>
    <row r="188" spans="1:16">
      <c r="A188" s="34" t="s">
        <v>13</v>
      </c>
      <c r="B188" s="34" t="s">
        <v>57</v>
      </c>
      <c r="C188" s="34"/>
      <c r="D188" s="34"/>
      <c r="E188" s="34"/>
      <c r="F188" s="34"/>
      <c r="G188" s="34"/>
      <c r="H188" s="34"/>
      <c r="I188" s="34"/>
      <c r="J188" s="34"/>
      <c r="K188" s="34"/>
      <c r="L188" s="34"/>
      <c r="M188" s="34"/>
      <c r="N188" s="34"/>
      <c r="O188" s="34"/>
      <c r="P188" s="34"/>
    </row>
    <row r="189" spans="1:16">
      <c r="A189" s="34" t="s">
        <v>15</v>
      </c>
      <c r="B189" s="34">
        <v>1</v>
      </c>
      <c r="C189" s="34"/>
      <c r="D189" s="34"/>
      <c r="E189" s="34"/>
      <c r="F189" s="34"/>
      <c r="G189" s="34"/>
      <c r="H189" s="34"/>
      <c r="I189" s="34"/>
      <c r="J189" s="34"/>
      <c r="K189" s="34"/>
      <c r="L189" s="34"/>
      <c r="M189" s="34"/>
      <c r="N189" s="34"/>
      <c r="O189" s="34"/>
      <c r="P189" s="34"/>
    </row>
    <row r="190" spans="1:16">
      <c r="A190" s="34" t="s">
        <v>16</v>
      </c>
      <c r="B190" s="34" t="s">
        <v>17</v>
      </c>
      <c r="C190" s="34"/>
      <c r="D190" s="34"/>
      <c r="E190" s="34"/>
      <c r="F190" s="34"/>
      <c r="G190" s="34"/>
      <c r="H190" s="34"/>
      <c r="I190" s="34"/>
      <c r="J190" s="34"/>
      <c r="K190" s="34"/>
      <c r="L190" s="34"/>
      <c r="M190" s="34"/>
      <c r="N190" s="34"/>
      <c r="O190" s="34"/>
      <c r="P190" s="34"/>
    </row>
    <row r="191" spans="1:16" ht="15.75">
      <c r="A191" s="34" t="s">
        <v>18</v>
      </c>
      <c r="B191" s="68" t="s">
        <v>18</v>
      </c>
      <c r="C191" s="34"/>
      <c r="D191" s="34"/>
      <c r="E191" s="34" t="s">
        <v>188</v>
      </c>
      <c r="F191" s="34"/>
      <c r="G191" s="34"/>
      <c r="H191" s="34"/>
      <c r="I191" s="34"/>
      <c r="J191" s="34"/>
      <c r="K191" s="34"/>
      <c r="L191" s="34"/>
      <c r="M191" s="34"/>
      <c r="N191" s="34"/>
      <c r="O191" s="34"/>
      <c r="P191" s="34"/>
    </row>
    <row r="192" spans="1:16" ht="15.75">
      <c r="A192" s="69" t="s">
        <v>19</v>
      </c>
      <c r="B192" s="34"/>
      <c r="C192" s="34"/>
      <c r="D192" s="34"/>
      <c r="E192" s="34"/>
      <c r="F192" s="34"/>
      <c r="G192" s="34"/>
      <c r="H192" s="34"/>
      <c r="I192" s="34"/>
      <c r="J192" s="34"/>
      <c r="K192" s="34"/>
      <c r="L192" s="34"/>
      <c r="M192" s="34"/>
      <c r="N192" s="34"/>
      <c r="O192" s="34"/>
      <c r="P192" s="34"/>
    </row>
    <row r="193" spans="1:16" ht="15.75">
      <c r="A193" s="69" t="s">
        <v>20</v>
      </c>
      <c r="B193" s="69" t="s">
        <v>21</v>
      </c>
      <c r="C193" s="69" t="s">
        <v>189</v>
      </c>
      <c r="D193" s="69" t="s">
        <v>18</v>
      </c>
      <c r="E193" s="69" t="s">
        <v>22</v>
      </c>
      <c r="F193" s="69" t="s">
        <v>7</v>
      </c>
      <c r="G193" s="69" t="s">
        <v>13</v>
      </c>
      <c r="H193" s="69" t="s">
        <v>16</v>
      </c>
      <c r="I193" s="69" t="s">
        <v>23</v>
      </c>
      <c r="J193" s="69" t="s">
        <v>24</v>
      </c>
      <c r="K193" s="69" t="s">
        <v>25</v>
      </c>
      <c r="L193" s="69" t="s">
        <v>26</v>
      </c>
      <c r="M193" s="69" t="s">
        <v>27</v>
      </c>
      <c r="N193" s="69" t="s">
        <v>28</v>
      </c>
      <c r="O193" s="69" t="s">
        <v>11</v>
      </c>
      <c r="P193" s="69" t="s">
        <v>393</v>
      </c>
    </row>
    <row r="194" spans="1:16" ht="15.75">
      <c r="A194" s="68" t="str">
        <f>B184</f>
        <v>treatment tail , airframe, conventional, Long-Term</v>
      </c>
      <c r="B194">
        <v>1</v>
      </c>
      <c r="C194" s="68"/>
      <c r="D194" s="68" t="s">
        <v>18</v>
      </c>
      <c r="E194" s="34" t="s">
        <v>2</v>
      </c>
      <c r="F194" s="34" t="s">
        <v>443</v>
      </c>
      <c r="G194" s="68" t="s">
        <v>57</v>
      </c>
      <c r="H194" s="34" t="s">
        <v>30</v>
      </c>
      <c r="I194" s="34">
        <v>0</v>
      </c>
      <c r="J194" s="68" t="s">
        <v>31</v>
      </c>
      <c r="K194" s="68" t="s">
        <v>31</v>
      </c>
      <c r="L194" s="68" t="s">
        <v>31</v>
      </c>
      <c r="M194" s="68" t="s">
        <v>31</v>
      </c>
      <c r="N194" s="68" t="s">
        <v>31</v>
      </c>
      <c r="O194" s="68"/>
      <c r="P194" s="34"/>
    </row>
    <row r="195" spans="1:16" ht="15.75">
      <c r="A195" t="str">
        <f>B61</f>
        <v>treatment of aluminium, tail, airframe, conventional, Long-Term</v>
      </c>
      <c r="B195" s="80">
        <v>19.66918678</v>
      </c>
      <c r="D195" s="68" t="s">
        <v>37</v>
      </c>
      <c r="E195" s="34" t="s">
        <v>2</v>
      </c>
      <c r="F195" s="34" t="s">
        <v>443</v>
      </c>
      <c r="G195" s="68" t="s">
        <v>57</v>
      </c>
      <c r="H195" s="34" t="s">
        <v>33</v>
      </c>
      <c r="I195" s="34">
        <v>0</v>
      </c>
      <c r="J195" s="68" t="s">
        <v>31</v>
      </c>
      <c r="K195" s="68" t="s">
        <v>31</v>
      </c>
      <c r="L195" s="68" t="s">
        <v>31</v>
      </c>
      <c r="M195" s="68" t="s">
        <v>31</v>
      </c>
      <c r="N195" s="68" t="s">
        <v>31</v>
      </c>
    </row>
    <row r="196" spans="1:16" ht="15.75">
      <c r="A196" t="str">
        <f>B76</f>
        <v>treatment of composites, tail, airframe, conventional, Long-Term</v>
      </c>
      <c r="B196" s="80">
        <v>326.0580807</v>
      </c>
      <c r="D196" s="68" t="s">
        <v>37</v>
      </c>
      <c r="E196" s="34" t="s">
        <v>2</v>
      </c>
      <c r="F196" s="34" t="s">
        <v>443</v>
      </c>
      <c r="G196" s="68" t="s">
        <v>57</v>
      </c>
      <c r="H196" s="34" t="s">
        <v>33</v>
      </c>
      <c r="I196" s="34">
        <v>0</v>
      </c>
      <c r="J196" s="68" t="s">
        <v>31</v>
      </c>
      <c r="K196" s="68" t="s">
        <v>31</v>
      </c>
      <c r="L196" s="68" t="s">
        <v>31</v>
      </c>
      <c r="M196" s="68" t="s">
        <v>31</v>
      </c>
      <c r="N196" s="68" t="s">
        <v>31</v>
      </c>
      <c r="O196" s="68" t="s">
        <v>499</v>
      </c>
    </row>
    <row r="197" spans="1:16" ht="15.75">
      <c r="A197" t="str">
        <f>B76</f>
        <v>treatment of composites, tail, airframe, conventional, Long-Term</v>
      </c>
      <c r="B197" s="80">
        <v>112.6727325</v>
      </c>
      <c r="D197" s="68" t="s">
        <v>37</v>
      </c>
      <c r="E197" s="34" t="s">
        <v>2</v>
      </c>
      <c r="F197" s="34" t="s">
        <v>443</v>
      </c>
      <c r="G197" s="68" t="s">
        <v>57</v>
      </c>
      <c r="H197" s="34" t="s">
        <v>33</v>
      </c>
      <c r="I197" s="34">
        <v>0</v>
      </c>
      <c r="J197" s="68" t="s">
        <v>31</v>
      </c>
      <c r="K197" s="68" t="s">
        <v>31</v>
      </c>
      <c r="L197" s="68" t="s">
        <v>31</v>
      </c>
      <c r="M197" s="68" t="s">
        <v>31</v>
      </c>
      <c r="N197" s="68" t="s">
        <v>31</v>
      </c>
      <c r="O197" s="68" t="s">
        <v>500</v>
      </c>
    </row>
    <row r="198" spans="1:16" s="79" customFormat="1" ht="15.75">
      <c r="A198" s="76" t="s">
        <v>5</v>
      </c>
      <c r="B198" s="76" t="s">
        <v>501</v>
      </c>
      <c r="C198" s="76"/>
      <c r="D198" s="77"/>
      <c r="E198" s="78"/>
      <c r="F198" s="78"/>
      <c r="G198" s="78"/>
      <c r="H198" s="78"/>
      <c r="I198" s="78"/>
      <c r="J198" s="78"/>
      <c r="K198" s="78"/>
      <c r="L198" s="78"/>
      <c r="M198" s="78"/>
      <c r="N198" s="78"/>
      <c r="O198" s="78"/>
      <c r="P198" s="78"/>
    </row>
    <row r="199" spans="1:16">
      <c r="A199" s="34" t="s">
        <v>7</v>
      </c>
      <c r="B199" s="34" t="s">
        <v>395</v>
      </c>
      <c r="C199" s="34"/>
      <c r="D199" s="34"/>
      <c r="E199" s="34"/>
      <c r="F199" s="34"/>
      <c r="G199" s="34"/>
      <c r="H199" s="34"/>
      <c r="I199" s="34"/>
      <c r="J199" s="34"/>
      <c r="K199" s="34"/>
      <c r="L199" s="34"/>
      <c r="M199" s="34"/>
      <c r="N199" s="34"/>
      <c r="O199" s="34"/>
      <c r="P199" s="34"/>
    </row>
    <row r="200" spans="1:16">
      <c r="A200" s="34" t="s">
        <v>9</v>
      </c>
      <c r="B200" s="70" t="s">
        <v>502</v>
      </c>
      <c r="C200" s="34"/>
      <c r="D200" s="34"/>
      <c r="E200" s="34"/>
      <c r="F200" s="34"/>
      <c r="G200" s="34"/>
      <c r="H200" s="34"/>
      <c r="I200" s="34"/>
      <c r="J200" s="34"/>
      <c r="K200" s="34"/>
      <c r="L200" s="34"/>
      <c r="M200" s="34"/>
      <c r="N200" s="34"/>
      <c r="O200" s="34"/>
      <c r="P200" s="34"/>
    </row>
    <row r="201" spans="1:16">
      <c r="A201" s="34" t="s">
        <v>11</v>
      </c>
      <c r="B201" s="34" t="s">
        <v>496</v>
      </c>
      <c r="C201" s="34"/>
      <c r="D201" s="34"/>
      <c r="E201" s="34"/>
      <c r="F201" s="34"/>
      <c r="G201" s="34"/>
      <c r="H201" s="34"/>
      <c r="I201" s="34"/>
      <c r="J201" s="34"/>
      <c r="K201" s="34"/>
      <c r="L201" s="34"/>
      <c r="M201" s="34"/>
      <c r="N201" s="34"/>
      <c r="O201" s="34"/>
      <c r="P201" s="34"/>
    </row>
    <row r="202" spans="1:16">
      <c r="A202" s="34" t="s">
        <v>13</v>
      </c>
      <c r="B202" s="34" t="s">
        <v>57</v>
      </c>
      <c r="C202" s="34"/>
      <c r="D202" s="34"/>
      <c r="E202" s="34"/>
      <c r="F202" s="34"/>
      <c r="G202" s="34"/>
      <c r="H202" s="34"/>
      <c r="I202" s="34"/>
      <c r="J202" s="34"/>
      <c r="K202" s="34"/>
      <c r="L202" s="34"/>
      <c r="M202" s="34"/>
      <c r="N202" s="34"/>
      <c r="O202" s="34"/>
      <c r="P202" s="34"/>
    </row>
    <row r="203" spans="1:16">
      <c r="A203" s="34" t="s">
        <v>15</v>
      </c>
      <c r="B203" s="34">
        <v>1</v>
      </c>
      <c r="C203" s="34"/>
      <c r="D203" s="34"/>
      <c r="E203" s="34"/>
      <c r="F203" s="34"/>
      <c r="G203" s="34"/>
      <c r="H203" s="34"/>
      <c r="I203" s="34"/>
      <c r="J203" s="34"/>
      <c r="K203" s="34"/>
      <c r="L203" s="34"/>
      <c r="M203" s="34"/>
      <c r="N203" s="34"/>
      <c r="O203" s="34"/>
      <c r="P203" s="34"/>
    </row>
    <row r="204" spans="1:16">
      <c r="A204" s="34" t="s">
        <v>16</v>
      </c>
      <c r="B204" s="34" t="s">
        <v>17</v>
      </c>
      <c r="C204" s="34"/>
      <c r="D204" s="34"/>
      <c r="E204" s="34"/>
      <c r="F204" s="34"/>
      <c r="G204" s="34"/>
      <c r="H204" s="34"/>
      <c r="I204" s="34"/>
      <c r="J204" s="34"/>
      <c r="K204" s="34"/>
      <c r="L204" s="34"/>
      <c r="M204" s="34"/>
      <c r="N204" s="34"/>
      <c r="O204" s="34"/>
      <c r="P204" s="34"/>
    </row>
    <row r="205" spans="1:16" ht="15.75">
      <c r="A205" s="34" t="s">
        <v>18</v>
      </c>
      <c r="B205" s="68" t="s">
        <v>18</v>
      </c>
      <c r="C205" s="34"/>
      <c r="D205" s="34"/>
      <c r="E205" s="34" t="s">
        <v>188</v>
      </c>
      <c r="F205" s="34"/>
      <c r="G205" s="34"/>
      <c r="H205" s="34"/>
      <c r="I205" s="34"/>
      <c r="J205" s="34"/>
      <c r="K205" s="34"/>
      <c r="L205" s="34"/>
      <c r="M205" s="34"/>
      <c r="N205" s="34"/>
      <c r="O205" s="34"/>
      <c r="P205" s="34"/>
    </row>
    <row r="206" spans="1:16" ht="15.75">
      <c r="A206" s="69" t="s">
        <v>19</v>
      </c>
      <c r="B206" s="34"/>
      <c r="C206" s="34"/>
      <c r="D206" s="34"/>
      <c r="E206" s="34"/>
      <c r="F206" s="34"/>
      <c r="G206" s="34"/>
      <c r="H206" s="34"/>
      <c r="I206" s="34"/>
      <c r="J206" s="34"/>
      <c r="K206" s="34"/>
      <c r="L206" s="34"/>
      <c r="M206" s="34"/>
      <c r="N206" s="34"/>
      <c r="O206" s="34"/>
      <c r="P206" s="34"/>
    </row>
    <row r="207" spans="1:16" ht="15.75">
      <c r="A207" s="69" t="s">
        <v>20</v>
      </c>
      <c r="B207" s="69" t="s">
        <v>21</v>
      </c>
      <c r="C207" s="69" t="s">
        <v>189</v>
      </c>
      <c r="D207" s="69" t="s">
        <v>18</v>
      </c>
      <c r="E207" s="69" t="s">
        <v>22</v>
      </c>
      <c r="F207" s="69" t="s">
        <v>7</v>
      </c>
      <c r="G207" s="69" t="s">
        <v>13</v>
      </c>
      <c r="H207" s="69" t="s">
        <v>16</v>
      </c>
      <c r="I207" s="69" t="s">
        <v>23</v>
      </c>
      <c r="J207" s="69" t="s">
        <v>24</v>
      </c>
      <c r="K207" s="69" t="s">
        <v>25</v>
      </c>
      <c r="L207" s="69" t="s">
        <v>26</v>
      </c>
      <c r="M207" s="69" t="s">
        <v>27</v>
      </c>
      <c r="N207" s="69" t="s">
        <v>28</v>
      </c>
      <c r="O207" s="69" t="s">
        <v>11</v>
      </c>
      <c r="P207" s="69" t="s">
        <v>393</v>
      </c>
    </row>
    <row r="208" spans="1:16" ht="15.75">
      <c r="A208" s="68" t="str">
        <f>B198</f>
        <v>treatment fuselage , airframe, conventional, Long-Term</v>
      </c>
      <c r="B208">
        <v>1</v>
      </c>
      <c r="C208" s="68"/>
      <c r="D208" s="68" t="s">
        <v>18</v>
      </c>
      <c r="E208" s="34" t="s">
        <v>2</v>
      </c>
      <c r="F208" s="34" t="s">
        <v>443</v>
      </c>
      <c r="G208" s="68" t="s">
        <v>57</v>
      </c>
      <c r="H208" s="34" t="s">
        <v>30</v>
      </c>
      <c r="I208" s="34">
        <v>0</v>
      </c>
      <c r="J208" s="68" t="s">
        <v>31</v>
      </c>
      <c r="K208" s="68" t="s">
        <v>31</v>
      </c>
      <c r="L208" s="68" t="s">
        <v>31</v>
      </c>
      <c r="M208" s="68" t="s">
        <v>31</v>
      </c>
      <c r="N208" s="68" t="s">
        <v>31</v>
      </c>
      <c r="O208" s="68"/>
      <c r="P208" s="34"/>
    </row>
    <row r="209" spans="1:16" ht="15.75">
      <c r="A209" t="str">
        <f>B91</f>
        <v>treatment of aluminium, fuselage, airframe, conventional, Long-Term</v>
      </c>
      <c r="B209" s="80">
        <v>2117.2048840000002</v>
      </c>
      <c r="D209" s="68" t="s">
        <v>37</v>
      </c>
      <c r="E209" s="34" t="s">
        <v>2</v>
      </c>
      <c r="F209" s="34" t="s">
        <v>443</v>
      </c>
      <c r="G209" s="68" t="s">
        <v>57</v>
      </c>
      <c r="H209" s="34" t="s">
        <v>33</v>
      </c>
      <c r="I209" s="34">
        <v>0</v>
      </c>
      <c r="J209" s="68" t="s">
        <v>31</v>
      </c>
      <c r="K209" s="68" t="s">
        <v>31</v>
      </c>
      <c r="L209" s="68" t="s">
        <v>31</v>
      </c>
      <c r="M209" s="68" t="s">
        <v>31</v>
      </c>
      <c r="N209" s="68" t="s">
        <v>31</v>
      </c>
    </row>
    <row r="210" spans="1:16" ht="15.75">
      <c r="A210" t="str">
        <f>B106</f>
        <v>treatment of composites, fuselage, airframe, conventional, Long-Term</v>
      </c>
      <c r="B210" s="80">
        <v>171.8810301</v>
      </c>
      <c r="D210" s="68" t="s">
        <v>37</v>
      </c>
      <c r="E210" s="34" t="s">
        <v>2</v>
      </c>
      <c r="F210" s="34" t="s">
        <v>443</v>
      </c>
      <c r="G210" s="68" t="s">
        <v>57</v>
      </c>
      <c r="H210" s="34" t="s">
        <v>33</v>
      </c>
      <c r="I210" s="34">
        <v>0</v>
      </c>
      <c r="J210" s="68" t="s">
        <v>31</v>
      </c>
      <c r="K210" s="68" t="s">
        <v>31</v>
      </c>
      <c r="L210" s="68" t="s">
        <v>31</v>
      </c>
      <c r="M210" s="68" t="s">
        <v>31</v>
      </c>
      <c r="N210" s="68" t="s">
        <v>31</v>
      </c>
      <c r="O210" s="68" t="s">
        <v>499</v>
      </c>
    </row>
    <row r="211" spans="1:16" ht="15.75">
      <c r="A211" t="str">
        <f>B106</f>
        <v>treatment of composites, fuselage, airframe, conventional, Long-Term</v>
      </c>
      <c r="B211" s="80">
        <v>11.109811329999999</v>
      </c>
      <c r="D211" s="68" t="s">
        <v>37</v>
      </c>
      <c r="E211" s="34" t="s">
        <v>2</v>
      </c>
      <c r="F211" s="34" t="s">
        <v>443</v>
      </c>
      <c r="G211" s="68" t="s">
        <v>57</v>
      </c>
      <c r="H211" s="34" t="s">
        <v>33</v>
      </c>
      <c r="I211" s="34">
        <v>0</v>
      </c>
      <c r="J211" s="68" t="s">
        <v>31</v>
      </c>
      <c r="K211" s="68" t="s">
        <v>31</v>
      </c>
      <c r="L211" s="68" t="s">
        <v>31</v>
      </c>
      <c r="M211" s="68" t="s">
        <v>31</v>
      </c>
      <c r="N211" s="68" t="s">
        <v>31</v>
      </c>
      <c r="O211" s="68" t="s">
        <v>500</v>
      </c>
    </row>
    <row r="212" spans="1:16" ht="15.75">
      <c r="A212" t="str">
        <f>B121</f>
        <v>treatment of steel, fuselage, airframe, conventional, Long-Term</v>
      </c>
      <c r="B212" s="80">
        <v>719.76917430000003</v>
      </c>
      <c r="D212" s="68" t="s">
        <v>37</v>
      </c>
      <c r="E212" s="34" t="s">
        <v>2</v>
      </c>
      <c r="F212" s="34" t="s">
        <v>443</v>
      </c>
      <c r="G212" s="68" t="s">
        <v>57</v>
      </c>
      <c r="H212" s="34" t="s">
        <v>33</v>
      </c>
      <c r="I212" s="34">
        <v>0</v>
      </c>
      <c r="J212" s="68" t="s">
        <v>31</v>
      </c>
      <c r="K212" s="68" t="s">
        <v>31</v>
      </c>
      <c r="L212" s="68" t="s">
        <v>31</v>
      </c>
      <c r="M212" s="68" t="s">
        <v>31</v>
      </c>
      <c r="N212" s="68" t="s">
        <v>31</v>
      </c>
    </row>
    <row r="213" spans="1:16" ht="16.5" thickBot="1">
      <c r="A213" t="str">
        <f>B135</f>
        <v>treatment of titanium, fuselage, airframe, conventional, Long-Term</v>
      </c>
      <c r="B213" s="81">
        <v>149.43510029999999</v>
      </c>
      <c r="D213" s="68" t="s">
        <v>37</v>
      </c>
      <c r="E213" s="34" t="s">
        <v>2</v>
      </c>
      <c r="F213" s="34" t="s">
        <v>443</v>
      </c>
      <c r="G213" s="68" t="s">
        <v>57</v>
      </c>
      <c r="H213" s="34" t="s">
        <v>33</v>
      </c>
      <c r="I213" s="34">
        <v>0</v>
      </c>
      <c r="J213" s="68" t="s">
        <v>31</v>
      </c>
      <c r="K213" s="68" t="s">
        <v>31</v>
      </c>
      <c r="L213" s="68" t="s">
        <v>31</v>
      </c>
      <c r="M213" s="68" t="s">
        <v>31</v>
      </c>
      <c r="N213" s="68" t="s">
        <v>31</v>
      </c>
    </row>
    <row r="214" spans="1:16" s="79" customFormat="1" ht="15.75">
      <c r="A214" s="76" t="s">
        <v>5</v>
      </c>
      <c r="B214" s="76" t="s">
        <v>503</v>
      </c>
      <c r="C214" s="76"/>
      <c r="D214" s="77"/>
      <c r="E214" s="78"/>
      <c r="F214" s="78"/>
      <c r="G214" s="78"/>
      <c r="H214" s="78"/>
      <c r="I214" s="78"/>
      <c r="J214" s="78"/>
      <c r="K214" s="78"/>
      <c r="L214" s="78"/>
      <c r="M214" s="78"/>
      <c r="N214" s="78"/>
      <c r="O214" s="78"/>
      <c r="P214" s="78"/>
    </row>
    <row r="215" spans="1:16">
      <c r="A215" s="34" t="s">
        <v>7</v>
      </c>
      <c r="B215" s="34" t="s">
        <v>395</v>
      </c>
      <c r="C215" s="34"/>
      <c r="D215" s="34"/>
      <c r="E215" s="34"/>
      <c r="F215" s="34"/>
      <c r="G215" s="34"/>
      <c r="H215" s="34"/>
      <c r="I215" s="34"/>
      <c r="J215" s="34"/>
      <c r="K215" s="34"/>
      <c r="L215" s="34"/>
      <c r="M215" s="34"/>
      <c r="N215" s="34"/>
      <c r="O215" s="34"/>
      <c r="P215" s="34"/>
    </row>
    <row r="216" spans="1:16">
      <c r="A216" s="34" t="s">
        <v>9</v>
      </c>
      <c r="B216" s="70" t="s">
        <v>504</v>
      </c>
      <c r="C216" s="34"/>
      <c r="D216" s="34"/>
      <c r="E216" s="34"/>
      <c r="F216" s="34"/>
      <c r="G216" s="34"/>
      <c r="H216" s="34"/>
      <c r="I216" s="34"/>
      <c r="J216" s="34"/>
      <c r="K216" s="34"/>
      <c r="L216" s="34"/>
      <c r="M216" s="34"/>
      <c r="N216" s="34"/>
      <c r="O216" s="34"/>
      <c r="P216" s="34"/>
    </row>
    <row r="217" spans="1:16">
      <c r="A217" s="34" t="s">
        <v>11</v>
      </c>
      <c r="B217" s="34" t="s">
        <v>496</v>
      </c>
      <c r="C217" s="34"/>
      <c r="D217" s="34"/>
      <c r="E217" s="34"/>
      <c r="F217" s="34"/>
      <c r="G217" s="34"/>
      <c r="H217" s="34"/>
      <c r="I217" s="34"/>
      <c r="J217" s="34"/>
      <c r="K217" s="34"/>
      <c r="L217" s="34"/>
      <c r="M217" s="34"/>
      <c r="N217" s="34"/>
      <c r="O217" s="34"/>
      <c r="P217" s="34"/>
    </row>
    <row r="218" spans="1:16">
      <c r="A218" s="34" t="s">
        <v>13</v>
      </c>
      <c r="B218" s="34" t="s">
        <v>57</v>
      </c>
      <c r="C218" s="34"/>
      <c r="D218" s="34"/>
      <c r="E218" s="34"/>
      <c r="F218" s="34"/>
      <c r="G218" s="34"/>
      <c r="H218" s="34"/>
      <c r="I218" s="34"/>
      <c r="J218" s="34"/>
      <c r="K218" s="34"/>
      <c r="L218" s="34"/>
      <c r="M218" s="34"/>
      <c r="N218" s="34"/>
      <c r="O218" s="34"/>
      <c r="P218" s="34"/>
    </row>
    <row r="219" spans="1:16">
      <c r="A219" s="34" t="s">
        <v>15</v>
      </c>
      <c r="B219" s="34">
        <v>1</v>
      </c>
      <c r="C219" s="34"/>
      <c r="D219" s="34"/>
      <c r="E219" s="34"/>
      <c r="F219" s="34"/>
      <c r="G219" s="34"/>
      <c r="H219" s="34"/>
      <c r="I219" s="34"/>
      <c r="J219" s="34"/>
      <c r="K219" s="34"/>
      <c r="L219" s="34"/>
      <c r="M219" s="34"/>
      <c r="N219" s="34"/>
      <c r="O219" s="34"/>
      <c r="P219" s="34"/>
    </row>
    <row r="220" spans="1:16">
      <c r="A220" s="34" t="s">
        <v>16</v>
      </c>
      <c r="B220" s="34" t="s">
        <v>17</v>
      </c>
      <c r="C220" s="34"/>
      <c r="D220" s="34"/>
      <c r="E220" s="34"/>
      <c r="F220" s="34"/>
      <c r="G220" s="34"/>
      <c r="H220" s="34"/>
      <c r="I220" s="34"/>
      <c r="J220" s="34"/>
      <c r="K220" s="34"/>
      <c r="L220" s="34"/>
      <c r="M220" s="34"/>
      <c r="N220" s="34"/>
      <c r="O220" s="34"/>
      <c r="P220" s="34"/>
    </row>
    <row r="221" spans="1:16" ht="15.75">
      <c r="A221" s="34" t="s">
        <v>18</v>
      </c>
      <c r="B221" s="68" t="s">
        <v>18</v>
      </c>
      <c r="C221" s="34"/>
      <c r="D221" s="34"/>
      <c r="E221" s="34" t="s">
        <v>188</v>
      </c>
      <c r="F221" s="34"/>
      <c r="G221" s="34"/>
      <c r="H221" s="34"/>
      <c r="I221" s="34"/>
      <c r="J221" s="34"/>
      <c r="K221" s="34"/>
      <c r="L221" s="34"/>
      <c r="M221" s="34"/>
      <c r="N221" s="34"/>
      <c r="O221" s="34"/>
      <c r="P221" s="34"/>
    </row>
    <row r="222" spans="1:16" ht="15.75">
      <c r="A222" s="69" t="s">
        <v>19</v>
      </c>
      <c r="B222" s="34"/>
      <c r="C222" s="34"/>
      <c r="D222" s="34"/>
      <c r="E222" s="34"/>
      <c r="F222" s="34"/>
      <c r="G222" s="34"/>
      <c r="H222" s="34"/>
      <c r="I222" s="34"/>
      <c r="J222" s="34"/>
      <c r="K222" s="34"/>
      <c r="L222" s="34"/>
      <c r="M222" s="34"/>
      <c r="N222" s="34"/>
      <c r="O222" s="34"/>
      <c r="P222" s="34"/>
    </row>
    <row r="223" spans="1:16" ht="15.75">
      <c r="A223" s="69" t="s">
        <v>20</v>
      </c>
      <c r="B223" s="69" t="s">
        <v>21</v>
      </c>
      <c r="C223" s="69" t="s">
        <v>189</v>
      </c>
      <c r="D223" s="69" t="s">
        <v>18</v>
      </c>
      <c r="E223" s="69" t="s">
        <v>22</v>
      </c>
      <c r="F223" s="69" t="s">
        <v>7</v>
      </c>
      <c r="G223" s="69" t="s">
        <v>13</v>
      </c>
      <c r="H223" s="69" t="s">
        <v>16</v>
      </c>
      <c r="I223" s="69" t="s">
        <v>23</v>
      </c>
      <c r="J223" s="69" t="s">
        <v>24</v>
      </c>
      <c r="K223" s="69" t="s">
        <v>25</v>
      </c>
      <c r="L223" s="69" t="s">
        <v>26</v>
      </c>
      <c r="M223" s="69" t="s">
        <v>27</v>
      </c>
      <c r="N223" s="69" t="s">
        <v>28</v>
      </c>
      <c r="O223" s="69" t="s">
        <v>11</v>
      </c>
      <c r="P223" s="69" t="s">
        <v>393</v>
      </c>
    </row>
    <row r="224" spans="1:16" ht="15.75">
      <c r="A224" s="68" t="str">
        <f>B214</f>
        <v>treatment systems, airframe, conventional, Long-Term</v>
      </c>
      <c r="B224">
        <v>1</v>
      </c>
      <c r="C224" s="68"/>
      <c r="D224" s="68" t="s">
        <v>18</v>
      </c>
      <c r="E224" s="34" t="s">
        <v>2</v>
      </c>
      <c r="F224" s="34" t="s">
        <v>443</v>
      </c>
      <c r="G224" s="68" t="s">
        <v>57</v>
      </c>
      <c r="H224" s="34" t="s">
        <v>30</v>
      </c>
      <c r="I224" s="34">
        <v>0</v>
      </c>
      <c r="J224" s="68" t="s">
        <v>31</v>
      </c>
      <c r="K224" s="68" t="s">
        <v>31</v>
      </c>
      <c r="L224" s="68" t="s">
        <v>31</v>
      </c>
      <c r="M224" s="68" t="s">
        <v>31</v>
      </c>
      <c r="N224" s="68" t="s">
        <v>31</v>
      </c>
      <c r="O224" s="68"/>
      <c r="P224" s="34"/>
    </row>
    <row r="225" spans="1:16" ht="15.75">
      <c r="A225" t="s">
        <v>467</v>
      </c>
      <c r="B225">
        <v>175.65999999999991</v>
      </c>
      <c r="D225" t="s">
        <v>37</v>
      </c>
      <c r="E225" s="34" t="s">
        <v>2</v>
      </c>
      <c r="F225" s="34" t="s">
        <v>443</v>
      </c>
      <c r="G225" s="68" t="s">
        <v>57</v>
      </c>
      <c r="H225" t="s">
        <v>33</v>
      </c>
      <c r="I225" s="34">
        <v>0</v>
      </c>
      <c r="J225" s="68" t="s">
        <v>31</v>
      </c>
      <c r="K225" s="68" t="s">
        <v>31</v>
      </c>
      <c r="L225" s="68" t="s">
        <v>31</v>
      </c>
      <c r="M225" s="68" t="s">
        <v>31</v>
      </c>
      <c r="N225" s="68" t="s">
        <v>31</v>
      </c>
      <c r="O225" t="s">
        <v>505</v>
      </c>
    </row>
    <row r="226" spans="1:16" ht="15.75">
      <c r="A226" t="s">
        <v>470</v>
      </c>
      <c r="B226">
        <v>7.2080000000000002</v>
      </c>
      <c r="D226" t="s">
        <v>37</v>
      </c>
      <c r="E226" s="34" t="s">
        <v>2</v>
      </c>
      <c r="F226" s="34" t="s">
        <v>443</v>
      </c>
      <c r="G226" s="68" t="s">
        <v>57</v>
      </c>
      <c r="H226" t="s">
        <v>33</v>
      </c>
      <c r="I226" s="34">
        <v>0</v>
      </c>
      <c r="J226" s="68" t="s">
        <v>31</v>
      </c>
      <c r="K226" s="68" t="s">
        <v>31</v>
      </c>
      <c r="L226" s="68" t="s">
        <v>31</v>
      </c>
      <c r="M226" s="68" t="s">
        <v>31</v>
      </c>
      <c r="N226" s="68" t="s">
        <v>31</v>
      </c>
    </row>
    <row r="227" spans="1:16" ht="15.75">
      <c r="A227" s="68" t="s">
        <v>425</v>
      </c>
      <c r="B227" s="68">
        <v>112.366</v>
      </c>
      <c r="C227" s="68"/>
      <c r="D227" t="s">
        <v>37</v>
      </c>
      <c r="E227" s="34" t="s">
        <v>2</v>
      </c>
      <c r="F227" s="34" t="s">
        <v>443</v>
      </c>
      <c r="G227" s="68" t="s">
        <v>57</v>
      </c>
      <c r="H227" t="s">
        <v>33</v>
      </c>
      <c r="I227" s="34">
        <v>0</v>
      </c>
      <c r="J227" s="68" t="s">
        <v>31</v>
      </c>
      <c r="K227" s="68" t="s">
        <v>31</v>
      </c>
      <c r="L227" s="68" t="s">
        <v>31</v>
      </c>
      <c r="M227" s="68" t="s">
        <v>31</v>
      </c>
      <c r="N227" s="68" t="s">
        <v>31</v>
      </c>
      <c r="O227" s="34" t="s">
        <v>506</v>
      </c>
    </row>
    <row r="228" spans="1:16" ht="15.75">
      <c r="A228" t="s">
        <v>507</v>
      </c>
      <c r="B228">
        <v>-1063</v>
      </c>
      <c r="D228" t="s">
        <v>37</v>
      </c>
      <c r="E228" s="82" t="s">
        <v>38</v>
      </c>
      <c r="F228" s="34" t="s">
        <v>443</v>
      </c>
      <c r="G228" s="68" t="s">
        <v>91</v>
      </c>
      <c r="H228" t="s">
        <v>33</v>
      </c>
      <c r="I228" s="34">
        <v>0</v>
      </c>
      <c r="J228" s="68" t="s">
        <v>31</v>
      </c>
      <c r="K228" s="68" t="s">
        <v>31</v>
      </c>
      <c r="L228" s="68" t="s">
        <v>31</v>
      </c>
      <c r="M228" s="68" t="s">
        <v>31</v>
      </c>
      <c r="N228" s="68" t="s">
        <v>31</v>
      </c>
    </row>
    <row r="229" spans="1:16" ht="15.75">
      <c r="A229" t="s">
        <v>470</v>
      </c>
      <c r="B229">
        <v>136.02199999999999</v>
      </c>
      <c r="D229" t="s">
        <v>37</v>
      </c>
      <c r="E229" s="34" t="s">
        <v>2</v>
      </c>
      <c r="F229" s="34" t="s">
        <v>443</v>
      </c>
      <c r="G229" s="68" t="s">
        <v>57</v>
      </c>
      <c r="H229" t="s">
        <v>33</v>
      </c>
      <c r="I229" s="34">
        <v>0</v>
      </c>
      <c r="J229" s="68" t="s">
        <v>31</v>
      </c>
      <c r="K229" s="68" t="s">
        <v>31</v>
      </c>
      <c r="L229" s="68" t="s">
        <v>31</v>
      </c>
      <c r="M229" s="68" t="s">
        <v>31</v>
      </c>
      <c r="N229" s="68" t="s">
        <v>31</v>
      </c>
    </row>
    <row r="230" spans="1:16" ht="15.75">
      <c r="A230" t="s">
        <v>473</v>
      </c>
      <c r="B230">
        <v>536.00399999999991</v>
      </c>
      <c r="D230" t="s">
        <v>37</v>
      </c>
      <c r="E230" s="34" t="s">
        <v>2</v>
      </c>
      <c r="F230" s="34" t="s">
        <v>443</v>
      </c>
      <c r="G230" s="68" t="s">
        <v>57</v>
      </c>
      <c r="H230" t="s">
        <v>33</v>
      </c>
      <c r="I230" s="34">
        <v>0</v>
      </c>
      <c r="J230" s="68" t="s">
        <v>31</v>
      </c>
      <c r="K230" s="68" t="s">
        <v>31</v>
      </c>
      <c r="L230" s="68" t="s">
        <v>31</v>
      </c>
      <c r="M230" s="68" t="s">
        <v>31</v>
      </c>
      <c r="N230" s="68" t="s">
        <v>31</v>
      </c>
    </row>
    <row r="231" spans="1:16" ht="15.75">
      <c r="A231" t="s">
        <v>470</v>
      </c>
      <c r="B231">
        <v>36.041000000000054</v>
      </c>
      <c r="D231" t="s">
        <v>37</v>
      </c>
      <c r="E231" s="34" t="s">
        <v>2</v>
      </c>
      <c r="F231" s="34" t="s">
        <v>443</v>
      </c>
      <c r="G231" s="68" t="s">
        <v>57</v>
      </c>
      <c r="H231" t="s">
        <v>33</v>
      </c>
      <c r="I231" s="34">
        <v>0</v>
      </c>
      <c r="J231" s="68" t="s">
        <v>31</v>
      </c>
      <c r="K231" s="68" t="s">
        <v>31</v>
      </c>
      <c r="L231" s="68" t="s">
        <v>31</v>
      </c>
      <c r="M231" s="68" t="s">
        <v>31</v>
      </c>
      <c r="N231" s="68" t="s">
        <v>31</v>
      </c>
    </row>
    <row r="232" spans="1:16" s="66" customFormat="1" ht="15.75">
      <c r="A232" s="63" t="s">
        <v>5</v>
      </c>
      <c r="B232" s="63" t="s">
        <v>508</v>
      </c>
      <c r="C232" s="63"/>
      <c r="D232" s="64"/>
      <c r="E232" s="65"/>
      <c r="F232" s="65"/>
      <c r="G232" s="65"/>
      <c r="H232" s="65"/>
      <c r="I232" s="65"/>
      <c r="J232" s="65"/>
      <c r="K232" s="65"/>
      <c r="L232" s="65"/>
      <c r="M232" s="65"/>
      <c r="N232" s="65"/>
      <c r="O232" s="65"/>
      <c r="P232" s="65"/>
    </row>
    <row r="233" spans="1:16">
      <c r="A233" s="34" t="s">
        <v>7</v>
      </c>
      <c r="B233" s="34" t="s">
        <v>395</v>
      </c>
      <c r="C233" s="34"/>
      <c r="D233" s="34"/>
      <c r="E233" s="34"/>
      <c r="F233" s="34"/>
      <c r="G233" s="34"/>
      <c r="H233" s="34"/>
      <c r="I233" s="34"/>
      <c r="J233" s="34"/>
      <c r="K233" s="34"/>
      <c r="L233" s="34"/>
      <c r="M233" s="34"/>
      <c r="N233" s="34"/>
      <c r="O233" s="34"/>
      <c r="P233" s="34"/>
    </row>
    <row r="234" spans="1:16">
      <c r="A234" s="34" t="s">
        <v>9</v>
      </c>
      <c r="B234" s="70" t="s">
        <v>509</v>
      </c>
      <c r="C234" s="34"/>
      <c r="D234" s="34"/>
      <c r="E234" s="34"/>
      <c r="F234" s="34"/>
      <c r="G234" s="34"/>
      <c r="H234" s="34"/>
      <c r="I234" s="34"/>
      <c r="J234" s="34"/>
      <c r="K234" s="34"/>
      <c r="L234" s="34"/>
      <c r="M234" s="34"/>
      <c r="N234" s="34"/>
      <c r="O234" s="34"/>
      <c r="P234" s="34"/>
    </row>
    <row r="235" spans="1:16">
      <c r="A235" s="34" t="s">
        <v>11</v>
      </c>
      <c r="B235" s="34" t="s">
        <v>496</v>
      </c>
      <c r="C235" s="34"/>
      <c r="D235" s="34"/>
      <c r="E235" s="34"/>
      <c r="F235" s="34"/>
      <c r="G235" s="34"/>
      <c r="H235" s="34"/>
      <c r="I235" s="34"/>
      <c r="J235" s="34"/>
      <c r="K235" s="34"/>
      <c r="L235" s="34"/>
      <c r="M235" s="34"/>
      <c r="N235" s="34"/>
      <c r="O235" s="34"/>
      <c r="P235" s="34"/>
    </row>
    <row r="236" spans="1:16">
      <c r="A236" s="34" t="s">
        <v>13</v>
      </c>
      <c r="B236" s="34" t="s">
        <v>57</v>
      </c>
      <c r="C236" s="34"/>
      <c r="D236" s="34"/>
      <c r="E236" s="34"/>
      <c r="F236" s="34"/>
      <c r="G236" s="34"/>
      <c r="H236" s="34"/>
      <c r="I236" s="34"/>
      <c r="J236" s="34"/>
      <c r="K236" s="34"/>
      <c r="L236" s="34"/>
      <c r="M236" s="34"/>
      <c r="N236" s="34"/>
      <c r="O236" s="34"/>
      <c r="P236" s="34"/>
    </row>
    <row r="237" spans="1:16">
      <c r="A237" s="34" t="s">
        <v>15</v>
      </c>
      <c r="B237" s="34">
        <v>1</v>
      </c>
      <c r="C237" s="34"/>
      <c r="D237" s="34"/>
      <c r="E237" s="34"/>
      <c r="F237" s="34"/>
      <c r="G237" s="34"/>
      <c r="H237" s="34"/>
      <c r="I237" s="34"/>
      <c r="J237" s="34"/>
      <c r="K237" s="34"/>
      <c r="L237" s="34"/>
      <c r="M237" s="34"/>
      <c r="N237" s="34"/>
      <c r="O237" s="34"/>
      <c r="P237" s="34"/>
    </row>
    <row r="238" spans="1:16">
      <c r="A238" s="34" t="s">
        <v>16</v>
      </c>
      <c r="B238" s="34" t="s">
        <v>17</v>
      </c>
      <c r="C238" s="34"/>
      <c r="D238" s="34"/>
      <c r="E238" s="34"/>
      <c r="F238" s="34"/>
      <c r="G238" s="34"/>
      <c r="H238" s="34"/>
      <c r="I238" s="34"/>
      <c r="J238" s="34"/>
      <c r="K238" s="34"/>
      <c r="L238" s="34"/>
      <c r="M238" s="34"/>
      <c r="N238" s="34"/>
      <c r="O238" s="34"/>
      <c r="P238" s="34"/>
    </row>
    <row r="239" spans="1:16" ht="15.75">
      <c r="A239" s="34" t="s">
        <v>18</v>
      </c>
      <c r="B239" s="68" t="s">
        <v>18</v>
      </c>
      <c r="C239" s="34"/>
      <c r="D239" s="34"/>
      <c r="E239" s="34" t="s">
        <v>188</v>
      </c>
      <c r="F239" s="34"/>
      <c r="G239" s="34"/>
      <c r="H239" s="34"/>
      <c r="I239" s="34"/>
      <c r="J239" s="34"/>
      <c r="K239" s="34"/>
      <c r="L239" s="34"/>
      <c r="M239" s="34"/>
      <c r="N239" s="34"/>
      <c r="O239" s="34"/>
      <c r="P239" s="34"/>
    </row>
    <row r="240" spans="1:16" ht="15.75">
      <c r="A240" s="69" t="s">
        <v>19</v>
      </c>
      <c r="B240" s="34"/>
      <c r="C240" s="34"/>
      <c r="D240" s="34"/>
      <c r="E240" s="34"/>
      <c r="F240" s="34"/>
      <c r="G240" s="34"/>
      <c r="H240" s="34"/>
      <c r="I240" s="34"/>
      <c r="J240" s="34"/>
      <c r="K240" s="34"/>
      <c r="L240" s="34"/>
      <c r="M240" s="34"/>
      <c r="N240" s="34"/>
      <c r="O240" s="34"/>
      <c r="P240" s="34"/>
    </row>
    <row r="241" spans="1:16" ht="15.75">
      <c r="A241" s="69" t="s">
        <v>20</v>
      </c>
      <c r="B241" s="69" t="s">
        <v>21</v>
      </c>
      <c r="C241" s="69" t="s">
        <v>189</v>
      </c>
      <c r="D241" s="69" t="s">
        <v>18</v>
      </c>
      <c r="E241" s="69" t="s">
        <v>22</v>
      </c>
      <c r="F241" s="69" t="s">
        <v>7</v>
      </c>
      <c r="G241" s="69" t="s">
        <v>13</v>
      </c>
      <c r="H241" s="69" t="s">
        <v>16</v>
      </c>
      <c r="I241" s="69" t="s">
        <v>23</v>
      </c>
      <c r="J241" s="69" t="s">
        <v>24</v>
      </c>
      <c r="K241" s="69" t="s">
        <v>25</v>
      </c>
      <c r="L241" s="69" t="s">
        <v>26</v>
      </c>
      <c r="M241" s="69" t="s">
        <v>27</v>
      </c>
      <c r="N241" s="69" t="s">
        <v>28</v>
      </c>
      <c r="O241" s="69" t="s">
        <v>11</v>
      </c>
      <c r="P241" s="69" t="s">
        <v>393</v>
      </c>
    </row>
    <row r="242" spans="1:16" ht="15.75">
      <c r="A242" s="68" t="str">
        <f>B232</f>
        <v>treatment of airframe , conventional, Long-Term</v>
      </c>
      <c r="B242">
        <v>1</v>
      </c>
      <c r="C242" s="68"/>
      <c r="D242" s="68" t="s">
        <v>18</v>
      </c>
      <c r="E242" s="34" t="s">
        <v>2</v>
      </c>
      <c r="F242" s="34" t="s">
        <v>443</v>
      </c>
      <c r="G242" s="68" t="s">
        <v>57</v>
      </c>
      <c r="H242" s="34" t="s">
        <v>30</v>
      </c>
      <c r="I242" s="34">
        <v>0</v>
      </c>
      <c r="J242" s="68" t="s">
        <v>31</v>
      </c>
      <c r="K242" s="68" t="s">
        <v>31</v>
      </c>
      <c r="L242" s="68" t="s">
        <v>31</v>
      </c>
      <c r="M242" s="68" t="s">
        <v>31</v>
      </c>
      <c r="N242" s="68" t="s">
        <v>31</v>
      </c>
      <c r="O242" s="68"/>
      <c r="P242" s="34"/>
    </row>
    <row r="243" spans="1:16">
      <c r="A243" t="str">
        <f>A208</f>
        <v>treatment fuselage , airframe, conventional, Long-Term</v>
      </c>
      <c r="B243">
        <f t="shared" ref="B243:N243" si="1">B208</f>
        <v>1</v>
      </c>
      <c r="D243" t="str">
        <f t="shared" si="1"/>
        <v>unit</v>
      </c>
      <c r="E243" t="str">
        <f t="shared" si="1"/>
        <v>GENESIS_2050_conventional_Base</v>
      </c>
      <c r="F243" s="34" t="s">
        <v>443</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Long-Term</v>
      </c>
      <c r="B244">
        <f t="shared" ref="B244:N244" si="2">B194</f>
        <v>1</v>
      </c>
      <c r="D244" t="str">
        <f t="shared" si="2"/>
        <v>unit</v>
      </c>
      <c r="E244" t="str">
        <f t="shared" si="2"/>
        <v>GENESIS_2050_conventional_Base</v>
      </c>
      <c r="F244" s="34" t="s">
        <v>443</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Long-Term</v>
      </c>
      <c r="B245">
        <f t="shared" ref="B245:N245" si="3">B179</f>
        <v>1</v>
      </c>
      <c r="D245" t="str">
        <f t="shared" si="3"/>
        <v>unit</v>
      </c>
      <c r="E245" t="str">
        <f t="shared" si="3"/>
        <v>GENESIS_2050_conventional_Base</v>
      </c>
      <c r="F245" s="34" t="s">
        <v>443</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Long-Term</v>
      </c>
      <c r="B246">
        <f t="shared" ref="B246:N246" si="4">B159</f>
        <v>1</v>
      </c>
      <c r="D246" t="str">
        <f t="shared" si="4"/>
        <v>kilogram</v>
      </c>
      <c r="E246" t="str">
        <f t="shared" si="4"/>
        <v>GENESIS_2050_conventional_Base</v>
      </c>
      <c r="F246" s="34" t="s">
        <v>443</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Long-Term</v>
      </c>
      <c r="B247">
        <f>B224</f>
        <v>1</v>
      </c>
      <c r="D247" t="str">
        <f>D224</f>
        <v>unit</v>
      </c>
      <c r="E247" t="str">
        <f>E224</f>
        <v>GENESIS_2050_conventional_Base</v>
      </c>
      <c r="F247" t="str">
        <f>F224</f>
        <v>airframe EoL, conventional, Long-Term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tabSelected="1" workbookViewId="0">
      <selection activeCell="D14" sqref="D14"/>
    </sheetView>
  </sheetViews>
  <sheetFormatPr defaultRowHeight="15"/>
  <cols>
    <col min="1" max="1" width="47.28515625" bestFit="1" customWidth="1"/>
    <col min="2" max="2" width="40.570312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61</v>
      </c>
      <c r="C3" s="4"/>
      <c r="D3" s="13"/>
      <c r="E3" s="13"/>
      <c r="F3" s="13"/>
      <c r="G3" s="13"/>
      <c r="H3" s="13"/>
      <c r="I3" s="13"/>
      <c r="J3" s="13"/>
      <c r="K3" s="13"/>
      <c r="L3" s="13"/>
      <c r="M3" s="13"/>
    </row>
    <row r="4" spans="1:13">
      <c r="A4" s="12" t="s">
        <v>9</v>
      </c>
      <c r="B4" s="13" t="s">
        <v>62</v>
      </c>
      <c r="C4" s="4"/>
      <c r="D4" s="13"/>
      <c r="E4" s="13"/>
      <c r="F4" s="13"/>
      <c r="G4" s="13"/>
      <c r="H4" s="13"/>
      <c r="I4" s="13"/>
      <c r="J4" s="13"/>
      <c r="K4" s="13"/>
      <c r="L4" s="13"/>
      <c r="M4" s="13"/>
    </row>
    <row r="5" spans="1:13" ht="45">
      <c r="A5" s="12" t="s">
        <v>11</v>
      </c>
      <c r="B5" s="14" t="s">
        <v>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64</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65</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75">
      <c r="A15" s="7" t="s">
        <v>66</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67</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68</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69</v>
      </c>
      <c r="B18" s="13">
        <v>1</v>
      </c>
      <c r="C18" s="13" t="s">
        <v>18</v>
      </c>
      <c r="D18" s="8" t="s">
        <v>2</v>
      </c>
      <c r="E18" s="13" t="s">
        <v>70</v>
      </c>
      <c r="F18" s="13" t="s">
        <v>57</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K73" sqref="K73"/>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65</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72</v>
      </c>
      <c r="C4" s="4"/>
      <c r="D4" s="13"/>
      <c r="E4" s="13"/>
      <c r="F4" s="13"/>
      <c r="G4" s="13"/>
      <c r="H4" s="13"/>
      <c r="I4" s="13"/>
      <c r="J4" s="13"/>
      <c r="K4" s="13"/>
      <c r="L4" s="13"/>
      <c r="M4" s="13"/>
    </row>
    <row r="5" spans="1:13" ht="45">
      <c r="A5" s="12" t="s">
        <v>11</v>
      </c>
      <c r="B5" s="14" t="s">
        <v>73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65</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74</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75</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76</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77</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78</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79</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80</v>
      </c>
      <c r="B19" s="13">
        <v>25255.929600000003</v>
      </c>
      <c r="C19" s="13" t="s">
        <v>81</v>
      </c>
      <c r="D19" s="8" t="s">
        <v>82</v>
      </c>
      <c r="E19" s="13" t="s">
        <v>29</v>
      </c>
      <c r="F19" s="15" t="s">
        <v>14</v>
      </c>
      <c r="G19" s="13" t="s">
        <v>33</v>
      </c>
      <c r="H19" s="13">
        <v>2</v>
      </c>
      <c r="I19" s="13">
        <f>LN(B19)</f>
        <v>10.136816242777497</v>
      </c>
      <c r="J19" s="13">
        <v>5.0990195135927806E-2</v>
      </c>
      <c r="K19" s="13" t="s">
        <v>31</v>
      </c>
      <c r="L19" s="13" t="s">
        <v>31</v>
      </c>
      <c r="M19" s="13" t="s">
        <v>31</v>
      </c>
    </row>
    <row r="20" spans="1:13" ht="15.75">
      <c r="A20" s="7" t="s">
        <v>83</v>
      </c>
      <c r="B20" s="13">
        <f>74990.0976/(1/3.6)/38.3</f>
        <v>7048.6775812010437</v>
      </c>
      <c r="C20" s="13" t="s">
        <v>48</v>
      </c>
      <c r="D20" s="8" t="s">
        <v>82</v>
      </c>
      <c r="E20" s="13" t="s">
        <v>29</v>
      </c>
      <c r="F20" s="15" t="s">
        <v>14</v>
      </c>
      <c r="G20" s="13" t="s">
        <v>33</v>
      </c>
      <c r="H20" s="13">
        <v>2</v>
      </c>
      <c r="I20" s="13">
        <f t="shared" ref="I20:I30" si="1">LN(B20)</f>
        <v>8.8605953010769198</v>
      </c>
      <c r="J20" s="13">
        <v>5.0990195135927806E-2</v>
      </c>
      <c r="K20" s="13" t="s">
        <v>31</v>
      </c>
      <c r="L20" s="13" t="s">
        <v>31</v>
      </c>
      <c r="M20" s="13" t="s">
        <v>31</v>
      </c>
    </row>
    <row r="21" spans="1:13" ht="15.75">
      <c r="A21" s="7" t="s">
        <v>84</v>
      </c>
      <c r="B21" s="13">
        <f>10876.8*3.6</f>
        <v>39156.479999999996</v>
      </c>
      <c r="C21" s="13" t="s">
        <v>85</v>
      </c>
      <c r="D21" s="8" t="s">
        <v>82</v>
      </c>
      <c r="E21" s="13" t="s">
        <v>29</v>
      </c>
      <c r="F21" s="15" t="s">
        <v>57</v>
      </c>
      <c r="G21" s="13" t="s">
        <v>33</v>
      </c>
      <c r="H21" s="13">
        <v>2</v>
      </c>
      <c r="I21" s="13">
        <f t="shared" si="1"/>
        <v>10.575321204963862</v>
      </c>
      <c r="J21" s="13">
        <v>5.0990195135927806E-2</v>
      </c>
      <c r="K21" s="13" t="s">
        <v>31</v>
      </c>
      <c r="L21" s="13" t="s">
        <v>31</v>
      </c>
      <c r="M21" s="13" t="s">
        <v>31</v>
      </c>
    </row>
    <row r="22" spans="1:13" ht="15.75">
      <c r="A22" s="7" t="s">
        <v>86</v>
      </c>
      <c r="B22" s="13">
        <f>5.4384*3.6/44.8</f>
        <v>0.43701428571428574</v>
      </c>
      <c r="C22" s="13" t="s">
        <v>37</v>
      </c>
      <c r="D22" s="8" t="s">
        <v>82</v>
      </c>
      <c r="E22" s="13" t="s">
        <v>29</v>
      </c>
      <c r="F22" s="15" t="s">
        <v>14</v>
      </c>
      <c r="G22" s="13" t="s">
        <v>33</v>
      </c>
      <c r="H22" s="13">
        <v>2</v>
      </c>
      <c r="I22" s="13">
        <f t="shared" si="1"/>
        <v>-0.82778939399916063</v>
      </c>
      <c r="J22" s="13">
        <v>5.0990195135927806E-2</v>
      </c>
      <c r="K22" s="13" t="s">
        <v>31</v>
      </c>
      <c r="L22" s="13" t="s">
        <v>31</v>
      </c>
      <c r="M22" s="13" t="s">
        <v>31</v>
      </c>
    </row>
    <row r="23" spans="1:13" ht="15.75">
      <c r="A23" s="7" t="s">
        <v>36</v>
      </c>
      <c r="B23" s="13">
        <f>3284.7936*3.6/46.2</f>
        <v>255.95794285714285</v>
      </c>
      <c r="C23" s="13" t="s">
        <v>37</v>
      </c>
      <c r="D23" s="8" t="s">
        <v>82</v>
      </c>
      <c r="E23" s="13" t="s">
        <v>29</v>
      </c>
      <c r="F23" s="15" t="s">
        <v>39</v>
      </c>
      <c r="G23" s="13" t="s">
        <v>33</v>
      </c>
      <c r="H23" s="13">
        <v>2</v>
      </c>
      <c r="I23" s="13">
        <f t="shared" si="1"/>
        <v>5.5450131452689009</v>
      </c>
      <c r="J23" s="13">
        <v>5.0990195135927806E-2</v>
      </c>
      <c r="K23" s="13" t="s">
        <v>31</v>
      </c>
      <c r="L23" s="13" t="s">
        <v>31</v>
      </c>
      <c r="M23" s="13" t="s">
        <v>31</v>
      </c>
    </row>
    <row r="24" spans="1:13" ht="15.75">
      <c r="A24" s="7" t="s">
        <v>87</v>
      </c>
      <c r="B24" s="9">
        <v>5438.4000000000005</v>
      </c>
      <c r="C24" s="13" t="s">
        <v>37</v>
      </c>
      <c r="D24" s="8" t="s">
        <v>82</v>
      </c>
      <c r="E24" s="13" t="s">
        <v>29</v>
      </c>
      <c r="F24" s="15" t="s">
        <v>57</v>
      </c>
      <c r="G24" s="13" t="s">
        <v>33</v>
      </c>
      <c r="H24" s="13">
        <v>2</v>
      </c>
      <c r="I24" s="13">
        <f t="shared" si="1"/>
        <v>8.6012401789418522</v>
      </c>
      <c r="J24" s="13">
        <v>5.0990195135927806E-2</v>
      </c>
      <c r="K24" s="13" t="s">
        <v>31</v>
      </c>
      <c r="L24" s="13" t="s">
        <v>31</v>
      </c>
      <c r="M24" s="13" t="s">
        <v>31</v>
      </c>
    </row>
    <row r="25" spans="1:13" ht="15.75">
      <c r="A25" s="7" t="s">
        <v>88</v>
      </c>
      <c r="B25" s="9">
        <f>5348.4/1000</f>
        <v>5.3483999999999998</v>
      </c>
      <c r="C25" s="13" t="s">
        <v>48</v>
      </c>
      <c r="D25" s="8" t="s">
        <v>82</v>
      </c>
      <c r="E25" s="13" t="s">
        <v>29</v>
      </c>
      <c r="F25" s="15" t="s">
        <v>39</v>
      </c>
      <c r="G25" s="13" t="s">
        <v>33</v>
      </c>
      <c r="H25" s="13">
        <v>2</v>
      </c>
      <c r="I25" s="13">
        <f t="shared" si="1"/>
        <v>1.6767974507583734</v>
      </c>
      <c r="J25" s="13">
        <v>5.0990195135927806E-2</v>
      </c>
      <c r="K25" s="13" t="s">
        <v>31</v>
      </c>
      <c r="L25" s="13" t="s">
        <v>31</v>
      </c>
      <c r="M25" s="13" t="s">
        <v>31</v>
      </c>
    </row>
    <row r="26" spans="1:13" ht="15.75">
      <c r="A26" s="7" t="s">
        <v>46</v>
      </c>
      <c r="B26" s="9">
        <v>2995.4707200000003</v>
      </c>
      <c r="C26" s="13" t="s">
        <v>37</v>
      </c>
      <c r="D26" s="8" t="s">
        <v>41</v>
      </c>
      <c r="E26" s="13" t="s">
        <v>42</v>
      </c>
      <c r="F26" s="15" t="s">
        <v>29</v>
      </c>
      <c r="G26" s="13" t="s">
        <v>43</v>
      </c>
      <c r="H26" s="13">
        <v>2</v>
      </c>
      <c r="I26" s="13">
        <f t="shared" si="1"/>
        <v>8.0048566668142147</v>
      </c>
      <c r="J26" s="13">
        <v>5.0990195135927806E-2</v>
      </c>
      <c r="K26" s="13" t="s">
        <v>31</v>
      </c>
      <c r="L26" s="13" t="s">
        <v>31</v>
      </c>
      <c r="M26" s="13" t="s">
        <v>31</v>
      </c>
    </row>
    <row r="27" spans="1:13" ht="15.75">
      <c r="A27" s="7" t="s">
        <v>89</v>
      </c>
      <c r="B27" s="9">
        <v>28.516881254400005</v>
      </c>
      <c r="C27" s="13" t="s">
        <v>37</v>
      </c>
      <c r="D27" s="8" t="s">
        <v>41</v>
      </c>
      <c r="E27" s="13" t="s">
        <v>42</v>
      </c>
      <c r="F27" s="15" t="s">
        <v>29</v>
      </c>
      <c r="G27" s="13" t="s">
        <v>43</v>
      </c>
      <c r="H27" s="13">
        <v>2</v>
      </c>
      <c r="I27" s="13">
        <f t="shared" si="1"/>
        <v>3.3504962366353515</v>
      </c>
      <c r="J27" s="13">
        <v>5.0990195135927806E-2</v>
      </c>
      <c r="K27" s="13" t="s">
        <v>31</v>
      </c>
      <c r="L27" s="13" t="s">
        <v>31</v>
      </c>
      <c r="M27" s="13" t="s">
        <v>31</v>
      </c>
    </row>
    <row r="28" spans="1:13" ht="15.75">
      <c r="A28" s="7" t="s">
        <v>49</v>
      </c>
      <c r="B28" s="9">
        <v>0.33449423040000004</v>
      </c>
      <c r="C28" s="13" t="s">
        <v>37</v>
      </c>
      <c r="D28" s="8" t="s">
        <v>41</v>
      </c>
      <c r="E28" s="13" t="s">
        <v>42</v>
      </c>
      <c r="F28" s="15" t="s">
        <v>29</v>
      </c>
      <c r="G28" s="13" t="s">
        <v>43</v>
      </c>
      <c r="H28" s="13">
        <v>2</v>
      </c>
      <c r="I28" s="13">
        <f t="shared" si="1"/>
        <v>-1.0951356479931029</v>
      </c>
      <c r="J28" s="13">
        <v>5.0990195135927806E-2</v>
      </c>
      <c r="K28" s="13" t="s">
        <v>31</v>
      </c>
      <c r="L28" s="13" t="s">
        <v>31</v>
      </c>
      <c r="M28" s="13" t="s">
        <v>31</v>
      </c>
    </row>
    <row r="29" spans="1:13" ht="15.75">
      <c r="A29" s="7" t="s">
        <v>40</v>
      </c>
      <c r="B29" s="9">
        <v>0.37942629120000004</v>
      </c>
      <c r="C29" s="13" t="s">
        <v>37</v>
      </c>
      <c r="D29" s="8" t="s">
        <v>41</v>
      </c>
      <c r="E29" s="13" t="s">
        <v>42</v>
      </c>
      <c r="F29" s="15" t="s">
        <v>29</v>
      </c>
      <c r="G29" s="13" t="s">
        <v>43</v>
      </c>
      <c r="H29" s="13">
        <v>2</v>
      </c>
      <c r="I29" s="13">
        <f t="shared" si="1"/>
        <v>-0.96909492709773792</v>
      </c>
      <c r="J29" s="13">
        <v>5.0990195135927806E-2</v>
      </c>
      <c r="K29" s="13" t="s">
        <v>31</v>
      </c>
      <c r="L29" s="13" t="s">
        <v>31</v>
      </c>
      <c r="M29" s="13" t="s">
        <v>31</v>
      </c>
    </row>
    <row r="30" spans="1:13" ht="15.75">
      <c r="A30" s="10" t="s">
        <v>90</v>
      </c>
      <c r="B30" s="9">
        <v>135.96</v>
      </c>
      <c r="C30" s="13" t="s">
        <v>37</v>
      </c>
      <c r="D30" s="8" t="s">
        <v>82</v>
      </c>
      <c r="E30" s="13" t="s">
        <v>29</v>
      </c>
      <c r="F30" s="15" t="s">
        <v>91</v>
      </c>
      <c r="G30" s="13" t="s">
        <v>33</v>
      </c>
      <c r="H30" s="13">
        <v>2</v>
      </c>
      <c r="I30" s="13">
        <f t="shared" si="1"/>
        <v>4.9123607248279155</v>
      </c>
      <c r="J30" s="13">
        <v>5.0990195135927806E-2</v>
      </c>
      <c r="K30" s="13" t="s">
        <v>31</v>
      </c>
      <c r="L30" s="13" t="s">
        <v>31</v>
      </c>
      <c r="M30" s="13" t="s">
        <v>31</v>
      </c>
    </row>
    <row r="31" spans="1:13" ht="15.75">
      <c r="A31" s="1" t="s">
        <v>5</v>
      </c>
      <c r="B31" s="2" t="s">
        <v>74</v>
      </c>
      <c r="C31" s="3"/>
      <c r="D31" s="11"/>
      <c r="E31" s="11"/>
      <c r="F31" s="11"/>
      <c r="G31" s="11"/>
      <c r="H31" s="11"/>
      <c r="I31" s="11"/>
      <c r="J31" s="11"/>
      <c r="K31" s="11"/>
      <c r="L31" s="11"/>
      <c r="M31" s="11"/>
    </row>
    <row r="32" spans="1:13">
      <c r="A32" s="12" t="s">
        <v>7</v>
      </c>
      <c r="B32" s="13" t="s">
        <v>61</v>
      </c>
      <c r="C32" s="4"/>
      <c r="D32" s="13"/>
      <c r="E32" s="13"/>
      <c r="F32" s="13"/>
      <c r="G32" s="13"/>
      <c r="H32" s="13"/>
      <c r="I32" s="13"/>
      <c r="J32" s="13"/>
      <c r="K32" s="13"/>
      <c r="L32" s="13"/>
      <c r="M32" s="13"/>
    </row>
    <row r="33" spans="1:13">
      <c r="A33" s="12" t="s">
        <v>9</v>
      </c>
      <c r="B33" s="13" t="s">
        <v>92</v>
      </c>
      <c r="C33" s="13"/>
      <c r="D33" s="13"/>
      <c r="E33" s="13"/>
      <c r="F33" s="13"/>
      <c r="G33" s="13"/>
      <c r="H33" s="13"/>
      <c r="I33" s="13"/>
      <c r="J33" s="13"/>
      <c r="K33" s="13"/>
      <c r="L33" s="13"/>
      <c r="M33" s="13"/>
    </row>
    <row r="34" spans="1:13" ht="45">
      <c r="A34" s="12" t="s">
        <v>11</v>
      </c>
      <c r="B34" s="14" t="s">
        <v>93</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74</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94</v>
      </c>
      <c r="B42" s="13">
        <v>1523.43884</v>
      </c>
      <c r="C42" s="13" t="s">
        <v>37</v>
      </c>
      <c r="D42" s="8" t="s">
        <v>82</v>
      </c>
      <c r="E42" s="13" t="s">
        <v>29</v>
      </c>
      <c r="F42" s="15" t="s">
        <v>57</v>
      </c>
      <c r="G42" s="13" t="s">
        <v>33</v>
      </c>
      <c r="H42" s="13">
        <v>2</v>
      </c>
      <c r="I42" s="13">
        <f t="shared" ref="I42:I45" si="2">LN(B42)</f>
        <v>7.3287254532156236</v>
      </c>
      <c r="J42" s="13">
        <v>0.24083189157584584</v>
      </c>
      <c r="K42" s="13" t="s">
        <v>31</v>
      </c>
      <c r="L42" s="13" t="s">
        <v>31</v>
      </c>
      <c r="M42" s="13" t="s">
        <v>31</v>
      </c>
    </row>
    <row r="43" spans="1:13" ht="15.75">
      <c r="A43" s="7" t="s">
        <v>95</v>
      </c>
      <c r="B43" s="13">
        <v>51.239979999999996</v>
      </c>
      <c r="C43" s="13" t="s">
        <v>37</v>
      </c>
      <c r="D43" s="8" t="s">
        <v>82</v>
      </c>
      <c r="E43" s="13" t="s">
        <v>29</v>
      </c>
      <c r="F43" s="15" t="s">
        <v>57</v>
      </c>
      <c r="G43" s="13" t="s">
        <v>33</v>
      </c>
      <c r="H43" s="13">
        <v>2</v>
      </c>
      <c r="I43" s="13">
        <f t="shared" si="2"/>
        <v>3.9365200867083949</v>
      </c>
      <c r="J43" s="13">
        <v>0.24083189157584584</v>
      </c>
      <c r="K43" s="13" t="s">
        <v>31</v>
      </c>
      <c r="L43" s="13" t="s">
        <v>31</v>
      </c>
      <c r="M43" s="13" t="s">
        <v>31</v>
      </c>
    </row>
    <row r="44" spans="1:13" ht="15.75">
      <c r="A44" s="7" t="s">
        <v>96</v>
      </c>
      <c r="B44" s="13">
        <v>139.05407999999997</v>
      </c>
      <c r="C44" s="13" t="s">
        <v>37</v>
      </c>
      <c r="D44" s="8" t="s">
        <v>82</v>
      </c>
      <c r="E44" s="13" t="s">
        <v>29</v>
      </c>
      <c r="F44" s="15" t="s">
        <v>57</v>
      </c>
      <c r="G44" s="13" t="s">
        <v>33</v>
      </c>
      <c r="H44" s="13">
        <v>2</v>
      </c>
      <c r="I44" s="13">
        <f t="shared" si="2"/>
        <v>4.9348629222128295</v>
      </c>
      <c r="J44" s="13">
        <v>0.24083189157584584</v>
      </c>
      <c r="K44" s="13" t="s">
        <v>31</v>
      </c>
      <c r="L44" s="13" t="s">
        <v>31</v>
      </c>
      <c r="M44" s="13" t="s">
        <v>31</v>
      </c>
    </row>
    <row r="45" spans="1:13" ht="15.75">
      <c r="A45" s="7" t="s">
        <v>97</v>
      </c>
      <c r="B45" s="13">
        <v>96.867099999999994</v>
      </c>
      <c r="C45" s="13" t="s">
        <v>37</v>
      </c>
      <c r="D45" s="8" t="s">
        <v>82</v>
      </c>
      <c r="E45" s="13" t="s">
        <v>29</v>
      </c>
      <c r="F45" s="15" t="s">
        <v>57</v>
      </c>
      <c r="G45" s="13" t="s">
        <v>33</v>
      </c>
      <c r="H45" s="13">
        <v>2</v>
      </c>
      <c r="I45" s="13">
        <f t="shared" si="2"/>
        <v>4.5733399359611635</v>
      </c>
      <c r="J45" s="13">
        <v>0.24083189157584584</v>
      </c>
      <c r="K45" s="13" t="s">
        <v>31</v>
      </c>
      <c r="L45" s="13" t="s">
        <v>31</v>
      </c>
      <c r="M45" s="13" t="s">
        <v>31</v>
      </c>
    </row>
    <row r="46" spans="1:13" ht="15.75">
      <c r="A46" s="1" t="s">
        <v>5</v>
      </c>
      <c r="B46" s="2" t="s">
        <v>75</v>
      </c>
      <c r="C46" s="3"/>
      <c r="D46" s="11"/>
      <c r="E46" s="11"/>
      <c r="F46" s="11"/>
      <c r="G46" s="11"/>
      <c r="H46" s="11"/>
      <c r="I46" s="11"/>
      <c r="J46" s="11"/>
      <c r="K46" s="11"/>
      <c r="L46" s="11"/>
      <c r="M46" s="11"/>
    </row>
    <row r="47" spans="1:13">
      <c r="A47" s="12" t="s">
        <v>7</v>
      </c>
      <c r="B47" s="13" t="s">
        <v>61</v>
      </c>
      <c r="C47" s="4"/>
      <c r="D47" s="13"/>
      <c r="E47" s="13"/>
      <c r="F47" s="13"/>
      <c r="G47" s="13"/>
      <c r="H47" s="13"/>
      <c r="I47" s="13"/>
      <c r="J47" s="13"/>
      <c r="K47" s="13"/>
      <c r="L47" s="13"/>
      <c r="M47" s="13"/>
    </row>
    <row r="48" spans="1:13">
      <c r="A48" s="12" t="s">
        <v>9</v>
      </c>
      <c r="B48" s="13" t="s">
        <v>98</v>
      </c>
      <c r="C48" s="13"/>
      <c r="D48" s="13"/>
      <c r="E48" s="13"/>
      <c r="F48" s="13"/>
      <c r="G48" s="13"/>
      <c r="H48" s="13"/>
      <c r="I48" s="13"/>
      <c r="J48" s="13"/>
      <c r="K48" s="13"/>
      <c r="L48" s="13"/>
      <c r="M48" s="13"/>
    </row>
    <row r="49" spans="1:13" ht="45">
      <c r="A49" s="12" t="s">
        <v>11</v>
      </c>
      <c r="B49" s="14" t="s">
        <v>99</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75</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94</v>
      </c>
      <c r="B57" s="13">
        <v>10.815663292488013</v>
      </c>
      <c r="C57" s="13" t="s">
        <v>37</v>
      </c>
      <c r="D57" s="8" t="s">
        <v>82</v>
      </c>
      <c r="E57" s="13" t="s">
        <v>29</v>
      </c>
      <c r="F57" s="15" t="s">
        <v>57</v>
      </c>
      <c r="G57" s="13" t="s">
        <v>33</v>
      </c>
      <c r="H57" s="13">
        <v>2</v>
      </c>
      <c r="I57" s="13">
        <f>LN(B57)</f>
        <v>2.3809953883138264</v>
      </c>
      <c r="J57" s="13">
        <v>0.24083189157584584</v>
      </c>
      <c r="K57" s="13" t="s">
        <v>31</v>
      </c>
      <c r="L57" s="13" t="s">
        <v>31</v>
      </c>
      <c r="M57" s="13" t="s">
        <v>31</v>
      </c>
    </row>
    <row r="58" spans="1:13" ht="15.75">
      <c r="A58" s="7" t="s">
        <v>96</v>
      </c>
      <c r="B58" s="13">
        <v>184.40170484816201</v>
      </c>
      <c r="C58" s="13" t="s">
        <v>37</v>
      </c>
      <c r="D58" s="8" t="s">
        <v>82</v>
      </c>
      <c r="E58" s="13" t="s">
        <v>29</v>
      </c>
      <c r="F58" s="15" t="s">
        <v>57</v>
      </c>
      <c r="G58" s="13" t="s">
        <v>33</v>
      </c>
      <c r="H58" s="13">
        <v>2</v>
      </c>
      <c r="I58" s="13">
        <f>LN(B58)</f>
        <v>5.2171165564602431</v>
      </c>
      <c r="J58" s="13">
        <v>0.24083189157584584</v>
      </c>
      <c r="K58" s="13" t="s">
        <v>31</v>
      </c>
      <c r="L58" s="13" t="s">
        <v>31</v>
      </c>
      <c r="M58" s="13" t="s">
        <v>31</v>
      </c>
    </row>
    <row r="59" spans="1:13" ht="15.75">
      <c r="A59" s="7" t="s">
        <v>100</v>
      </c>
      <c r="B59" s="13">
        <v>5.782631859350027</v>
      </c>
      <c r="C59" s="13" t="s">
        <v>37</v>
      </c>
      <c r="D59" s="8" t="s">
        <v>82</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76</v>
      </c>
      <c r="C60" s="3"/>
      <c r="D60" s="11"/>
      <c r="E60" s="11"/>
      <c r="F60" s="11"/>
      <c r="G60" s="11"/>
      <c r="H60" s="11"/>
      <c r="I60" s="11"/>
      <c r="J60" s="11"/>
      <c r="K60" s="11"/>
      <c r="L60" s="11"/>
      <c r="M60" s="11"/>
    </row>
    <row r="61" spans="1:13">
      <c r="A61" s="12" t="s">
        <v>7</v>
      </c>
      <c r="B61" s="13" t="s">
        <v>61</v>
      </c>
      <c r="C61" s="4"/>
      <c r="D61" s="13"/>
      <c r="E61" s="13"/>
      <c r="F61" s="13"/>
      <c r="G61" s="13"/>
      <c r="H61" s="13"/>
      <c r="I61" s="13"/>
      <c r="J61" s="13"/>
      <c r="K61" s="13"/>
      <c r="L61" s="13"/>
      <c r="M61" s="13"/>
    </row>
    <row r="62" spans="1:13">
      <c r="A62" s="12" t="s">
        <v>9</v>
      </c>
      <c r="B62" s="13" t="s">
        <v>101</v>
      </c>
      <c r="C62" s="13"/>
      <c r="D62" s="13"/>
      <c r="E62" s="13"/>
      <c r="F62" s="13"/>
      <c r="G62" s="13"/>
      <c r="H62" s="13"/>
      <c r="I62" s="13"/>
      <c r="J62" s="13"/>
      <c r="K62" s="13"/>
      <c r="L62" s="13"/>
      <c r="M62" s="13"/>
    </row>
    <row r="63" spans="1:13" ht="45">
      <c r="A63" s="12" t="s">
        <v>11</v>
      </c>
      <c r="B63" s="14" t="s">
        <v>102</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76</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94</v>
      </c>
      <c r="B71" s="13">
        <v>8.8535234899328845</v>
      </c>
      <c r="C71" s="13" t="s">
        <v>37</v>
      </c>
      <c r="D71" s="8" t="s">
        <v>82</v>
      </c>
      <c r="E71" s="13" t="s">
        <v>29</v>
      </c>
      <c r="F71" s="15" t="s">
        <v>57</v>
      </c>
      <c r="G71" s="13" t="s">
        <v>33</v>
      </c>
      <c r="H71" s="13">
        <v>2</v>
      </c>
      <c r="I71" s="13">
        <f>LN(B71)</f>
        <v>2.180815514241039</v>
      </c>
      <c r="J71" s="13">
        <v>0.24083189157584584</v>
      </c>
      <c r="K71" s="13" t="s">
        <v>31</v>
      </c>
      <c r="L71" s="13" t="s">
        <v>31</v>
      </c>
      <c r="M71" s="13" t="s">
        <v>31</v>
      </c>
    </row>
    <row r="72" spans="1:13" ht="15.75">
      <c r="A72" s="7" t="s">
        <v>96</v>
      </c>
      <c r="B72" s="13">
        <v>141.65637583892615</v>
      </c>
      <c r="C72" s="13" t="s">
        <v>37</v>
      </c>
      <c r="D72" s="8" t="s">
        <v>82</v>
      </c>
      <c r="E72" s="13" t="s">
        <v>29</v>
      </c>
      <c r="F72" s="15" t="s">
        <v>57</v>
      </c>
      <c r="G72" s="13" t="s">
        <v>33</v>
      </c>
      <c r="H72" s="13">
        <v>2</v>
      </c>
      <c r="I72" s="13">
        <f>LN(B72)</f>
        <v>4.9534042364808197</v>
      </c>
      <c r="J72" s="13">
        <v>0.24083189157584584</v>
      </c>
      <c r="K72" s="13" t="s">
        <v>31</v>
      </c>
      <c r="L72" s="13" t="s">
        <v>31</v>
      </c>
      <c r="M72" s="13" t="s">
        <v>31</v>
      </c>
    </row>
    <row r="73" spans="1:13" ht="15.75">
      <c r="A73" s="7" t="s">
        <v>100</v>
      </c>
      <c r="B73" s="13">
        <v>106.89010067114093</v>
      </c>
      <c r="C73" s="13" t="s">
        <v>37</v>
      </c>
      <c r="D73" s="8" t="s">
        <v>82</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77</v>
      </c>
      <c r="C74" s="3"/>
      <c r="D74" s="11"/>
      <c r="E74" s="11"/>
      <c r="F74" s="11"/>
      <c r="G74" s="11"/>
      <c r="H74" s="11"/>
      <c r="I74" s="11"/>
      <c r="J74" s="11"/>
      <c r="K74" s="11"/>
      <c r="L74" s="11"/>
      <c r="M74" s="11"/>
    </row>
    <row r="75" spans="1:13">
      <c r="A75" s="12" t="s">
        <v>7</v>
      </c>
      <c r="B75" s="13" t="s">
        <v>61</v>
      </c>
      <c r="C75" s="4"/>
      <c r="D75" s="13"/>
      <c r="E75" s="13"/>
      <c r="F75" s="13"/>
      <c r="G75" s="13"/>
      <c r="H75" s="13"/>
      <c r="I75" s="13"/>
      <c r="J75" s="13"/>
      <c r="K75" s="13"/>
      <c r="L75" s="13"/>
      <c r="M75" s="13"/>
    </row>
    <row r="76" spans="1:13">
      <c r="A76" s="12" t="s">
        <v>9</v>
      </c>
      <c r="B76" s="13" t="s">
        <v>103</v>
      </c>
      <c r="C76" s="13"/>
      <c r="D76" s="13"/>
      <c r="E76" s="13"/>
      <c r="F76" s="13"/>
      <c r="G76" s="13"/>
      <c r="H76" s="13"/>
      <c r="I76" s="13"/>
      <c r="J76" s="13"/>
      <c r="K76" s="13"/>
      <c r="L76" s="13"/>
      <c r="M76" s="13"/>
    </row>
    <row r="77" spans="1:13" ht="60">
      <c r="A77" s="12" t="s">
        <v>11</v>
      </c>
      <c r="B77" s="14" t="s">
        <v>104</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77</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94</v>
      </c>
      <c r="B85" s="13">
        <f>2019.81731223859/2306.857618*2374.3</f>
        <v>2078.8678967563765</v>
      </c>
      <c r="C85" s="13" t="s">
        <v>37</v>
      </c>
      <c r="D85" s="8" t="s">
        <v>82</v>
      </c>
      <c r="E85" s="13" t="s">
        <v>29</v>
      </c>
      <c r="F85" s="15" t="s">
        <v>57</v>
      </c>
      <c r="G85" s="13" t="s">
        <v>33</v>
      </c>
      <c r="H85" s="13">
        <v>2</v>
      </c>
      <c r="I85" s="13">
        <f>LN(B85)</f>
        <v>7.6395787441154273</v>
      </c>
      <c r="J85" s="13">
        <v>0.24083189157584584</v>
      </c>
      <c r="K85" s="13" t="s">
        <v>31</v>
      </c>
      <c r="L85" s="13" t="s">
        <v>31</v>
      </c>
      <c r="M85" s="13" t="s">
        <v>31</v>
      </c>
    </row>
    <row r="86" spans="1:13" ht="15.75">
      <c r="A86" s="7" t="s">
        <v>100</v>
      </c>
      <c r="B86" s="13">
        <f>10.7942353155119/2306.857618*2374.3</f>
        <v>11.109811333670228</v>
      </c>
      <c r="C86" s="13" t="s">
        <v>37</v>
      </c>
      <c r="D86" s="8" t="s">
        <v>82</v>
      </c>
      <c r="E86" s="13" t="s">
        <v>29</v>
      </c>
      <c r="F86" s="15" t="s">
        <v>57</v>
      </c>
      <c r="G86" s="13" t="s">
        <v>33</v>
      </c>
      <c r="H86" s="13">
        <v>2</v>
      </c>
      <c r="I86" s="13">
        <f>LN(B86)</f>
        <v>2.4078286218395024</v>
      </c>
      <c r="J86" s="13">
        <v>0.24083189157584584</v>
      </c>
      <c r="K86" s="13" t="s">
        <v>31</v>
      </c>
      <c r="L86" s="13" t="s">
        <v>31</v>
      </c>
      <c r="M86" s="13" t="s">
        <v>31</v>
      </c>
    </row>
    <row r="87" spans="1:13" ht="15.75">
      <c r="A87" s="7" t="s">
        <v>95</v>
      </c>
      <c r="B87" s="13">
        <f>16.320883797054/2306.857618*2374.3</f>
        <v>16.798034736509393</v>
      </c>
      <c r="C87" s="13" t="s">
        <v>37</v>
      </c>
      <c r="D87" s="8" t="s">
        <v>82</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97</v>
      </c>
      <c r="B88" s="13">
        <f>107.942353155119/2306.857618*2374.3</f>
        <v>111.09811333670228</v>
      </c>
      <c r="C88" s="13" t="s">
        <v>37</v>
      </c>
      <c r="D88" s="8" t="s">
        <v>82</v>
      </c>
      <c r="E88" s="13" t="s">
        <v>29</v>
      </c>
      <c r="F88" s="15" t="s">
        <v>57</v>
      </c>
      <c r="G88" s="13" t="s">
        <v>33</v>
      </c>
      <c r="H88" s="13">
        <v>2</v>
      </c>
      <c r="I88" s="13">
        <f t="shared" si="3"/>
        <v>4.7104137148335479</v>
      </c>
      <c r="J88" s="13">
        <v>0.24083189157584584</v>
      </c>
      <c r="K88" s="13" t="s">
        <v>31</v>
      </c>
      <c r="L88" s="13" t="s">
        <v>31</v>
      </c>
      <c r="M88" s="13" t="s">
        <v>31</v>
      </c>
    </row>
    <row r="89" spans="1:13" ht="15.75">
      <c r="A89" s="7" t="s">
        <v>96</v>
      </c>
      <c r="B89" s="13">
        <f>151.982833242408/2306.857618*2374.3</f>
        <v>156.42614357807724</v>
      </c>
      <c r="C89" s="13" t="s">
        <v>37</v>
      </c>
      <c r="D89" s="8" t="s">
        <v>82</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78</v>
      </c>
      <c r="C90" s="3"/>
      <c r="D90" s="11"/>
      <c r="E90" s="11"/>
      <c r="F90" s="11"/>
      <c r="G90" s="11"/>
      <c r="H90" s="11"/>
      <c r="I90" s="11"/>
      <c r="J90" s="11"/>
      <c r="K90" s="11"/>
      <c r="L90" s="11"/>
      <c r="M90" s="11"/>
    </row>
    <row r="91" spans="1:13">
      <c r="A91" s="12" t="s">
        <v>7</v>
      </c>
      <c r="B91" s="13" t="s">
        <v>61</v>
      </c>
      <c r="C91" s="4"/>
      <c r="D91" s="13"/>
      <c r="E91" s="13"/>
      <c r="F91" s="13"/>
      <c r="G91" s="13"/>
      <c r="H91" s="13"/>
      <c r="I91" s="13"/>
      <c r="J91" s="13"/>
      <c r="K91" s="13"/>
      <c r="L91" s="13"/>
      <c r="M91" s="13"/>
    </row>
    <row r="92" spans="1:13">
      <c r="A92" s="12" t="s">
        <v>9</v>
      </c>
      <c r="B92" s="13" t="s">
        <v>105</v>
      </c>
      <c r="C92" s="13"/>
      <c r="D92" s="13"/>
      <c r="E92" s="13"/>
      <c r="F92" s="13"/>
      <c r="G92" s="13"/>
      <c r="H92" s="13"/>
      <c r="I92" s="13"/>
      <c r="J92" s="13"/>
      <c r="K92" s="13"/>
      <c r="L92" s="13"/>
      <c r="M92" s="13"/>
    </row>
    <row r="93" spans="1:13" ht="45">
      <c r="A93" s="12" t="s">
        <v>11</v>
      </c>
      <c r="B93" s="14" t="s">
        <v>106</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78</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94</v>
      </c>
      <c r="B101" s="13">
        <v>31.484676697844652</v>
      </c>
      <c r="C101" s="13" t="s">
        <v>37</v>
      </c>
      <c r="D101" s="8" t="s">
        <v>82</v>
      </c>
      <c r="E101" s="13" t="s">
        <v>29</v>
      </c>
      <c r="F101" s="15" t="s">
        <v>57</v>
      </c>
      <c r="G101" s="13" t="s">
        <v>33</v>
      </c>
      <c r="H101" s="13">
        <v>2</v>
      </c>
      <c r="I101" s="13">
        <f>LN(B101)</f>
        <v>3.4495009734377597</v>
      </c>
      <c r="J101" s="13">
        <v>0.24083189157584584</v>
      </c>
      <c r="K101" s="13" t="s">
        <v>31</v>
      </c>
      <c r="L101" s="13" t="s">
        <v>31</v>
      </c>
      <c r="M101" s="13" t="s">
        <v>31</v>
      </c>
    </row>
    <row r="102" spans="1:13" ht="15.75">
      <c r="A102" s="7" t="s">
        <v>95</v>
      </c>
      <c r="B102" s="13">
        <v>575.89193167954454</v>
      </c>
      <c r="C102" s="13" t="s">
        <v>37</v>
      </c>
      <c r="D102" s="8" t="s">
        <v>82</v>
      </c>
      <c r="E102" s="13" t="s">
        <v>29</v>
      </c>
      <c r="F102" s="15" t="s">
        <v>57</v>
      </c>
      <c r="G102" s="13" t="s">
        <v>33</v>
      </c>
      <c r="H102" s="13">
        <v>2</v>
      </c>
      <c r="I102" s="13">
        <f>LN(B102)</f>
        <v>6.3559200244814162</v>
      </c>
      <c r="J102" s="13">
        <v>0.24083189157584584</v>
      </c>
      <c r="K102" s="13" t="s">
        <v>31</v>
      </c>
      <c r="L102" s="13" t="s">
        <v>31</v>
      </c>
      <c r="M102" s="13" t="s">
        <v>31</v>
      </c>
    </row>
    <row r="103" spans="1:13" ht="15.75">
      <c r="A103" s="7" t="s">
        <v>96</v>
      </c>
      <c r="B103" s="13">
        <v>5.2387149247661648</v>
      </c>
      <c r="C103" s="13" t="s">
        <v>37</v>
      </c>
      <c r="D103" s="8" t="s">
        <v>82</v>
      </c>
      <c r="E103" s="13" t="s">
        <v>29</v>
      </c>
      <c r="F103" s="15" t="s">
        <v>57</v>
      </c>
      <c r="G103" s="13" t="s">
        <v>33</v>
      </c>
      <c r="H103" s="13">
        <v>2</v>
      </c>
      <c r="I103" s="13">
        <f t="shared" ref="I103:I104" si="4">LN(B103)</f>
        <v>1.6560762248906433</v>
      </c>
      <c r="J103" s="13">
        <v>0.24083189157584584</v>
      </c>
      <c r="K103" s="13" t="s">
        <v>31</v>
      </c>
      <c r="L103" s="13" t="s">
        <v>31</v>
      </c>
      <c r="M103" s="13" t="s">
        <v>31</v>
      </c>
    </row>
    <row r="104" spans="1:13" ht="15.75">
      <c r="A104" s="7" t="s">
        <v>97</v>
      </c>
      <c r="B104" s="13">
        <v>31.484676697844652</v>
      </c>
      <c r="C104" s="13" t="s">
        <v>37</v>
      </c>
      <c r="D104" s="8" t="s">
        <v>82</v>
      </c>
      <c r="E104" s="13" t="s">
        <v>29</v>
      </c>
      <c r="F104" s="15" t="s">
        <v>57</v>
      </c>
      <c r="G104" s="13" t="s">
        <v>33</v>
      </c>
      <c r="H104" s="13">
        <v>2</v>
      </c>
      <c r="I104" s="13">
        <f t="shared" si="4"/>
        <v>3.4495009734377597</v>
      </c>
      <c r="J104" s="13">
        <v>0.24083189157584584</v>
      </c>
      <c r="K104" s="13" t="s">
        <v>31</v>
      </c>
      <c r="L104" s="13" t="s">
        <v>31</v>
      </c>
      <c r="M104" s="13" t="s">
        <v>31</v>
      </c>
    </row>
    <row r="105" spans="1:13" ht="15.75">
      <c r="A105" s="1" t="s">
        <v>5</v>
      </c>
      <c r="B105" s="2" t="s">
        <v>79</v>
      </c>
      <c r="C105" s="3"/>
      <c r="D105" s="11"/>
      <c r="E105" s="11"/>
      <c r="F105" s="11"/>
      <c r="G105" s="11"/>
      <c r="H105" s="11"/>
      <c r="I105" s="11"/>
      <c r="J105" s="11"/>
      <c r="K105" s="11"/>
      <c r="L105" s="11"/>
      <c r="M105" s="11"/>
    </row>
    <row r="106" spans="1:13">
      <c r="A106" s="12" t="s">
        <v>7</v>
      </c>
      <c r="B106" s="13" t="s">
        <v>61</v>
      </c>
      <c r="C106" s="4"/>
      <c r="D106" s="13"/>
      <c r="E106" s="13"/>
      <c r="F106" s="13"/>
      <c r="G106" s="13"/>
      <c r="H106" s="13"/>
      <c r="I106" s="13"/>
      <c r="J106" s="13"/>
      <c r="K106" s="13"/>
      <c r="L106" s="13"/>
      <c r="M106" s="13"/>
    </row>
    <row r="107" spans="1:13">
      <c r="A107" s="12" t="s">
        <v>9</v>
      </c>
      <c r="B107" s="13" t="s">
        <v>107</v>
      </c>
      <c r="C107" s="13"/>
      <c r="D107" s="13"/>
      <c r="E107" s="13"/>
      <c r="F107" s="13"/>
      <c r="G107" s="13"/>
      <c r="H107" s="13"/>
      <c r="I107" s="13"/>
      <c r="J107" s="13"/>
      <c r="K107" s="13"/>
      <c r="L107" s="13"/>
      <c r="M107" s="13"/>
    </row>
    <row r="108" spans="1:13" ht="45">
      <c r="A108" s="12" t="s">
        <v>11</v>
      </c>
      <c r="B108" s="14" t="s">
        <v>108</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79</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94</v>
      </c>
      <c r="B116" s="13">
        <v>6.8523102310231057</v>
      </c>
      <c r="C116" s="13" t="s">
        <v>37</v>
      </c>
      <c r="D116" s="8" t="s">
        <v>82</v>
      </c>
      <c r="E116" s="13" t="s">
        <v>29</v>
      </c>
      <c r="F116" s="15" t="s">
        <v>57</v>
      </c>
      <c r="G116" s="13" t="s">
        <v>33</v>
      </c>
      <c r="H116" s="13">
        <v>2</v>
      </c>
      <c r="I116" s="13">
        <f>LN(B116)</f>
        <v>1.9245858554181359</v>
      </c>
      <c r="J116" s="13">
        <v>0.24083189157584584</v>
      </c>
      <c r="K116" s="13" t="s">
        <v>31</v>
      </c>
      <c r="L116" s="13" t="s">
        <v>31</v>
      </c>
      <c r="M116" s="13" t="s">
        <v>31</v>
      </c>
    </row>
    <row r="117" spans="1:13" ht="15.75">
      <c r="A117" s="7" t="s">
        <v>95</v>
      </c>
      <c r="B117" s="13">
        <v>127.07920792079207</v>
      </c>
      <c r="C117" s="13" t="s">
        <v>37</v>
      </c>
      <c r="D117" s="8" t="s">
        <v>82</v>
      </c>
      <c r="E117" s="13" t="s">
        <v>29</v>
      </c>
      <c r="F117" s="15" t="s">
        <v>57</v>
      </c>
      <c r="G117" s="13" t="s">
        <v>33</v>
      </c>
      <c r="H117" s="13">
        <v>2</v>
      </c>
      <c r="I117" s="13">
        <f>LN(B117)</f>
        <v>4.8448105764639813</v>
      </c>
      <c r="J117" s="13">
        <v>0.24083189157584584</v>
      </c>
      <c r="K117" s="13" t="s">
        <v>31</v>
      </c>
      <c r="L117" s="13" t="s">
        <v>31</v>
      </c>
      <c r="M117" s="13" t="s">
        <v>31</v>
      </c>
    </row>
    <row r="118" spans="1:13" ht="15.75">
      <c r="A118" s="7" t="s">
        <v>96</v>
      </c>
      <c r="B118" s="13">
        <v>10.216171617161717</v>
      </c>
      <c r="C118" s="13" t="s">
        <v>37</v>
      </c>
      <c r="D118" s="8" t="s">
        <v>82</v>
      </c>
      <c r="E118" s="13" t="s">
        <v>29</v>
      </c>
      <c r="F118" s="15" t="s">
        <v>57</v>
      </c>
      <c r="G118" s="13" t="s">
        <v>33</v>
      </c>
      <c r="H118" s="13">
        <v>2</v>
      </c>
      <c r="I118" s="13">
        <f t="shared" ref="I118:I119" si="5">LN(B118)</f>
        <v>2.3239719174499176</v>
      </c>
      <c r="J118" s="13">
        <v>0.24083189157584584</v>
      </c>
      <c r="K118" s="13" t="s">
        <v>31</v>
      </c>
      <c r="L118" s="13" t="s">
        <v>31</v>
      </c>
      <c r="M118" s="13" t="s">
        <v>31</v>
      </c>
    </row>
    <row r="119" spans="1:13" ht="15.75">
      <c r="A119" s="7" t="s">
        <v>97</v>
      </c>
      <c r="B119" s="13">
        <v>6.8523102310231021</v>
      </c>
      <c r="C119" s="13" t="s">
        <v>37</v>
      </c>
      <c r="D119" s="8" t="s">
        <v>82</v>
      </c>
      <c r="E119" s="13" t="s">
        <v>29</v>
      </c>
      <c r="F119" s="15" t="s">
        <v>57</v>
      </c>
      <c r="G119" s="13" t="s">
        <v>33</v>
      </c>
      <c r="H119" s="13">
        <v>2</v>
      </c>
      <c r="I119" s="13">
        <f t="shared" si="5"/>
        <v>1.9245858554181354</v>
      </c>
      <c r="J119" s="13">
        <v>0.24083189157584584</v>
      </c>
      <c r="K119" s="13" t="s">
        <v>31</v>
      </c>
      <c r="L119" s="13" t="s">
        <v>31</v>
      </c>
      <c r="M119"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66</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109</v>
      </c>
      <c r="C4" s="4"/>
      <c r="D4" s="13"/>
      <c r="E4" s="13"/>
      <c r="F4" s="13"/>
      <c r="G4" s="13"/>
      <c r="H4" s="13"/>
      <c r="I4" s="13"/>
      <c r="J4" s="13"/>
      <c r="K4" s="13"/>
      <c r="L4" s="13"/>
      <c r="M4" s="13"/>
    </row>
    <row r="5" spans="1:13" ht="30">
      <c r="A5" s="12" t="s">
        <v>11</v>
      </c>
      <c r="B5" s="14" t="s">
        <v>110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111</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112</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113</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114</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115</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111</v>
      </c>
      <c r="C18" s="3"/>
      <c r="D18" s="11"/>
      <c r="E18" s="11"/>
      <c r="F18" s="11"/>
      <c r="G18" s="11"/>
      <c r="H18" s="11"/>
      <c r="I18" s="11"/>
      <c r="J18" s="11"/>
      <c r="K18" s="11"/>
      <c r="L18" s="11"/>
      <c r="M18" s="11"/>
    </row>
    <row r="19" spans="1:13">
      <c r="A19" s="12" t="s">
        <v>7</v>
      </c>
      <c r="B19" s="13" t="s">
        <v>116</v>
      </c>
      <c r="C19" s="4"/>
      <c r="D19" s="13"/>
      <c r="E19" s="13"/>
      <c r="F19" s="13"/>
      <c r="G19" s="13"/>
      <c r="H19" s="13"/>
      <c r="I19" s="13"/>
      <c r="J19" s="13"/>
      <c r="K19" s="13"/>
      <c r="L19" s="13"/>
      <c r="M19" s="13"/>
    </row>
    <row r="20" spans="1:13">
      <c r="A20" s="12" t="s">
        <v>9</v>
      </c>
      <c r="B20" s="13" t="s">
        <v>117</v>
      </c>
      <c r="C20" s="4"/>
      <c r="D20" s="13"/>
      <c r="E20" s="13"/>
      <c r="F20" s="13"/>
      <c r="G20" s="13"/>
      <c r="H20" s="13"/>
      <c r="I20" s="13"/>
      <c r="J20" s="13"/>
      <c r="K20" s="13"/>
      <c r="L20" s="13"/>
      <c r="M20" s="13"/>
    </row>
    <row r="21" spans="1:13" ht="30">
      <c r="A21" s="12" t="s">
        <v>11</v>
      </c>
      <c r="B21" s="14" t="s">
        <v>118</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111</v>
      </c>
      <c r="B28" s="13">
        <v>1</v>
      </c>
      <c r="C28" s="13" t="s">
        <v>18</v>
      </c>
      <c r="D28" s="13" t="s">
        <v>2</v>
      </c>
      <c r="E28" s="13" t="s">
        <v>29</v>
      </c>
      <c r="F28" s="13" t="s">
        <v>14</v>
      </c>
      <c r="G28" s="13" t="s">
        <v>30</v>
      </c>
      <c r="H28" s="13">
        <v>1</v>
      </c>
      <c r="I28" s="13">
        <v>1</v>
      </c>
      <c r="J28" s="13" t="s">
        <v>31</v>
      </c>
      <c r="K28" s="13" t="s">
        <v>31</v>
      </c>
      <c r="L28" s="13" t="s">
        <v>31</v>
      </c>
      <c r="M28" s="13" t="s">
        <v>31</v>
      </c>
    </row>
    <row r="29" spans="1:13">
      <c r="A29" s="12" t="s">
        <v>95</v>
      </c>
      <c r="B29" s="13">
        <v>272.04399999999998</v>
      </c>
      <c r="C29" s="13" t="s">
        <v>37</v>
      </c>
      <c r="D29" s="13" t="s">
        <v>82</v>
      </c>
      <c r="E29" s="13" t="s">
        <v>29</v>
      </c>
      <c r="F29" s="13" t="s">
        <v>57</v>
      </c>
      <c r="G29" s="13" t="s">
        <v>33</v>
      </c>
      <c r="H29" s="13">
        <v>2</v>
      </c>
      <c r="I29" s="13">
        <f>LN(B29)</f>
        <v>5.6059638179193803</v>
      </c>
      <c r="J29" s="13">
        <v>0.24083189157584584</v>
      </c>
      <c r="K29" s="13" t="s">
        <v>31</v>
      </c>
      <c r="L29" s="13" t="s">
        <v>31</v>
      </c>
      <c r="M29" s="13" t="s">
        <v>31</v>
      </c>
    </row>
    <row r="30" spans="1:13">
      <c r="A30" s="12" t="s">
        <v>94</v>
      </c>
      <c r="B30" s="13">
        <v>70.967999999999989</v>
      </c>
      <c r="C30" s="13" t="s">
        <v>37</v>
      </c>
      <c r="D30" s="13" t="s">
        <v>82</v>
      </c>
      <c r="E30" s="13" t="s">
        <v>29</v>
      </c>
      <c r="F30" s="13" t="s">
        <v>57</v>
      </c>
      <c r="G30" s="13" t="s">
        <v>33</v>
      </c>
      <c r="H30" s="13">
        <v>2</v>
      </c>
      <c r="I30" s="13">
        <f t="shared" ref="I30:I32" si="0">LN(B30)</f>
        <v>4.262229071218286</v>
      </c>
      <c r="J30" s="13">
        <v>0.24083189157584584</v>
      </c>
      <c r="K30" s="13" t="s">
        <v>31</v>
      </c>
      <c r="L30" s="13" t="s">
        <v>31</v>
      </c>
      <c r="M30" s="13" t="s">
        <v>31</v>
      </c>
    </row>
    <row r="31" spans="1:13">
      <c r="A31" s="12" t="s">
        <v>119</v>
      </c>
      <c r="B31" s="13">
        <v>112.366</v>
      </c>
      <c r="C31" s="13" t="s">
        <v>37</v>
      </c>
      <c r="D31" s="13" t="s">
        <v>82</v>
      </c>
      <c r="E31" s="13" t="s">
        <v>29</v>
      </c>
      <c r="F31" s="13" t="s">
        <v>57</v>
      </c>
      <c r="G31" s="13" t="s">
        <v>33</v>
      </c>
      <c r="H31" s="13">
        <v>2</v>
      </c>
      <c r="I31" s="13">
        <f t="shared" si="0"/>
        <v>4.7217614005967263</v>
      </c>
      <c r="J31" s="13">
        <v>0.24083189157584584</v>
      </c>
      <c r="K31" s="13" t="s">
        <v>31</v>
      </c>
      <c r="L31" s="13" t="s">
        <v>31</v>
      </c>
      <c r="M31" s="13" t="s">
        <v>31</v>
      </c>
    </row>
    <row r="32" spans="1:13">
      <c r="A32" s="12" t="s">
        <v>120</v>
      </c>
      <c r="B32" s="13">
        <v>136.02199999999999</v>
      </c>
      <c r="C32" s="13" t="s">
        <v>37</v>
      </c>
      <c r="D32" s="13" t="s">
        <v>82</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112</v>
      </c>
      <c r="C33" s="3"/>
      <c r="D33" s="11"/>
      <c r="E33" s="11"/>
      <c r="F33" s="11"/>
      <c r="G33" s="11"/>
      <c r="H33" s="11"/>
      <c r="I33" s="11"/>
      <c r="J33" s="11"/>
      <c r="K33" s="11"/>
      <c r="L33" s="11"/>
      <c r="M33" s="11"/>
    </row>
    <row r="34" spans="1:13">
      <c r="A34" s="12" t="s">
        <v>7</v>
      </c>
      <c r="B34" s="13" t="s">
        <v>116</v>
      </c>
      <c r="C34" s="4"/>
      <c r="D34" s="13"/>
      <c r="E34" s="13"/>
      <c r="F34" s="13"/>
      <c r="G34" s="13"/>
      <c r="H34" s="13"/>
      <c r="I34" s="13"/>
      <c r="J34" s="13"/>
      <c r="K34" s="13"/>
      <c r="L34" s="13"/>
      <c r="M34" s="13"/>
    </row>
    <row r="35" spans="1:13">
      <c r="A35" s="12" t="s">
        <v>9</v>
      </c>
      <c r="B35" s="13" t="s">
        <v>121</v>
      </c>
      <c r="C35" s="4"/>
      <c r="D35" s="13"/>
      <c r="E35" s="13"/>
      <c r="F35" s="13"/>
      <c r="G35" s="13"/>
      <c r="H35" s="13"/>
      <c r="I35" s="13"/>
      <c r="J35" s="13"/>
      <c r="K35" s="13"/>
      <c r="L35" s="13"/>
      <c r="M35" s="13"/>
    </row>
    <row r="36" spans="1:13" ht="30">
      <c r="A36" s="12" t="s">
        <v>11</v>
      </c>
      <c r="B36" s="14" t="s">
        <v>122</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112</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123</v>
      </c>
      <c r="B44" s="13">
        <v>741.6</v>
      </c>
      <c r="C44" s="13" t="s">
        <v>37</v>
      </c>
      <c r="D44" s="13" t="s">
        <v>82</v>
      </c>
      <c r="E44" s="13" t="s">
        <v>29</v>
      </c>
      <c r="F44" s="13" t="s">
        <v>57</v>
      </c>
      <c r="G44" s="13" t="s">
        <v>33</v>
      </c>
      <c r="H44" s="13">
        <v>2</v>
      </c>
      <c r="I44" s="13">
        <f>LN(B44)</f>
        <v>6.6088100142516453</v>
      </c>
      <c r="J44" s="13">
        <v>0.24083189157584584</v>
      </c>
      <c r="K44" s="13" t="s">
        <v>31</v>
      </c>
      <c r="L44" s="13" t="s">
        <v>31</v>
      </c>
      <c r="M44" s="13" t="s">
        <v>31</v>
      </c>
    </row>
    <row r="45" spans="1:13">
      <c r="A45" s="18" t="s">
        <v>5</v>
      </c>
      <c r="B45" s="19" t="s">
        <v>113</v>
      </c>
      <c r="C45" s="3"/>
      <c r="D45" s="11"/>
      <c r="E45" s="11"/>
      <c r="F45" s="11"/>
      <c r="G45" s="11"/>
      <c r="H45" s="11"/>
      <c r="I45" s="11"/>
      <c r="J45" s="11"/>
      <c r="K45" s="11"/>
      <c r="L45" s="11"/>
      <c r="M45" s="11"/>
    </row>
    <row r="46" spans="1:13">
      <c r="A46" s="12" t="s">
        <v>7</v>
      </c>
      <c r="B46" s="13" t="s">
        <v>116</v>
      </c>
      <c r="C46" s="4"/>
      <c r="D46" s="13"/>
      <c r="E46" s="13"/>
      <c r="F46" s="13"/>
      <c r="G46" s="13"/>
      <c r="H46" s="13"/>
      <c r="I46" s="13"/>
      <c r="J46" s="13"/>
      <c r="K46" s="13"/>
      <c r="L46" s="13"/>
      <c r="M46" s="13"/>
    </row>
    <row r="47" spans="1:13">
      <c r="A47" s="12" t="s">
        <v>9</v>
      </c>
      <c r="B47" s="13" t="s">
        <v>124</v>
      </c>
      <c r="C47" s="4"/>
      <c r="D47" s="13"/>
      <c r="E47" s="13"/>
      <c r="F47" s="13"/>
      <c r="G47" s="13"/>
      <c r="H47" s="13"/>
      <c r="I47" s="13"/>
      <c r="J47" s="13"/>
      <c r="K47" s="13"/>
      <c r="L47" s="13"/>
      <c r="M47" s="13"/>
    </row>
    <row r="48" spans="1:13" ht="30">
      <c r="A48" s="12" t="s">
        <v>11</v>
      </c>
      <c r="B48" s="14" t="s">
        <v>125</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113</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126</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127</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128</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129</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126</v>
      </c>
      <c r="C60" s="3"/>
      <c r="D60" s="11"/>
      <c r="E60" s="11"/>
      <c r="F60" s="11"/>
      <c r="G60" s="11"/>
      <c r="H60" s="11"/>
      <c r="I60" s="11"/>
      <c r="J60" s="11"/>
      <c r="K60" s="11"/>
      <c r="L60" s="11"/>
      <c r="M60" s="11"/>
    </row>
    <row r="61" spans="1:13">
      <c r="A61" s="12" t="s">
        <v>7</v>
      </c>
      <c r="B61" s="13" t="s">
        <v>130</v>
      </c>
      <c r="C61" s="4"/>
      <c r="D61" s="13"/>
      <c r="E61" s="13"/>
      <c r="F61" s="13"/>
      <c r="G61" s="13"/>
      <c r="H61" s="13"/>
      <c r="I61" s="13"/>
      <c r="J61" s="13"/>
      <c r="K61" s="13"/>
      <c r="L61" s="13"/>
      <c r="M61" s="13"/>
    </row>
    <row r="62" spans="1:13">
      <c r="A62" s="12" t="s">
        <v>9</v>
      </c>
      <c r="B62" s="13" t="s">
        <v>131</v>
      </c>
      <c r="C62" s="4"/>
      <c r="D62" s="13"/>
      <c r="E62" s="13"/>
      <c r="F62" s="13"/>
      <c r="G62" s="13"/>
      <c r="H62" s="13"/>
      <c r="I62" s="13"/>
      <c r="J62" s="13"/>
      <c r="K62" s="13"/>
      <c r="L62" s="13"/>
      <c r="M62" s="13"/>
    </row>
    <row r="63" spans="1:13" ht="30">
      <c r="A63" s="12" t="s">
        <v>11</v>
      </c>
      <c r="B63" s="14" t="s">
        <v>132</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126</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133</v>
      </c>
      <c r="B71" s="13">
        <f>97.826*15</f>
        <v>1467.3899999999999</v>
      </c>
      <c r="C71" s="13" t="s">
        <v>37</v>
      </c>
      <c r="D71" s="13" t="s">
        <v>82</v>
      </c>
      <c r="E71" s="13" t="s">
        <v>29</v>
      </c>
      <c r="F71" s="13" t="s">
        <v>57</v>
      </c>
      <c r="G71" s="13" t="s">
        <v>33</v>
      </c>
      <c r="H71" s="13">
        <v>2</v>
      </c>
      <c r="I71" s="13">
        <f>LN(B71)</f>
        <v>7.291240591482242</v>
      </c>
      <c r="J71" s="13">
        <v>0.30331501776206199</v>
      </c>
      <c r="K71" s="13" t="s">
        <v>31</v>
      </c>
      <c r="L71" s="13" t="s">
        <v>31</v>
      </c>
      <c r="M71" s="13" t="s">
        <v>31</v>
      </c>
    </row>
    <row r="72" spans="1:13">
      <c r="A72" s="12" t="s">
        <v>134</v>
      </c>
      <c r="B72" s="13">
        <f>97.826*14</f>
        <v>1369.5639999999999</v>
      </c>
      <c r="C72" s="13" t="s">
        <v>37</v>
      </c>
      <c r="D72" s="13" t="s">
        <v>82</v>
      </c>
      <c r="E72" s="13" t="s">
        <v>29</v>
      </c>
      <c r="F72" s="13" t="s">
        <v>91</v>
      </c>
      <c r="G72" s="13" t="s">
        <v>33</v>
      </c>
      <c r="H72" s="13">
        <v>2</v>
      </c>
      <c r="I72" s="13">
        <f>LN(B72)</f>
        <v>7.2222477199952904</v>
      </c>
      <c r="J72" s="13">
        <v>0.30331501776206199</v>
      </c>
      <c r="K72" s="13" t="s">
        <v>31</v>
      </c>
      <c r="L72" s="13" t="s">
        <v>31</v>
      </c>
      <c r="M72" s="13" t="s">
        <v>31</v>
      </c>
    </row>
    <row r="73" spans="1:13">
      <c r="A73" s="12" t="s">
        <v>133</v>
      </c>
      <c r="B73" s="13">
        <f>97.826*14</f>
        <v>1369.5639999999999</v>
      </c>
      <c r="C73" s="13" t="s">
        <v>37</v>
      </c>
      <c r="D73" s="13" t="s">
        <v>82</v>
      </c>
      <c r="E73" s="13" t="s">
        <v>29</v>
      </c>
      <c r="F73" s="13" t="s">
        <v>57</v>
      </c>
      <c r="G73" s="13" t="s">
        <v>135</v>
      </c>
      <c r="H73" s="13">
        <v>2</v>
      </c>
      <c r="I73" s="13">
        <f>LN(B73)</f>
        <v>7.2222477199952904</v>
      </c>
      <c r="J73" s="13">
        <v>0.30331501776206199</v>
      </c>
      <c r="K73" s="13" t="s">
        <v>31</v>
      </c>
      <c r="L73" s="13" t="s">
        <v>31</v>
      </c>
      <c r="M73" s="13" t="s">
        <v>31</v>
      </c>
    </row>
    <row r="74" spans="1:13">
      <c r="A74" s="18" t="s">
        <v>5</v>
      </c>
      <c r="B74" s="19" t="s">
        <v>127</v>
      </c>
      <c r="C74" s="3"/>
      <c r="D74" s="11"/>
      <c r="E74" s="11"/>
      <c r="F74" s="11"/>
      <c r="G74" s="11"/>
      <c r="H74" s="11"/>
      <c r="I74" s="11"/>
      <c r="J74" s="11"/>
      <c r="K74" s="11"/>
      <c r="L74" s="11"/>
      <c r="M74" s="11"/>
    </row>
    <row r="75" spans="1:13">
      <c r="A75" s="12" t="s">
        <v>7</v>
      </c>
      <c r="B75" s="13" t="s">
        <v>130</v>
      </c>
      <c r="C75" s="4"/>
      <c r="D75" s="13"/>
      <c r="E75" s="13"/>
      <c r="F75" s="13"/>
      <c r="G75" s="13"/>
      <c r="H75" s="13"/>
      <c r="I75" s="13"/>
      <c r="J75" s="13"/>
      <c r="K75" s="13"/>
      <c r="L75" s="13"/>
      <c r="M75" s="13"/>
    </row>
    <row r="76" spans="1:13">
      <c r="A76" s="12" t="s">
        <v>9</v>
      </c>
      <c r="B76" s="13" t="s">
        <v>136</v>
      </c>
      <c r="C76" s="4"/>
      <c r="D76" s="13"/>
      <c r="E76" s="13"/>
      <c r="F76" s="13"/>
      <c r="G76" s="13"/>
      <c r="H76" s="13"/>
      <c r="I76" s="13"/>
      <c r="J76" s="13"/>
      <c r="K76" s="13"/>
      <c r="L76" s="13"/>
      <c r="M76" s="13"/>
    </row>
    <row r="77" spans="1:13" ht="30">
      <c r="A77" s="12" t="s">
        <v>11</v>
      </c>
      <c r="B77" s="14" t="s">
        <v>137</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127</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133</v>
      </c>
      <c r="B85" s="13">
        <f>28.833*15</f>
        <v>432.495</v>
      </c>
      <c r="C85" s="13" t="s">
        <v>37</v>
      </c>
      <c r="D85" s="13" t="s">
        <v>82</v>
      </c>
      <c r="E85" s="13" t="s">
        <v>29</v>
      </c>
      <c r="F85" s="13" t="s">
        <v>57</v>
      </c>
      <c r="G85" s="13" t="s">
        <v>33</v>
      </c>
      <c r="H85" s="13">
        <v>2</v>
      </c>
      <c r="I85" s="13">
        <f>LN(B85)</f>
        <v>6.0695707656114672</v>
      </c>
      <c r="J85" s="13">
        <v>0.30331501776206199</v>
      </c>
      <c r="K85" s="13" t="s">
        <v>31</v>
      </c>
      <c r="L85" s="13" t="s">
        <v>31</v>
      </c>
      <c r="M85" s="13" t="s">
        <v>31</v>
      </c>
    </row>
    <row r="86" spans="1:13">
      <c r="A86" s="12" t="s">
        <v>134</v>
      </c>
      <c r="B86" s="13">
        <f>28.833*14</f>
        <v>403.66199999999998</v>
      </c>
      <c r="C86" s="13" t="s">
        <v>37</v>
      </c>
      <c r="D86" s="13" t="s">
        <v>82</v>
      </c>
      <c r="E86" s="13" t="s">
        <v>29</v>
      </c>
      <c r="F86" s="13" t="s">
        <v>91</v>
      </c>
      <c r="G86" s="13" t="s">
        <v>33</v>
      </c>
      <c r="H86" s="13">
        <v>2</v>
      </c>
      <c r="I86" s="13">
        <f>LN(B86)</f>
        <v>6.0005778941245156</v>
      </c>
      <c r="J86" s="13">
        <v>0.30331501776206199</v>
      </c>
      <c r="K86" s="13" t="s">
        <v>31</v>
      </c>
      <c r="L86" s="13" t="s">
        <v>31</v>
      </c>
      <c r="M86" s="13" t="s">
        <v>31</v>
      </c>
    </row>
    <row r="87" spans="1:13">
      <c r="A87" s="12" t="s">
        <v>133</v>
      </c>
      <c r="B87" s="13">
        <f>28.833*14</f>
        <v>403.66199999999998</v>
      </c>
      <c r="C87" s="13" t="s">
        <v>37</v>
      </c>
      <c r="D87" s="13" t="s">
        <v>82</v>
      </c>
      <c r="E87" s="13" t="s">
        <v>29</v>
      </c>
      <c r="F87" s="13" t="s">
        <v>57</v>
      </c>
      <c r="G87" s="13" t="s">
        <v>135</v>
      </c>
      <c r="H87" s="13">
        <v>2</v>
      </c>
      <c r="I87" s="13">
        <f>LN(B87)</f>
        <v>6.0005778941245156</v>
      </c>
      <c r="J87" s="13">
        <v>0.30331501776206199</v>
      </c>
      <c r="K87" s="13" t="s">
        <v>31</v>
      </c>
      <c r="L87" s="13" t="s">
        <v>31</v>
      </c>
      <c r="M87" s="13" t="s">
        <v>31</v>
      </c>
    </row>
    <row r="88" spans="1:13">
      <c r="A88" s="12" t="s">
        <v>138</v>
      </c>
      <c r="B88" s="13">
        <v>7.2080000000000002</v>
      </c>
      <c r="C88" s="13" t="s">
        <v>37</v>
      </c>
      <c r="D88" s="13" t="s">
        <v>82</v>
      </c>
      <c r="E88" s="13" t="s">
        <v>29</v>
      </c>
      <c r="F88" s="13" t="s">
        <v>91</v>
      </c>
      <c r="G88" s="13" t="s">
        <v>33</v>
      </c>
      <c r="H88" s="13">
        <v>2</v>
      </c>
      <c r="I88" s="13">
        <f>LN(B88)</f>
        <v>1.9751915203060368</v>
      </c>
      <c r="J88" s="13">
        <v>0.30331501776206199</v>
      </c>
      <c r="K88" s="13" t="s">
        <v>31</v>
      </c>
      <c r="L88" s="13" t="s">
        <v>31</v>
      </c>
      <c r="M88" s="13" t="s">
        <v>31</v>
      </c>
    </row>
    <row r="89" spans="1:13">
      <c r="A89" s="18" t="s">
        <v>5</v>
      </c>
      <c r="B89" s="19" t="s">
        <v>128</v>
      </c>
      <c r="C89" s="3"/>
      <c r="D89" s="11"/>
      <c r="E89" s="11"/>
      <c r="F89" s="11"/>
      <c r="G89" s="11"/>
      <c r="H89" s="11"/>
      <c r="I89" s="11"/>
      <c r="J89" s="11"/>
      <c r="K89" s="11"/>
      <c r="L89" s="11"/>
      <c r="M89" s="11"/>
    </row>
    <row r="90" spans="1:13">
      <c r="A90" s="12" t="s">
        <v>7</v>
      </c>
      <c r="B90" s="13" t="s">
        <v>130</v>
      </c>
      <c r="C90" s="4"/>
      <c r="D90" s="13"/>
      <c r="E90" s="13"/>
      <c r="F90" s="13"/>
      <c r="G90" s="13"/>
      <c r="H90" s="13"/>
      <c r="I90" s="13"/>
      <c r="J90" s="13"/>
      <c r="K90" s="13"/>
      <c r="L90" s="13"/>
      <c r="M90" s="13"/>
    </row>
    <row r="91" spans="1:13">
      <c r="A91" s="12" t="s">
        <v>9</v>
      </c>
      <c r="B91" s="13" t="s">
        <v>139</v>
      </c>
      <c r="C91" s="4"/>
      <c r="D91" s="13"/>
      <c r="E91" s="13"/>
      <c r="F91" s="13"/>
      <c r="G91" s="13"/>
      <c r="H91" s="13"/>
      <c r="I91" s="13"/>
      <c r="J91" s="13"/>
      <c r="K91" s="13"/>
      <c r="L91" s="13"/>
      <c r="M91" s="13"/>
    </row>
    <row r="92" spans="1:13" ht="30">
      <c r="A92" s="12" t="s">
        <v>11</v>
      </c>
      <c r="B92" s="14" t="s">
        <v>140</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128</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133</v>
      </c>
      <c r="B100" s="13">
        <f>65.218*15</f>
        <v>978.2700000000001</v>
      </c>
      <c r="C100" s="13" t="s">
        <v>37</v>
      </c>
      <c r="D100" s="13" t="s">
        <v>82</v>
      </c>
      <c r="E100" s="13" t="s">
        <v>29</v>
      </c>
      <c r="F100" s="13" t="s">
        <v>57</v>
      </c>
      <c r="G100" s="13" t="s">
        <v>33</v>
      </c>
      <c r="H100" s="13">
        <v>2</v>
      </c>
      <c r="I100" s="13">
        <f>LN(B100)</f>
        <v>6.8857857055531397</v>
      </c>
      <c r="J100" s="13">
        <v>0.30331501776206199</v>
      </c>
      <c r="K100" s="13" t="s">
        <v>31</v>
      </c>
      <c r="L100" s="13" t="s">
        <v>31</v>
      </c>
      <c r="M100" s="13" t="s">
        <v>31</v>
      </c>
    </row>
    <row r="101" spans="1:13">
      <c r="A101" s="12" t="s">
        <v>134</v>
      </c>
      <c r="B101" s="13">
        <f>65.218*14</f>
        <v>913.05200000000002</v>
      </c>
      <c r="C101" s="13" t="s">
        <v>37</v>
      </c>
      <c r="D101" s="13" t="s">
        <v>82</v>
      </c>
      <c r="E101" s="13" t="s">
        <v>29</v>
      </c>
      <c r="F101" s="13" t="s">
        <v>91</v>
      </c>
      <c r="G101" s="13" t="s">
        <v>33</v>
      </c>
      <c r="H101" s="13">
        <v>2</v>
      </c>
      <c r="I101" s="13">
        <f>LN(B101)</f>
        <v>6.8167928340661881</v>
      </c>
      <c r="J101" s="13">
        <v>0.30331501776206199</v>
      </c>
      <c r="K101" s="13" t="s">
        <v>31</v>
      </c>
      <c r="L101" s="13" t="s">
        <v>31</v>
      </c>
      <c r="M101" s="13" t="s">
        <v>31</v>
      </c>
    </row>
    <row r="102" spans="1:13">
      <c r="A102" s="12" t="s">
        <v>133</v>
      </c>
      <c r="B102" s="13">
        <f>65.218*14</f>
        <v>913.05200000000002</v>
      </c>
      <c r="C102" s="13" t="s">
        <v>37</v>
      </c>
      <c r="D102" s="13" t="s">
        <v>82</v>
      </c>
      <c r="E102" s="13" t="s">
        <v>29</v>
      </c>
      <c r="F102" s="13" t="s">
        <v>57</v>
      </c>
      <c r="G102" s="13" t="s">
        <v>135</v>
      </c>
      <c r="H102" s="13">
        <v>2</v>
      </c>
      <c r="I102" s="13">
        <f>LN(B102)</f>
        <v>6.8167928340661881</v>
      </c>
      <c r="J102" s="13">
        <v>0.30331501776206199</v>
      </c>
      <c r="K102" s="13" t="s">
        <v>31</v>
      </c>
      <c r="L102" s="13" t="s">
        <v>31</v>
      </c>
      <c r="M102" s="13" t="s">
        <v>31</v>
      </c>
    </row>
    <row r="103" spans="1:13">
      <c r="A103" s="12" t="s">
        <v>94</v>
      </c>
      <c r="B103" s="13">
        <f>32.609*15</f>
        <v>489.13500000000005</v>
      </c>
      <c r="C103" s="13" t="s">
        <v>37</v>
      </c>
      <c r="D103" s="13" t="s">
        <v>82</v>
      </c>
      <c r="E103" s="13" t="s">
        <v>29</v>
      </c>
      <c r="F103" s="13" t="s">
        <v>57</v>
      </c>
      <c r="G103" s="13" t="s">
        <v>33</v>
      </c>
      <c r="H103" s="13">
        <v>2</v>
      </c>
      <c r="I103" s="13">
        <f t="shared" ref="I103:I105" si="1">LN(B103)</f>
        <v>6.1926385249931943</v>
      </c>
      <c r="J103" s="13">
        <v>0.30331501776206199</v>
      </c>
      <c r="K103" s="13" t="s">
        <v>31</v>
      </c>
      <c r="L103" s="13" t="s">
        <v>31</v>
      </c>
      <c r="M103" s="13" t="s">
        <v>31</v>
      </c>
    </row>
    <row r="104" spans="1:13">
      <c r="A104" s="12" t="s">
        <v>141</v>
      </c>
      <c r="B104" s="13">
        <f>32.609*14</f>
        <v>456.52600000000001</v>
      </c>
      <c r="C104" s="13" t="s">
        <v>37</v>
      </c>
      <c r="D104" s="13" t="s">
        <v>82</v>
      </c>
      <c r="E104" s="13" t="s">
        <v>29</v>
      </c>
      <c r="F104" s="13" t="s">
        <v>35</v>
      </c>
      <c r="G104" s="13" t="s">
        <v>33</v>
      </c>
      <c r="H104" s="13">
        <v>2</v>
      </c>
      <c r="I104" s="13">
        <f t="shared" si="1"/>
        <v>6.1236456535062427</v>
      </c>
      <c r="J104" s="13">
        <v>0.30331501776206199</v>
      </c>
      <c r="K104" s="13" t="s">
        <v>31</v>
      </c>
      <c r="L104" s="13" t="s">
        <v>31</v>
      </c>
      <c r="M104" s="13" t="s">
        <v>31</v>
      </c>
    </row>
    <row r="105" spans="1:13">
      <c r="A105" s="12" t="s">
        <v>94</v>
      </c>
      <c r="B105" s="13">
        <f>32.609*14</f>
        <v>456.52600000000001</v>
      </c>
      <c r="C105" s="13" t="s">
        <v>37</v>
      </c>
      <c r="D105" s="13" t="s">
        <v>82</v>
      </c>
      <c r="E105" s="13" t="s">
        <v>29</v>
      </c>
      <c r="F105" s="13" t="s">
        <v>57</v>
      </c>
      <c r="G105" s="13" t="s">
        <v>135</v>
      </c>
      <c r="H105" s="13">
        <v>2</v>
      </c>
      <c r="I105" s="13">
        <f t="shared" si="1"/>
        <v>6.1236456535062427</v>
      </c>
      <c r="J105" s="13">
        <v>0.30331501776206199</v>
      </c>
      <c r="K105" s="13" t="s">
        <v>31</v>
      </c>
      <c r="L105" s="13" t="s">
        <v>31</v>
      </c>
      <c r="M105" s="13" t="s">
        <v>31</v>
      </c>
    </row>
    <row r="106" spans="1:13">
      <c r="A106" s="18" t="s">
        <v>5</v>
      </c>
      <c r="B106" s="19" t="s">
        <v>129</v>
      </c>
      <c r="C106" s="3"/>
      <c r="D106" s="11"/>
      <c r="E106" s="11"/>
      <c r="F106" s="11"/>
      <c r="G106" s="11"/>
      <c r="H106" s="11"/>
      <c r="I106" s="11"/>
      <c r="J106" s="11"/>
      <c r="K106" s="11"/>
      <c r="L106" s="11"/>
      <c r="M106" s="11"/>
    </row>
    <row r="107" spans="1:13">
      <c r="A107" s="12" t="s">
        <v>7</v>
      </c>
      <c r="B107" s="13" t="s">
        <v>130</v>
      </c>
      <c r="C107" s="4"/>
      <c r="D107" s="13"/>
      <c r="E107" s="13"/>
      <c r="F107" s="13"/>
      <c r="G107" s="13"/>
      <c r="H107" s="13"/>
      <c r="I107" s="13"/>
      <c r="J107" s="13"/>
      <c r="K107" s="13"/>
      <c r="L107" s="13"/>
      <c r="M107" s="13"/>
    </row>
    <row r="108" spans="1:13">
      <c r="A108" s="12" t="s">
        <v>9</v>
      </c>
      <c r="B108" s="13" t="s">
        <v>142</v>
      </c>
      <c r="C108" s="4"/>
      <c r="D108" s="13"/>
      <c r="E108" s="13"/>
      <c r="F108" s="13"/>
      <c r="G108" s="13"/>
      <c r="H108" s="13"/>
      <c r="I108" s="13"/>
      <c r="J108" s="13"/>
      <c r="K108" s="13"/>
      <c r="L108" s="13"/>
      <c r="M108" s="13"/>
    </row>
    <row r="109" spans="1:13" ht="30">
      <c r="A109" s="12" t="s">
        <v>11</v>
      </c>
      <c r="B109" s="14" t="s">
        <v>143</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129</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94</v>
      </c>
      <c r="B117" s="13">
        <f>72.083*15</f>
        <v>1081.2449999999999</v>
      </c>
      <c r="C117" s="13" t="s">
        <v>37</v>
      </c>
      <c r="D117" s="13" t="s">
        <v>82</v>
      </c>
      <c r="E117" s="13" t="s">
        <v>29</v>
      </c>
      <c r="F117" s="13" t="s">
        <v>57</v>
      </c>
      <c r="G117" s="13" t="s">
        <v>33</v>
      </c>
      <c r="H117" s="13">
        <v>2</v>
      </c>
      <c r="I117" s="13">
        <f>LN(B117)</f>
        <v>6.9858684339579407</v>
      </c>
      <c r="J117" s="13">
        <v>0.30331501776206199</v>
      </c>
      <c r="K117" s="13" t="s">
        <v>31</v>
      </c>
      <c r="L117" s="13" t="s">
        <v>31</v>
      </c>
      <c r="M117" s="13" t="s">
        <v>31</v>
      </c>
    </row>
    <row r="118" spans="1:13">
      <c r="A118" s="12" t="s">
        <v>141</v>
      </c>
      <c r="B118" s="13">
        <f>72.083*14</f>
        <v>1009.162</v>
      </c>
      <c r="C118" s="13" t="s">
        <v>37</v>
      </c>
      <c r="D118" s="13" t="s">
        <v>82</v>
      </c>
      <c r="E118" s="13" t="s">
        <v>29</v>
      </c>
      <c r="F118" s="13" t="s">
        <v>35</v>
      </c>
      <c r="G118" s="13" t="s">
        <v>33</v>
      </c>
      <c r="H118" s="13">
        <v>2</v>
      </c>
      <c r="I118" s="13">
        <f>LN(B118)</f>
        <v>6.916875562470989</v>
      </c>
      <c r="J118" s="13">
        <v>0.30331501776206199</v>
      </c>
      <c r="K118" s="13" t="s">
        <v>31</v>
      </c>
      <c r="L118" s="13" t="s">
        <v>31</v>
      </c>
      <c r="M118" s="13" t="s">
        <v>31</v>
      </c>
    </row>
    <row r="119" spans="1:13">
      <c r="A119" s="12" t="s">
        <v>94</v>
      </c>
      <c r="B119" s="13">
        <f>72.083*14</f>
        <v>1009.162</v>
      </c>
      <c r="C119" s="13" t="s">
        <v>37</v>
      </c>
      <c r="D119" s="13" t="s">
        <v>82</v>
      </c>
      <c r="E119" s="13" t="s">
        <v>29</v>
      </c>
      <c r="F119" s="13" t="s">
        <v>57</v>
      </c>
      <c r="G119" s="13" t="s">
        <v>135</v>
      </c>
      <c r="H119" s="13">
        <v>2</v>
      </c>
      <c r="I119" s="13">
        <f>LN(B119)</f>
        <v>6.916875562470989</v>
      </c>
      <c r="J119" s="13">
        <v>0.30331501776206199</v>
      </c>
      <c r="K119" s="13" t="s">
        <v>31</v>
      </c>
      <c r="L119" s="13" t="s">
        <v>31</v>
      </c>
      <c r="M119" s="13" t="s">
        <v>31</v>
      </c>
    </row>
    <row r="120" spans="1:13">
      <c r="A120" s="12" t="s">
        <v>133</v>
      </c>
      <c r="B120" s="13">
        <f>72.083*15</f>
        <v>1081.2449999999999</v>
      </c>
      <c r="C120" s="13" t="s">
        <v>37</v>
      </c>
      <c r="D120" s="13" t="s">
        <v>82</v>
      </c>
      <c r="E120" s="13" t="s">
        <v>29</v>
      </c>
      <c r="F120" s="13" t="s">
        <v>57</v>
      </c>
      <c r="G120" s="13" t="s">
        <v>33</v>
      </c>
      <c r="H120" s="13">
        <v>2</v>
      </c>
      <c r="I120" s="13">
        <f t="shared" ref="I120:I124" si="2">LN(B120)</f>
        <v>6.9858684339579407</v>
      </c>
      <c r="J120" s="13">
        <v>0.30331501776206199</v>
      </c>
      <c r="K120" s="13" t="s">
        <v>31</v>
      </c>
      <c r="L120" s="13" t="s">
        <v>31</v>
      </c>
      <c r="M120" s="13" t="s">
        <v>31</v>
      </c>
    </row>
    <row r="121" spans="1:13">
      <c r="A121" s="12" t="s">
        <v>134</v>
      </c>
      <c r="B121" s="13">
        <f>72.083*14</f>
        <v>1009.162</v>
      </c>
      <c r="C121" s="13" t="s">
        <v>37</v>
      </c>
      <c r="D121" s="13" t="s">
        <v>82</v>
      </c>
      <c r="E121" s="13" t="s">
        <v>29</v>
      </c>
      <c r="F121" s="13" t="s">
        <v>91</v>
      </c>
      <c r="G121" s="13" t="s">
        <v>33</v>
      </c>
      <c r="H121" s="13">
        <v>2</v>
      </c>
      <c r="I121" s="13">
        <f t="shared" si="2"/>
        <v>6.916875562470989</v>
      </c>
      <c r="J121" s="13">
        <v>0.30331501776206199</v>
      </c>
      <c r="K121" s="13" t="s">
        <v>31</v>
      </c>
      <c r="L121" s="13" t="s">
        <v>31</v>
      </c>
      <c r="M121" s="13" t="s">
        <v>31</v>
      </c>
    </row>
    <row r="122" spans="1:13">
      <c r="A122" s="12" t="s">
        <v>133</v>
      </c>
      <c r="B122" s="13">
        <f>72.083*14</f>
        <v>1009.162</v>
      </c>
      <c r="C122" s="13" t="s">
        <v>37</v>
      </c>
      <c r="D122" s="13" t="s">
        <v>82</v>
      </c>
      <c r="E122" s="13" t="s">
        <v>29</v>
      </c>
      <c r="F122" s="13" t="s">
        <v>57</v>
      </c>
      <c r="G122" s="13" t="s">
        <v>135</v>
      </c>
      <c r="H122" s="13">
        <v>2</v>
      </c>
      <c r="I122" s="13">
        <f t="shared" si="2"/>
        <v>6.916875562470989</v>
      </c>
      <c r="J122" s="13">
        <v>0.30331501776206199</v>
      </c>
      <c r="K122" s="13" t="s">
        <v>31</v>
      </c>
      <c r="L122" s="13" t="s">
        <v>31</v>
      </c>
      <c r="M122" s="13" t="s">
        <v>31</v>
      </c>
    </row>
    <row r="123" spans="1:13">
      <c r="A123" s="12" t="s">
        <v>144</v>
      </c>
      <c r="B123" s="13">
        <f>36.041*15</f>
        <v>540.61500000000001</v>
      </c>
      <c r="C123" s="13" t="s">
        <v>37</v>
      </c>
      <c r="D123" s="13" t="s">
        <v>82</v>
      </c>
      <c r="E123" s="13" t="s">
        <v>29</v>
      </c>
      <c r="F123" s="13" t="s">
        <v>57</v>
      </c>
      <c r="G123" s="13" t="s">
        <v>33</v>
      </c>
      <c r="H123" s="13">
        <v>2</v>
      </c>
      <c r="I123" s="13">
        <f t="shared" si="2"/>
        <v>6.2927073804052434</v>
      </c>
      <c r="J123" s="13">
        <v>0.30331501776206199</v>
      </c>
      <c r="K123" s="13" t="s">
        <v>31</v>
      </c>
      <c r="L123" s="13" t="s">
        <v>31</v>
      </c>
      <c r="M123" s="13" t="s">
        <v>31</v>
      </c>
    </row>
    <row r="124" spans="1:13">
      <c r="A124" s="12" t="s">
        <v>145</v>
      </c>
      <c r="B124" s="13">
        <f>36.041*14</f>
        <v>504.57399999999996</v>
      </c>
      <c r="C124" s="13" t="s">
        <v>37</v>
      </c>
      <c r="D124" s="13" t="s">
        <v>82</v>
      </c>
      <c r="E124" s="13" t="s">
        <v>29</v>
      </c>
      <c r="F124" s="13" t="s">
        <v>91</v>
      </c>
      <c r="G124" s="13" t="s">
        <v>33</v>
      </c>
      <c r="H124" s="13">
        <v>2</v>
      </c>
      <c r="I124" s="13">
        <f t="shared" si="2"/>
        <v>6.2237145089182917</v>
      </c>
      <c r="J124" s="13">
        <v>0.30331501776206199</v>
      </c>
      <c r="K124" s="13" t="s">
        <v>31</v>
      </c>
      <c r="L124" s="13" t="s">
        <v>31</v>
      </c>
      <c r="M124" s="13" t="s">
        <v>31</v>
      </c>
    </row>
    <row r="125" spans="1:13">
      <c r="A125" s="18" t="s">
        <v>5</v>
      </c>
      <c r="B125" s="19" t="s">
        <v>114</v>
      </c>
      <c r="C125" s="3"/>
      <c r="D125" s="11"/>
      <c r="E125" s="11"/>
      <c r="F125" s="11"/>
      <c r="G125" s="11"/>
      <c r="H125" s="11"/>
      <c r="I125" s="11"/>
      <c r="J125" s="11"/>
      <c r="K125" s="11"/>
      <c r="L125" s="11"/>
      <c r="M125" s="11"/>
    </row>
    <row r="126" spans="1:13">
      <c r="A126" s="12" t="s">
        <v>7</v>
      </c>
      <c r="B126" s="13" t="s">
        <v>130</v>
      </c>
      <c r="C126" s="4"/>
      <c r="D126" s="13"/>
      <c r="E126" s="13"/>
      <c r="F126" s="13"/>
      <c r="G126" s="13"/>
      <c r="H126" s="13"/>
      <c r="I126" s="13"/>
      <c r="J126" s="13"/>
      <c r="K126" s="13"/>
      <c r="L126" s="13"/>
      <c r="M126" s="13"/>
    </row>
    <row r="127" spans="1:13">
      <c r="A127" s="12" t="s">
        <v>9</v>
      </c>
      <c r="B127" s="13" t="s">
        <v>146</v>
      </c>
      <c r="C127" s="4"/>
      <c r="D127" s="13"/>
      <c r="E127" s="13"/>
      <c r="F127" s="13"/>
      <c r="G127" s="13"/>
      <c r="H127" s="13"/>
      <c r="I127" s="13"/>
      <c r="J127" s="13"/>
      <c r="K127" s="13"/>
      <c r="L127" s="13"/>
      <c r="M127" s="13"/>
    </row>
    <row r="128" spans="1:13" ht="30">
      <c r="A128" s="12" t="s">
        <v>11</v>
      </c>
      <c r="B128" s="14" t="s">
        <v>147</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114</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123</v>
      </c>
      <c r="B136" s="13">
        <v>321.39999999999998</v>
      </c>
      <c r="C136" s="13" t="s">
        <v>37</v>
      </c>
      <c r="D136" s="13" t="s">
        <v>82</v>
      </c>
      <c r="E136" s="13" t="s">
        <v>29</v>
      </c>
      <c r="F136" s="13" t="s">
        <v>57</v>
      </c>
      <c r="G136" s="13" t="s">
        <v>33</v>
      </c>
      <c r="H136" s="13">
        <v>2</v>
      </c>
      <c r="I136" s="13">
        <f>LN(B136)</f>
        <v>5.7726864533034119</v>
      </c>
      <c r="J136" s="13">
        <v>0.24083189157584584</v>
      </c>
      <c r="K136" s="13" t="s">
        <v>31</v>
      </c>
      <c r="L136" s="13" t="s">
        <v>31</v>
      </c>
      <c r="M136" s="13" t="s">
        <v>31</v>
      </c>
    </row>
    <row r="137" spans="1:13">
      <c r="A137" s="18" t="s">
        <v>5</v>
      </c>
      <c r="B137" s="19" t="s">
        <v>115</v>
      </c>
      <c r="C137" s="3"/>
      <c r="D137" s="11"/>
      <c r="E137" s="11"/>
      <c r="F137" s="11"/>
      <c r="G137" s="11"/>
      <c r="H137" s="11"/>
      <c r="I137" s="11"/>
      <c r="J137" s="11"/>
      <c r="K137" s="11"/>
      <c r="L137" s="11"/>
      <c r="M137" s="11"/>
    </row>
    <row r="138" spans="1:13">
      <c r="A138" s="12" t="s">
        <v>7</v>
      </c>
      <c r="B138" s="13" t="s">
        <v>130</v>
      </c>
      <c r="C138" s="4"/>
      <c r="D138" s="13"/>
      <c r="E138" s="13"/>
      <c r="F138" s="13"/>
      <c r="G138" s="13"/>
      <c r="H138" s="13"/>
      <c r="I138" s="13"/>
      <c r="J138" s="13"/>
      <c r="K138" s="13"/>
      <c r="L138" s="13"/>
      <c r="M138" s="13"/>
    </row>
    <row r="139" spans="1:13">
      <c r="A139" s="12" t="s">
        <v>9</v>
      </c>
      <c r="B139" s="13" t="s">
        <v>148</v>
      </c>
      <c r="C139" s="4"/>
      <c r="D139" s="13"/>
      <c r="E139" s="13"/>
      <c r="F139" s="13"/>
      <c r="G139" s="13"/>
      <c r="H139" s="13"/>
      <c r="I139" s="13"/>
      <c r="J139" s="13"/>
      <c r="K139" s="13"/>
      <c r="L139" s="13"/>
      <c r="M139" s="13"/>
    </row>
    <row r="140" spans="1:13" ht="30">
      <c r="A140" s="12" t="s">
        <v>11</v>
      </c>
      <c r="B140" s="14" t="s">
        <v>149</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94</v>
      </c>
      <c r="B147" s="13">
        <f>110.918*10</f>
        <v>1109.18</v>
      </c>
      <c r="C147" s="13" t="s">
        <v>37</v>
      </c>
      <c r="D147" s="13" t="s">
        <v>82</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141</v>
      </c>
      <c r="B148" s="13">
        <f>110.918*9</f>
        <v>998.26200000000006</v>
      </c>
      <c r="C148" s="13" t="s">
        <v>37</v>
      </c>
      <c r="D148" s="13" t="s">
        <v>82</v>
      </c>
      <c r="E148" s="13" t="s">
        <v>29</v>
      </c>
      <c r="F148" s="13" t="s">
        <v>35</v>
      </c>
      <c r="G148" s="13" t="s">
        <v>33</v>
      </c>
      <c r="H148" s="13">
        <v>2</v>
      </c>
      <c r="I148" s="13">
        <f t="shared" si="3"/>
        <v>6.9060157669078928</v>
      </c>
      <c r="J148" s="13">
        <v>0.30331501776206199</v>
      </c>
      <c r="K148" s="13" t="s">
        <v>31</v>
      </c>
      <c r="L148" s="13" t="s">
        <v>31</v>
      </c>
      <c r="M148" s="13" t="s">
        <v>31</v>
      </c>
    </row>
    <row r="149" spans="1:13">
      <c r="A149" s="12" t="s">
        <v>94</v>
      </c>
      <c r="B149" s="13">
        <f>110.918*9</f>
        <v>998.26200000000006</v>
      </c>
      <c r="C149" s="13" t="s">
        <v>37</v>
      </c>
      <c r="D149" s="13" t="s">
        <v>82</v>
      </c>
      <c r="E149" s="13" t="s">
        <v>29</v>
      </c>
      <c r="F149" s="13" t="s">
        <v>57</v>
      </c>
      <c r="G149" s="13" t="s">
        <v>135</v>
      </c>
      <c r="H149" s="13">
        <v>2</v>
      </c>
      <c r="I149" s="13">
        <f t="shared" si="3"/>
        <v>6.9060157669078928</v>
      </c>
      <c r="J149" s="13">
        <v>0.30331501776206199</v>
      </c>
      <c r="K149" s="13" t="s">
        <v>31</v>
      </c>
      <c r="L149" s="13" t="s">
        <v>31</v>
      </c>
      <c r="M149" s="13" t="s">
        <v>31</v>
      </c>
    </row>
    <row r="150" spans="1:13">
      <c r="A150" s="12" t="s">
        <v>97</v>
      </c>
      <c r="B150" s="13">
        <f>15.527*2.2</f>
        <v>34.159399999999998</v>
      </c>
      <c r="C150" s="13" t="s">
        <v>37</v>
      </c>
      <c r="D150" s="13" t="s">
        <v>82</v>
      </c>
      <c r="E150" s="13" t="s">
        <v>29</v>
      </c>
      <c r="F150" s="13" t="s">
        <v>57</v>
      </c>
      <c r="G150" s="13" t="s">
        <v>33</v>
      </c>
      <c r="H150" s="13">
        <v>2</v>
      </c>
      <c r="I150" s="13">
        <f t="shared" si="3"/>
        <v>3.5310378043633026</v>
      </c>
      <c r="J150" s="13">
        <v>0.30331501776206199</v>
      </c>
      <c r="K150" s="13" t="s">
        <v>31</v>
      </c>
      <c r="L150" s="13" t="s">
        <v>31</v>
      </c>
      <c r="M150" s="13" t="s">
        <v>31</v>
      </c>
    </row>
    <row r="151" spans="1:13">
      <c r="A151" s="12" t="s">
        <v>134</v>
      </c>
      <c r="B151" s="13">
        <f>15.527*(2.2-1)</f>
        <v>18.632400000000001</v>
      </c>
      <c r="C151" s="13" t="s">
        <v>37</v>
      </c>
      <c r="D151" s="13" t="s">
        <v>82</v>
      </c>
      <c r="E151" s="13" t="s">
        <v>29</v>
      </c>
      <c r="F151" s="13" t="s">
        <v>91</v>
      </c>
      <c r="G151" s="13" t="s">
        <v>33</v>
      </c>
      <c r="H151" s="13">
        <v>2</v>
      </c>
      <c r="I151" s="13">
        <v>7.1283395581514224</v>
      </c>
      <c r="J151" s="13">
        <v>0.30331501776206199</v>
      </c>
      <c r="K151" s="13" t="s">
        <v>31</v>
      </c>
      <c r="L151" s="13" t="s">
        <v>31</v>
      </c>
      <c r="M151" s="13" t="s">
        <v>31</v>
      </c>
    </row>
    <row r="152" spans="1:13">
      <c r="A152" s="12" t="s">
        <v>97</v>
      </c>
      <c r="B152" s="13">
        <f>15.527*(2.2-1)</f>
        <v>18.632400000000001</v>
      </c>
      <c r="C152" s="13" t="s">
        <v>37</v>
      </c>
      <c r="D152" s="13" t="s">
        <v>82</v>
      </c>
      <c r="E152" s="13" t="s">
        <v>29</v>
      </c>
      <c r="F152" s="13" t="s">
        <v>57</v>
      </c>
      <c r="G152" s="13" t="s">
        <v>135</v>
      </c>
      <c r="H152" s="13">
        <v>2</v>
      </c>
      <c r="I152" s="13">
        <f t="shared" si="3"/>
        <v>2.9249020007929873</v>
      </c>
      <c r="J152" s="13">
        <v>0.30331501776206199</v>
      </c>
      <c r="K152" s="13" t="s">
        <v>31</v>
      </c>
      <c r="L152" s="13" t="s">
        <v>31</v>
      </c>
      <c r="M152" s="13" t="s">
        <v>31</v>
      </c>
    </row>
    <row r="153" spans="1:13">
      <c r="A153" s="12" t="s">
        <v>150</v>
      </c>
      <c r="B153" s="13">
        <f>7.337*1.2</f>
        <v>8.8043999999999993</v>
      </c>
      <c r="C153" s="13" t="s">
        <v>37</v>
      </c>
      <c r="D153" s="13" t="s">
        <v>82</v>
      </c>
      <c r="E153" s="13" t="s">
        <v>29</v>
      </c>
      <c r="F153" s="13" t="s">
        <v>57</v>
      </c>
      <c r="G153" s="13" t="s">
        <v>33</v>
      </c>
      <c r="H153" s="13">
        <v>2</v>
      </c>
      <c r="I153" s="13">
        <f t="shared" si="3"/>
        <v>2.1752515965258117</v>
      </c>
      <c r="J153" s="13">
        <v>0.30331501776206199</v>
      </c>
      <c r="K153" s="13" t="s">
        <v>31</v>
      </c>
      <c r="L153" s="13" t="s">
        <v>31</v>
      </c>
      <c r="M153" s="13" t="s">
        <v>31</v>
      </c>
    </row>
    <row r="154" spans="1:13">
      <c r="A154" s="12" t="s">
        <v>134</v>
      </c>
      <c r="B154" s="13">
        <f>7.337*(1.2-1)</f>
        <v>1.4673999999999996</v>
      </c>
      <c r="C154" s="13" t="s">
        <v>37</v>
      </c>
      <c r="D154" s="13" t="s">
        <v>82</v>
      </c>
      <c r="E154" s="13" t="s">
        <v>29</v>
      </c>
      <c r="F154" s="13" t="s">
        <v>91</v>
      </c>
      <c r="G154" s="13" t="s">
        <v>33</v>
      </c>
      <c r="H154" s="13">
        <v>2</v>
      </c>
      <c r="I154" s="13">
        <v>7.1283395581514224</v>
      </c>
      <c r="J154" s="13">
        <v>0.30331501776206199</v>
      </c>
      <c r="K154" s="13" t="s">
        <v>31</v>
      </c>
      <c r="L154" s="13" t="s">
        <v>31</v>
      </c>
      <c r="M154" s="13" t="s">
        <v>31</v>
      </c>
    </row>
    <row r="155" spans="1:13">
      <c r="A155" s="12" t="s">
        <v>150</v>
      </c>
      <c r="B155" s="13">
        <f>7.337*(1.2-1)</f>
        <v>1.4673999999999996</v>
      </c>
      <c r="C155" s="13" t="s">
        <v>37</v>
      </c>
      <c r="D155" s="13" t="s">
        <v>82</v>
      </c>
      <c r="E155" s="13" t="s">
        <v>29</v>
      </c>
      <c r="F155" s="13" t="s">
        <v>57</v>
      </c>
      <c r="G155" s="13" t="s">
        <v>135</v>
      </c>
      <c r="H155" s="13">
        <v>2</v>
      </c>
      <c r="I155" s="13">
        <f t="shared" si="3"/>
        <v>0.38349212729775656</v>
      </c>
      <c r="J155" s="13">
        <v>0.30331501776206199</v>
      </c>
      <c r="K155" s="13" t="s">
        <v>31</v>
      </c>
      <c r="L155" s="13" t="s">
        <v>31</v>
      </c>
      <c r="M155" s="13" t="s">
        <v>31</v>
      </c>
    </row>
    <row r="156" spans="1:13">
      <c r="A156" s="12" t="s">
        <v>151</v>
      </c>
      <c r="B156" s="13">
        <f>47.819*2.2</f>
        <v>105.20180000000002</v>
      </c>
      <c r="C156" s="13" t="s">
        <v>37</v>
      </c>
      <c r="D156" s="13" t="s">
        <v>82</v>
      </c>
      <c r="E156" s="13" t="s">
        <v>29</v>
      </c>
      <c r="F156" s="13" t="s">
        <v>57</v>
      </c>
      <c r="G156" s="13" t="s">
        <v>33</v>
      </c>
      <c r="H156" s="13">
        <v>2</v>
      </c>
      <c r="I156" s="13">
        <f t="shared" si="3"/>
        <v>4.6558804104233902</v>
      </c>
      <c r="J156" s="13">
        <v>0.30331501776206199</v>
      </c>
      <c r="K156" s="13" t="s">
        <v>31</v>
      </c>
      <c r="L156" s="13" t="s">
        <v>31</v>
      </c>
      <c r="M156" s="13" t="s">
        <v>31</v>
      </c>
    </row>
    <row r="157" spans="1:13">
      <c r="A157" s="12" t="s">
        <v>134</v>
      </c>
      <c r="B157" s="13">
        <f>47.819*(2.2-1)</f>
        <v>57.38280000000001</v>
      </c>
      <c r="C157" s="13" t="s">
        <v>37</v>
      </c>
      <c r="D157" s="13" t="s">
        <v>82</v>
      </c>
      <c r="E157" s="13" t="s">
        <v>29</v>
      </c>
      <c r="F157" s="13" t="s">
        <v>91</v>
      </c>
      <c r="G157" s="13" t="s">
        <v>33</v>
      </c>
      <c r="H157" s="13">
        <v>2</v>
      </c>
      <c r="I157" s="13">
        <v>7.1283395581514224</v>
      </c>
      <c r="J157" s="13">
        <v>0.30331501776206199</v>
      </c>
      <c r="K157" s="13" t="s">
        <v>31</v>
      </c>
      <c r="L157" s="13" t="s">
        <v>31</v>
      </c>
      <c r="M157" s="13" t="s">
        <v>31</v>
      </c>
    </row>
    <row r="158" spans="1:13">
      <c r="A158" s="12" t="s">
        <v>151</v>
      </c>
      <c r="B158" s="13">
        <f>47.819*(2.2-1)</f>
        <v>57.38280000000001</v>
      </c>
      <c r="C158" s="13" t="s">
        <v>37</v>
      </c>
      <c r="D158" s="13" t="s">
        <v>82</v>
      </c>
      <c r="E158" s="13" t="s">
        <v>29</v>
      </c>
      <c r="F158" s="13" t="s">
        <v>57</v>
      </c>
      <c r="G158" s="13" t="s">
        <v>135</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67</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152</v>
      </c>
      <c r="C4" s="4"/>
      <c r="D4" s="13"/>
      <c r="E4" s="13"/>
      <c r="F4" s="13"/>
      <c r="G4" s="13"/>
      <c r="H4" s="13"/>
      <c r="I4" s="13"/>
      <c r="J4" s="13"/>
      <c r="K4" s="13"/>
      <c r="L4" s="13"/>
      <c r="M4" s="13"/>
    </row>
    <row r="5" spans="1:13" ht="45">
      <c r="A5" s="12" t="s">
        <v>11</v>
      </c>
      <c r="B5" s="14" t="s">
        <v>153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67</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154</v>
      </c>
      <c r="B13" s="13">
        <v>71.151302400000006</v>
      </c>
      <c r="C13" s="13" t="s">
        <v>37</v>
      </c>
      <c r="D13" s="13" t="s">
        <v>82</v>
      </c>
      <c r="E13" s="13" t="s">
        <v>29</v>
      </c>
      <c r="F13" s="13" t="s">
        <v>91</v>
      </c>
      <c r="G13" s="13" t="s">
        <v>33</v>
      </c>
      <c r="H13" s="13">
        <v>2</v>
      </c>
      <c r="I13" s="13">
        <f>LN(B13)</f>
        <v>4.2648086293577858</v>
      </c>
      <c r="J13" s="13">
        <v>0.24207436873820401</v>
      </c>
      <c r="K13" s="13" t="s">
        <v>31</v>
      </c>
      <c r="L13" s="13" t="s">
        <v>31</v>
      </c>
      <c r="M13" s="13" t="s">
        <v>31</v>
      </c>
    </row>
    <row r="14" spans="1:13">
      <c r="A14" s="12" t="s">
        <v>155</v>
      </c>
      <c r="B14" s="13">
        <v>420.41844480000003</v>
      </c>
      <c r="C14" s="13" t="s">
        <v>37</v>
      </c>
      <c r="D14" s="13" t="s">
        <v>82</v>
      </c>
      <c r="E14" s="13" t="s">
        <v>29</v>
      </c>
      <c r="F14" s="13" t="s">
        <v>57</v>
      </c>
      <c r="G14" s="13" t="s">
        <v>33</v>
      </c>
      <c r="H14" s="13">
        <v>2</v>
      </c>
      <c r="I14" s="13">
        <f>LN(B14)</f>
        <v>6.0412505124456706</v>
      </c>
      <c r="J14" s="13">
        <v>0.24207436873820401</v>
      </c>
      <c r="K14" s="13" t="s">
        <v>31</v>
      </c>
      <c r="L14" s="13" t="s">
        <v>31</v>
      </c>
      <c r="M14" s="13" t="s">
        <v>31</v>
      </c>
    </row>
    <row r="15" spans="1:13">
      <c r="A15" s="12" t="s">
        <v>156</v>
      </c>
      <c r="B15" s="13">
        <v>667.24625279999998</v>
      </c>
      <c r="C15" s="13" t="s">
        <v>37</v>
      </c>
      <c r="D15" s="13" t="s">
        <v>82</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D30" sqref="D30"/>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68</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68</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45">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154</v>
      </c>
      <c r="B30" s="13">
        <v>0.95000000000000007</v>
      </c>
      <c r="C30" s="13" t="s">
        <v>37</v>
      </c>
      <c r="D30" s="13" t="s">
        <v>82</v>
      </c>
      <c r="E30" s="13" t="s">
        <v>29</v>
      </c>
      <c r="F30" s="13" t="s">
        <v>91</v>
      </c>
      <c r="G30" s="13" t="s">
        <v>33</v>
      </c>
      <c r="H30" s="13">
        <v>2</v>
      </c>
      <c r="I30" s="13">
        <f>LN(B30)</f>
        <v>-5.129329438755046E-2</v>
      </c>
      <c r="J30" s="13">
        <v>0.29325756597230351</v>
      </c>
      <c r="K30" s="13" t="s">
        <v>31</v>
      </c>
      <c r="L30" s="13" t="s">
        <v>31</v>
      </c>
      <c r="M30" s="13" t="s">
        <v>31</v>
      </c>
    </row>
    <row r="31" spans="1:13">
      <c r="A31" s="12" t="s">
        <v>94</v>
      </c>
      <c r="B31" s="13">
        <v>18.05</v>
      </c>
      <c r="C31" s="13" t="s">
        <v>37</v>
      </c>
      <c r="D31" s="13" t="s">
        <v>82</v>
      </c>
      <c r="E31" s="13" t="s">
        <v>29</v>
      </c>
      <c r="F31" s="13" t="s">
        <v>57</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45">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94</v>
      </c>
      <c r="B43" s="13">
        <v>301.19</v>
      </c>
      <c r="C43" s="13" t="s">
        <v>37</v>
      </c>
      <c r="D43" s="13" t="s">
        <v>82</v>
      </c>
      <c r="E43" s="13" t="s">
        <v>29</v>
      </c>
      <c r="F43" s="13" t="s">
        <v>57</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45">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82</v>
      </c>
      <c r="E55" s="13" t="s">
        <v>29</v>
      </c>
      <c r="F55" s="13" t="s">
        <v>57</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82</v>
      </c>
      <c r="E67" s="13" t="s">
        <v>29</v>
      </c>
      <c r="F67" s="13" t="s">
        <v>57</v>
      </c>
      <c r="G67" s="13" t="s">
        <v>33</v>
      </c>
      <c r="H67" s="13">
        <v>2</v>
      </c>
      <c r="I67" s="13">
        <f>LN(B67)</f>
        <v>2.4680995314716192</v>
      </c>
      <c r="J67" s="13">
        <v>0.29325756597230351</v>
      </c>
      <c r="K67" s="13" t="s">
        <v>31</v>
      </c>
      <c r="L67" s="13" t="s">
        <v>31</v>
      </c>
      <c r="M67" s="13" t="s">
        <v>31</v>
      </c>
      <c r="N67" t="s">
        <v>176</v>
      </c>
    </row>
    <row r="68" spans="1:14">
      <c r="A68" s="12" t="s">
        <v>133</v>
      </c>
      <c r="B68" s="13">
        <v>6.26</v>
      </c>
      <c r="C68" s="13" t="s">
        <v>37</v>
      </c>
      <c r="D68" s="13" t="s">
        <v>82</v>
      </c>
      <c r="E68" s="13" t="s">
        <v>29</v>
      </c>
      <c r="F68" s="13" t="s">
        <v>57</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45">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82</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82</v>
      </c>
      <c r="E81" s="13" t="s">
        <v>29</v>
      </c>
      <c r="F81" s="13" t="s">
        <v>57</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45">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154</v>
      </c>
      <c r="B93" s="13">
        <v>61.6</v>
      </c>
      <c r="C93" s="13" t="s">
        <v>37</v>
      </c>
      <c r="D93" s="13" t="s">
        <v>82</v>
      </c>
      <c r="E93" s="13" t="s">
        <v>29</v>
      </c>
      <c r="F93" s="13" t="s">
        <v>91</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16E4-1FA3-4C79-BE97-07AE34E411FA}">
  <dimension ref="A1:X101"/>
  <sheetViews>
    <sheetView zoomScale="85" zoomScaleNormal="85" workbookViewId="0">
      <selection activeCell="A12" sqref="A12"/>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61" bestFit="1" customWidth="1"/>
    <col min="20" max="20" width="8.7109375" style="61"/>
    <col min="21" max="21" width="9.7109375" style="61" bestFit="1" customWidth="1"/>
    <col min="22" max="22" width="8.7109375" style="61"/>
    <col min="23" max="23" width="8.85546875" style="61" bestFit="1" customWidth="1"/>
    <col min="24" max="24" width="8.7109375" style="61"/>
  </cols>
  <sheetData>
    <row r="1" spans="1:24">
      <c r="A1" t="s">
        <v>0</v>
      </c>
      <c r="B1">
        <v>14</v>
      </c>
      <c r="D1" s="61"/>
      <c r="P1" s="61" t="s">
        <v>183</v>
      </c>
      <c r="Q1" s="83"/>
    </row>
    <row r="2" spans="1:24" s="66" customFormat="1">
      <c r="A2" s="88" t="s">
        <v>5</v>
      </c>
      <c r="B2" s="88" t="s">
        <v>64</v>
      </c>
      <c r="C2" s="88"/>
      <c r="D2" s="64"/>
      <c r="Q2" s="66" t="s">
        <v>184</v>
      </c>
      <c r="S2" s="89"/>
      <c r="T2" s="89"/>
      <c r="U2" s="89"/>
      <c r="V2" s="89"/>
      <c r="W2" s="89"/>
      <c r="X2" s="89"/>
    </row>
    <row r="3" spans="1:24">
      <c r="A3" t="s">
        <v>7</v>
      </c>
      <c r="B3" t="s">
        <v>185</v>
      </c>
      <c r="Q3" t="s">
        <v>184</v>
      </c>
    </row>
    <row r="4" spans="1:24">
      <c r="A4" t="s">
        <v>9</v>
      </c>
      <c r="B4" s="90" t="s">
        <v>186</v>
      </c>
      <c r="C4" s="61"/>
      <c r="Q4" t="s">
        <v>184</v>
      </c>
    </row>
    <row r="5" spans="1:24">
      <c r="A5" t="s">
        <v>11</v>
      </c>
      <c r="B5" t="s">
        <v>187</v>
      </c>
      <c r="Q5" t="s">
        <v>184</v>
      </c>
    </row>
    <row r="6" spans="1:24">
      <c r="A6" t="s">
        <v>13</v>
      </c>
      <c r="B6" t="s">
        <v>14</v>
      </c>
      <c r="Q6" t="s">
        <v>184</v>
      </c>
    </row>
    <row r="7" spans="1:24">
      <c r="A7" t="s">
        <v>15</v>
      </c>
      <c r="B7">
        <v>1</v>
      </c>
      <c r="Q7" t="s">
        <v>184</v>
      </c>
    </row>
    <row r="8" spans="1:24">
      <c r="A8" t="s">
        <v>16</v>
      </c>
      <c r="B8" t="s">
        <v>17</v>
      </c>
      <c r="Q8" t="s">
        <v>184</v>
      </c>
    </row>
    <row r="9" spans="1:24">
      <c r="A9" t="s">
        <v>18</v>
      </c>
      <c r="B9" t="s">
        <v>18</v>
      </c>
      <c r="E9" t="s">
        <v>188</v>
      </c>
      <c r="Q9" t="s">
        <v>184</v>
      </c>
    </row>
    <row r="10" spans="1:24">
      <c r="A10" s="32" t="s">
        <v>19</v>
      </c>
      <c r="Q10" t="s">
        <v>184</v>
      </c>
    </row>
    <row r="11" spans="1:24">
      <c r="A11" s="32" t="s">
        <v>20</v>
      </c>
      <c r="B11" s="32" t="s">
        <v>21</v>
      </c>
      <c r="C11" s="32" t="s">
        <v>189</v>
      </c>
      <c r="D11" s="32" t="s">
        <v>18</v>
      </c>
      <c r="E11" s="32" t="s">
        <v>22</v>
      </c>
      <c r="F11" s="32" t="s">
        <v>7</v>
      </c>
      <c r="G11" s="32" t="s">
        <v>13</v>
      </c>
      <c r="H11" s="32" t="s">
        <v>16</v>
      </c>
      <c r="I11" s="32" t="s">
        <v>23</v>
      </c>
      <c r="J11" s="32" t="s">
        <v>24</v>
      </c>
      <c r="K11" s="32" t="s">
        <v>25</v>
      </c>
      <c r="L11" s="32" t="s">
        <v>26</v>
      </c>
      <c r="M11" s="32" t="s">
        <v>27</v>
      </c>
      <c r="N11" s="32" t="s">
        <v>28</v>
      </c>
      <c r="O11" s="32" t="s">
        <v>11</v>
      </c>
      <c r="P11" s="62" t="s">
        <v>190</v>
      </c>
      <c r="Q11" t="s">
        <v>184</v>
      </c>
    </row>
    <row r="12" spans="1:24">
      <c r="A12" t="s">
        <v>64</v>
      </c>
      <c r="B12">
        <v>1</v>
      </c>
      <c r="D12" t="s">
        <v>18</v>
      </c>
      <c r="E12" t="s">
        <v>2</v>
      </c>
      <c r="F12" t="s">
        <v>29</v>
      </c>
      <c r="G12" t="s">
        <v>14</v>
      </c>
      <c r="H12" t="s">
        <v>30</v>
      </c>
      <c r="I12">
        <v>1</v>
      </c>
      <c r="J12">
        <v>1</v>
      </c>
      <c r="K12" t="s">
        <v>31</v>
      </c>
      <c r="L12" t="s">
        <v>31</v>
      </c>
      <c r="M12" t="s">
        <v>31</v>
      </c>
      <c r="N12" t="s">
        <v>31</v>
      </c>
      <c r="Q12" t="s">
        <v>184</v>
      </c>
    </row>
    <row r="13" spans="1:24">
      <c r="A13" s="91" t="s">
        <v>191</v>
      </c>
      <c r="B13" s="92">
        <v>10</v>
      </c>
      <c r="C13" s="92"/>
      <c r="D13" t="s">
        <v>18</v>
      </c>
      <c r="E13" t="s">
        <v>2</v>
      </c>
      <c r="F13" t="s">
        <v>29</v>
      </c>
      <c r="G13" t="s">
        <v>57</v>
      </c>
      <c r="H13" t="s">
        <v>33</v>
      </c>
      <c r="I13">
        <v>2</v>
      </c>
      <c r="J13">
        <f t="shared" ref="J13:J21" si="0">LN(ABS(B13))</f>
        <v>2.3025850929940459</v>
      </c>
      <c r="K13" s="93">
        <v>0.4147288270665544</v>
      </c>
      <c r="L13" t="s">
        <v>31</v>
      </c>
      <c r="M13" t="s">
        <v>31</v>
      </c>
      <c r="N13" t="s">
        <v>31</v>
      </c>
      <c r="O13" t="s">
        <v>192</v>
      </c>
      <c r="Q13" t="s">
        <v>184</v>
      </c>
    </row>
    <row r="14" spans="1:24">
      <c r="A14" s="35" t="str">
        <f>B47</f>
        <v>Production of DEP Propellers, Electric Motors</v>
      </c>
      <c r="B14" s="92">
        <v>10</v>
      </c>
      <c r="C14" s="92"/>
      <c r="D14" t="s">
        <v>18</v>
      </c>
      <c r="E14" t="s">
        <v>2</v>
      </c>
      <c r="F14" t="s">
        <v>29</v>
      </c>
      <c r="G14" t="s">
        <v>57</v>
      </c>
      <c r="H14" t="s">
        <v>33</v>
      </c>
      <c r="I14">
        <v>2</v>
      </c>
      <c r="J14">
        <f t="shared" si="0"/>
        <v>2.3025850929940459</v>
      </c>
      <c r="K14" s="93">
        <v>0.4147288270665544</v>
      </c>
      <c r="L14" t="s">
        <v>31</v>
      </c>
      <c r="M14" t="s">
        <v>31</v>
      </c>
      <c r="N14" t="s">
        <v>31</v>
      </c>
      <c r="O14" t="s">
        <v>192</v>
      </c>
      <c r="Q14" t="s">
        <v>184</v>
      </c>
    </row>
    <row r="15" spans="1:24">
      <c r="A15" s="34" t="s">
        <v>193</v>
      </c>
      <c r="B15" s="94">
        <v>179596.19142581194</v>
      </c>
      <c r="C15" s="94"/>
      <c r="D15" t="s">
        <v>81</v>
      </c>
      <c r="E15" t="s">
        <v>38</v>
      </c>
      <c r="F15" t="s">
        <v>29</v>
      </c>
      <c r="G15" t="s">
        <v>57</v>
      </c>
      <c r="H15" t="s">
        <v>33</v>
      </c>
      <c r="I15">
        <v>2</v>
      </c>
      <c r="J15">
        <f t="shared" si="0"/>
        <v>12.098466228755745</v>
      </c>
      <c r="K15">
        <v>0.28635642126552707</v>
      </c>
      <c r="L15" t="s">
        <v>31</v>
      </c>
      <c r="M15" t="s">
        <v>31</v>
      </c>
      <c r="N15" t="s">
        <v>31</v>
      </c>
      <c r="Q15" t="s">
        <v>184</v>
      </c>
    </row>
    <row r="16" spans="1:24">
      <c r="A16" s="34" t="s">
        <v>84</v>
      </c>
      <c r="B16" s="61">
        <v>1009480.2593059178</v>
      </c>
      <c r="C16" s="92"/>
      <c r="D16" s="61" t="s">
        <v>85</v>
      </c>
      <c r="E16" s="61" t="s">
        <v>38</v>
      </c>
      <c r="F16" s="61" t="s">
        <v>29</v>
      </c>
      <c r="G16" s="61" t="s">
        <v>57</v>
      </c>
      <c r="H16" s="61" t="s">
        <v>33</v>
      </c>
      <c r="I16">
        <v>2</v>
      </c>
      <c r="J16">
        <f t="shared" si="0"/>
        <v>13.82494616162151</v>
      </c>
      <c r="K16">
        <v>0.28635642126552707</v>
      </c>
      <c r="L16" t="s">
        <v>31</v>
      </c>
      <c r="M16" t="s">
        <v>31</v>
      </c>
      <c r="N16" t="s">
        <v>31</v>
      </c>
      <c r="Q16" t="s">
        <v>184</v>
      </c>
      <c r="R16" s="34"/>
      <c r="S16" s="92">
        <v>8312.3662638954229</v>
      </c>
      <c r="T16" s="61" t="s">
        <v>194</v>
      </c>
      <c r="U16" s="61">
        <f>S16/0.277778</f>
        <v>29924.494610427832</v>
      </c>
      <c r="V16" s="61" t="s">
        <v>195</v>
      </c>
    </row>
    <row r="17" spans="1:24">
      <c r="A17" t="s">
        <v>87</v>
      </c>
      <c r="B17" s="72">
        <v>452454.91126950301</v>
      </c>
      <c r="C17" s="72"/>
      <c r="D17" t="s">
        <v>37</v>
      </c>
      <c r="E17" t="s">
        <v>38</v>
      </c>
      <c r="F17" t="s">
        <v>29</v>
      </c>
      <c r="G17" t="s">
        <v>57</v>
      </c>
      <c r="H17" t="s">
        <v>33</v>
      </c>
      <c r="I17">
        <v>2</v>
      </c>
      <c r="J17">
        <f t="shared" si="0"/>
        <v>13.022443393554056</v>
      </c>
      <c r="K17">
        <v>0.28635642126552707</v>
      </c>
      <c r="L17" t="s">
        <v>31</v>
      </c>
      <c r="M17" t="s">
        <v>31</v>
      </c>
      <c r="N17" t="s">
        <v>31</v>
      </c>
      <c r="O17" t="s">
        <v>196</v>
      </c>
      <c r="Q17" t="s">
        <v>184</v>
      </c>
    </row>
    <row r="18" spans="1:24" ht="15.75" customHeight="1">
      <c r="A18" t="s">
        <v>46</v>
      </c>
      <c r="B18" s="94">
        <v>117790.71196908961</v>
      </c>
      <c r="C18" s="94"/>
      <c r="D18" t="s">
        <v>37</v>
      </c>
      <c r="E18" t="s">
        <v>41</v>
      </c>
      <c r="F18" t="s">
        <v>42</v>
      </c>
      <c r="G18" t="s">
        <v>29</v>
      </c>
      <c r="H18" t="s">
        <v>43</v>
      </c>
      <c r="I18">
        <v>2</v>
      </c>
      <c r="J18">
        <f>LN(ABS(B18))</f>
        <v>11.676664701327887</v>
      </c>
      <c r="K18">
        <v>0.28635642126552707</v>
      </c>
      <c r="L18" t="s">
        <v>31</v>
      </c>
      <c r="M18" t="s">
        <v>31</v>
      </c>
      <c r="N18" t="s">
        <v>31</v>
      </c>
      <c r="Q18" t="s">
        <v>184</v>
      </c>
    </row>
    <row r="19" spans="1:24">
      <c r="A19" t="s">
        <v>49</v>
      </c>
      <c r="B19" s="94">
        <v>1.7045008908468262</v>
      </c>
      <c r="C19" s="94"/>
      <c r="D19" t="s">
        <v>37</v>
      </c>
      <c r="E19" t="s">
        <v>41</v>
      </c>
      <c r="F19" t="s">
        <v>42</v>
      </c>
      <c r="G19" t="s">
        <v>29</v>
      </c>
      <c r="H19" t="s">
        <v>43</v>
      </c>
      <c r="I19">
        <v>2</v>
      </c>
      <c r="J19">
        <f t="shared" si="0"/>
        <v>0.53327233523975937</v>
      </c>
      <c r="K19">
        <v>0.28635642126552707</v>
      </c>
      <c r="L19" t="s">
        <v>31</v>
      </c>
      <c r="M19" t="s">
        <v>31</v>
      </c>
      <c r="N19" t="s">
        <v>31</v>
      </c>
      <c r="Q19" t="s">
        <v>184</v>
      </c>
    </row>
    <row r="20" spans="1:24">
      <c r="A20" t="s">
        <v>40</v>
      </c>
      <c r="B20">
        <v>31.73420357755473</v>
      </c>
      <c r="D20" t="s">
        <v>37</v>
      </c>
      <c r="E20" t="s">
        <v>41</v>
      </c>
      <c r="F20" t="s">
        <v>42</v>
      </c>
      <c r="G20" t="s">
        <v>29</v>
      </c>
      <c r="H20" t="s">
        <v>43</v>
      </c>
      <c r="I20">
        <v>2</v>
      </c>
      <c r="J20">
        <f t="shared" si="0"/>
        <v>3.4573950764156272</v>
      </c>
      <c r="K20">
        <v>0.28635642126552707</v>
      </c>
      <c r="L20" t="s">
        <v>31</v>
      </c>
      <c r="M20" t="s">
        <v>31</v>
      </c>
      <c r="N20" t="s">
        <v>31</v>
      </c>
      <c r="Q20" t="s">
        <v>184</v>
      </c>
    </row>
    <row r="21" spans="1:24">
      <c r="A21" t="s">
        <v>89</v>
      </c>
      <c r="B21">
        <v>173.91452178965585</v>
      </c>
      <c r="D21" t="s">
        <v>37</v>
      </c>
      <c r="E21" t="s">
        <v>41</v>
      </c>
      <c r="F21" t="s">
        <v>42</v>
      </c>
      <c r="G21" t="s">
        <v>29</v>
      </c>
      <c r="H21" t="s">
        <v>43</v>
      </c>
      <c r="I21">
        <v>2</v>
      </c>
      <c r="J21">
        <f t="shared" si="0"/>
        <v>5.1585639244272716</v>
      </c>
      <c r="K21">
        <v>0.28635642126552707</v>
      </c>
      <c r="L21" t="s">
        <v>31</v>
      </c>
      <c r="M21" t="s">
        <v>31</v>
      </c>
      <c r="N21" t="s">
        <v>31</v>
      </c>
      <c r="Q21" t="s">
        <v>184</v>
      </c>
    </row>
    <row r="22" spans="1:24" s="66" customFormat="1">
      <c r="A22" s="88" t="s">
        <v>5</v>
      </c>
      <c r="B22" s="88" t="s">
        <v>191</v>
      </c>
      <c r="C22" s="88"/>
      <c r="D22" s="64"/>
      <c r="Q22" s="66" t="s">
        <v>184</v>
      </c>
      <c r="S22" s="89"/>
      <c r="T22" s="89"/>
      <c r="U22" s="89"/>
      <c r="V22" s="89"/>
      <c r="W22" s="89"/>
      <c r="X22" s="89"/>
    </row>
    <row r="23" spans="1:24">
      <c r="A23" t="s">
        <v>7</v>
      </c>
      <c r="B23" t="s">
        <v>185</v>
      </c>
      <c r="Q23" t="s">
        <v>184</v>
      </c>
    </row>
    <row r="24" spans="1:24">
      <c r="A24" t="s">
        <v>9</v>
      </c>
      <c r="B24" s="90" t="s">
        <v>197</v>
      </c>
      <c r="C24" s="61"/>
      <c r="Q24" t="s">
        <v>184</v>
      </c>
    </row>
    <row r="25" spans="1:24">
      <c r="A25" t="s">
        <v>11</v>
      </c>
      <c r="B25" t="s">
        <v>198</v>
      </c>
      <c r="Q25" t="s">
        <v>184</v>
      </c>
    </row>
    <row r="26" spans="1:24">
      <c r="A26" t="s">
        <v>13</v>
      </c>
      <c r="B26" t="s">
        <v>57</v>
      </c>
      <c r="Q26" t="s">
        <v>184</v>
      </c>
    </row>
    <row r="27" spans="1:24">
      <c r="A27" t="s">
        <v>15</v>
      </c>
      <c r="B27">
        <v>1</v>
      </c>
      <c r="Q27" t="s">
        <v>184</v>
      </c>
    </row>
    <row r="28" spans="1:24">
      <c r="A28" t="s">
        <v>16</v>
      </c>
      <c r="B28" t="s">
        <v>17</v>
      </c>
      <c r="Q28" t="s">
        <v>184</v>
      </c>
    </row>
    <row r="29" spans="1:24">
      <c r="A29" t="s">
        <v>18</v>
      </c>
      <c r="B29" t="s">
        <v>18</v>
      </c>
      <c r="E29" t="s">
        <v>188</v>
      </c>
      <c r="Q29" t="s">
        <v>184</v>
      </c>
    </row>
    <row r="30" spans="1:24">
      <c r="A30" s="32" t="s">
        <v>19</v>
      </c>
      <c r="Q30" t="s">
        <v>184</v>
      </c>
    </row>
    <row r="31" spans="1:24" s="61" customFormat="1">
      <c r="A31" s="32" t="s">
        <v>20</v>
      </c>
      <c r="B31" s="32" t="s">
        <v>21</v>
      </c>
      <c r="C31" s="32" t="s">
        <v>189</v>
      </c>
      <c r="D31" s="32" t="s">
        <v>18</v>
      </c>
      <c r="E31" s="32" t="s">
        <v>22</v>
      </c>
      <c r="F31" s="32" t="s">
        <v>7</v>
      </c>
      <c r="G31" s="32" t="s">
        <v>13</v>
      </c>
      <c r="H31" s="32" t="s">
        <v>16</v>
      </c>
      <c r="I31" s="32" t="s">
        <v>23</v>
      </c>
      <c r="J31" s="32" t="s">
        <v>24</v>
      </c>
      <c r="K31" s="32" t="s">
        <v>25</v>
      </c>
      <c r="L31" s="32" t="s">
        <v>26</v>
      </c>
      <c r="M31" s="32" t="s">
        <v>27</v>
      </c>
      <c r="N31" s="32" t="s">
        <v>28</v>
      </c>
      <c r="O31" s="32" t="s">
        <v>11</v>
      </c>
      <c r="P31" s="62" t="s">
        <v>190</v>
      </c>
      <c r="Q31" t="s">
        <v>184</v>
      </c>
      <c r="R31"/>
    </row>
    <row r="32" spans="1:24" s="61" customFormat="1">
      <c r="A32" t="s">
        <v>191</v>
      </c>
      <c r="B32">
        <v>1</v>
      </c>
      <c r="C32"/>
      <c r="D32" t="s">
        <v>18</v>
      </c>
      <c r="E32" t="s">
        <v>2</v>
      </c>
      <c r="F32" t="s">
        <v>29</v>
      </c>
      <c r="G32" t="s">
        <v>57</v>
      </c>
      <c r="H32" t="s">
        <v>30</v>
      </c>
      <c r="I32">
        <v>1</v>
      </c>
      <c r="J32">
        <v>1</v>
      </c>
      <c r="K32" t="s">
        <v>31</v>
      </c>
      <c r="L32" t="s">
        <v>31</v>
      </c>
      <c r="M32" t="s">
        <v>31</v>
      </c>
      <c r="N32" t="s">
        <v>31</v>
      </c>
      <c r="O32"/>
      <c r="Q32" t="s">
        <v>184</v>
      </c>
      <c r="R32"/>
    </row>
    <row r="33" spans="1:24" s="61" customFormat="1">
      <c r="A33" s="95" t="s">
        <v>133</v>
      </c>
      <c r="B33" s="87">
        <f>23.33865*8</f>
        <v>186.70920000000001</v>
      </c>
      <c r="C33" s="87"/>
      <c r="D33" s="87" t="s">
        <v>37</v>
      </c>
      <c r="E33" s="87" t="s">
        <v>38</v>
      </c>
      <c r="F33" s="87" t="s">
        <v>29</v>
      </c>
      <c r="G33" s="87" t="s">
        <v>57</v>
      </c>
      <c r="H33" s="87" t="s">
        <v>33</v>
      </c>
      <c r="I33" s="87">
        <v>2</v>
      </c>
      <c r="J33" s="87">
        <f t="shared" ref="J33:J46" si="1">LN(B33)</f>
        <v>5.229552326248446</v>
      </c>
      <c r="K33" s="87">
        <v>0.30331501776206199</v>
      </c>
      <c r="L33" s="87" t="s">
        <v>31</v>
      </c>
      <c r="M33" s="87" t="s">
        <v>31</v>
      </c>
      <c r="N33" s="87" t="s">
        <v>31</v>
      </c>
      <c r="O33" s="87" t="s">
        <v>199</v>
      </c>
      <c r="P33" s="61" t="s">
        <v>200</v>
      </c>
      <c r="Q33" t="s">
        <v>184</v>
      </c>
      <c r="R33"/>
    </row>
    <row r="34" spans="1:24" s="61" customFormat="1">
      <c r="A34" s="95" t="s">
        <v>94</v>
      </c>
      <c r="B34" s="87">
        <f>7.77955*1.2</f>
        <v>9.3354599999999994</v>
      </c>
      <c r="C34" s="87"/>
      <c r="D34" s="87" t="s">
        <v>37</v>
      </c>
      <c r="E34" s="87" t="s">
        <v>38</v>
      </c>
      <c r="F34" s="87" t="s">
        <v>29</v>
      </c>
      <c r="G34" s="87" t="s">
        <v>57</v>
      </c>
      <c r="H34" s="87" t="s">
        <v>33</v>
      </c>
      <c r="I34" s="87">
        <v>2</v>
      </c>
      <c r="J34" s="87">
        <f t="shared" si="1"/>
        <v>2.2338200526944552</v>
      </c>
      <c r="K34" s="87">
        <v>0.30331501776206199</v>
      </c>
      <c r="L34" s="87" t="s">
        <v>31</v>
      </c>
      <c r="M34" s="87" t="s">
        <v>31</v>
      </c>
      <c r="N34" s="87" t="s">
        <v>31</v>
      </c>
      <c r="O34" s="87" t="s">
        <v>199</v>
      </c>
      <c r="P34" s="61" t="s">
        <v>201</v>
      </c>
      <c r="Q34" t="s">
        <v>184</v>
      </c>
      <c r="R34"/>
    </row>
    <row r="35" spans="1:24" s="61" customFormat="1">
      <c r="A35" s="96" t="s">
        <v>134</v>
      </c>
      <c r="B35" s="97">
        <f>B33-23.33865</f>
        <v>163.37055000000001</v>
      </c>
      <c r="C35" s="97"/>
      <c r="D35" s="97" t="s">
        <v>37</v>
      </c>
      <c r="E35" s="97" t="s">
        <v>38</v>
      </c>
      <c r="F35" s="97" t="s">
        <v>29</v>
      </c>
      <c r="G35" s="97" t="s">
        <v>91</v>
      </c>
      <c r="H35" s="97" t="s">
        <v>33</v>
      </c>
      <c r="I35" s="97">
        <v>2</v>
      </c>
      <c r="J35" s="97">
        <f t="shared" si="1"/>
        <v>5.0960209336239233</v>
      </c>
      <c r="K35" s="97">
        <v>0.30331501776206199</v>
      </c>
      <c r="L35" s="97" t="s">
        <v>31</v>
      </c>
      <c r="M35" s="97" t="s">
        <v>31</v>
      </c>
      <c r="N35" s="97" t="s">
        <v>31</v>
      </c>
      <c r="O35" s="97" t="s">
        <v>202</v>
      </c>
      <c r="P35" s="98" t="s">
        <v>203</v>
      </c>
      <c r="Q35" t="s">
        <v>184</v>
      </c>
      <c r="R35"/>
    </row>
    <row r="36" spans="1:24" s="61" customFormat="1">
      <c r="A36" s="99" t="s">
        <v>133</v>
      </c>
      <c r="B36" s="100">
        <f>B33-23.33865</f>
        <v>163.37055000000001</v>
      </c>
      <c r="C36" s="100"/>
      <c r="D36" s="100" t="s">
        <v>37</v>
      </c>
      <c r="E36" s="100" t="s">
        <v>38</v>
      </c>
      <c r="F36" s="100" t="s">
        <v>29</v>
      </c>
      <c r="G36" s="100" t="s">
        <v>57</v>
      </c>
      <c r="H36" s="100" t="s">
        <v>135</v>
      </c>
      <c r="I36" s="100">
        <v>2</v>
      </c>
      <c r="J36" s="100">
        <f t="shared" si="1"/>
        <v>5.0960209336239233</v>
      </c>
      <c r="K36" s="100">
        <v>0.30331501776206199</v>
      </c>
      <c r="L36" s="100" t="s">
        <v>31</v>
      </c>
      <c r="M36" s="100" t="s">
        <v>31</v>
      </c>
      <c r="N36" s="100" t="s">
        <v>31</v>
      </c>
      <c r="O36" s="100" t="s">
        <v>202</v>
      </c>
      <c r="P36" s="101" t="s">
        <v>204</v>
      </c>
      <c r="Q36" t="s">
        <v>184</v>
      </c>
      <c r="R36"/>
    </row>
    <row r="37" spans="1:24" s="61" customFormat="1">
      <c r="A37" s="96" t="s">
        <v>205</v>
      </c>
      <c r="B37" s="97">
        <f>B34-7.77955</f>
        <v>1.555909999999999</v>
      </c>
      <c r="C37" s="97"/>
      <c r="D37" s="97" t="s">
        <v>37</v>
      </c>
      <c r="E37" s="97" t="s">
        <v>38</v>
      </c>
      <c r="F37" s="97" t="s">
        <v>29</v>
      </c>
      <c r="G37" s="97" t="s">
        <v>91</v>
      </c>
      <c r="H37" s="97" t="s">
        <v>33</v>
      </c>
      <c r="I37" s="97">
        <v>2</v>
      </c>
      <c r="J37" s="97">
        <f t="shared" si="1"/>
        <v>0.44206058346639965</v>
      </c>
      <c r="K37" s="97">
        <v>0.30331501776206199</v>
      </c>
      <c r="L37" s="97" t="s">
        <v>31</v>
      </c>
      <c r="M37" s="97" t="s">
        <v>31</v>
      </c>
      <c r="N37" s="97" t="s">
        <v>31</v>
      </c>
      <c r="O37" s="97" t="s">
        <v>202</v>
      </c>
      <c r="P37" s="98" t="s">
        <v>206</v>
      </c>
      <c r="Q37" t="s">
        <v>184</v>
      </c>
      <c r="R37"/>
    </row>
    <row r="38" spans="1:24" s="61" customFormat="1">
      <c r="A38" s="102" t="s">
        <v>207</v>
      </c>
      <c r="B38" s="85">
        <f>B34-7.77955</f>
        <v>1.555909999999999</v>
      </c>
      <c r="C38" s="34" t="s">
        <v>208</v>
      </c>
      <c r="D38" s="85" t="s">
        <v>37</v>
      </c>
      <c r="E38" s="85" t="s">
        <v>38</v>
      </c>
      <c r="F38" s="85" t="s">
        <v>29</v>
      </c>
      <c r="G38" s="85" t="s">
        <v>91</v>
      </c>
      <c r="H38" s="85" t="s">
        <v>33</v>
      </c>
      <c r="I38" s="85">
        <v>2</v>
      </c>
      <c r="J38" s="85">
        <f t="shared" si="1"/>
        <v>0.44206058346639965</v>
      </c>
      <c r="K38" s="85">
        <v>0.30331501776206199</v>
      </c>
      <c r="L38" s="85" t="s">
        <v>31</v>
      </c>
      <c r="M38" s="85" t="s">
        <v>31</v>
      </c>
      <c r="N38" s="85" t="s">
        <v>31</v>
      </c>
      <c r="O38" s="85" t="s">
        <v>202</v>
      </c>
      <c r="P38" s="103" t="s">
        <v>206</v>
      </c>
      <c r="Q38" t="s">
        <v>184</v>
      </c>
      <c r="R38"/>
    </row>
    <row r="39" spans="1:24" s="61" customFormat="1">
      <c r="A39" s="99" t="s">
        <v>94</v>
      </c>
      <c r="B39" s="100">
        <f>B34-7.77955</f>
        <v>1.555909999999999</v>
      </c>
      <c r="C39" s="100"/>
      <c r="D39" s="100" t="s">
        <v>37</v>
      </c>
      <c r="E39" s="100" t="s">
        <v>38</v>
      </c>
      <c r="F39" s="100" t="s">
        <v>29</v>
      </c>
      <c r="G39" s="100" t="s">
        <v>57</v>
      </c>
      <c r="H39" s="100" t="s">
        <v>135</v>
      </c>
      <c r="I39" s="100">
        <v>2</v>
      </c>
      <c r="J39" s="100">
        <f t="shared" si="1"/>
        <v>0.44206058346639965</v>
      </c>
      <c r="K39" s="100">
        <v>0.30331501776206199</v>
      </c>
      <c r="L39" s="100" t="s">
        <v>31</v>
      </c>
      <c r="M39" s="100" t="s">
        <v>31</v>
      </c>
      <c r="N39" s="100" t="s">
        <v>31</v>
      </c>
      <c r="O39" s="100" t="s">
        <v>202</v>
      </c>
      <c r="P39" s="101" t="s">
        <v>209</v>
      </c>
      <c r="Q39" t="s">
        <v>184</v>
      </c>
      <c r="R39"/>
      <c r="S39" s="62" t="s">
        <v>210</v>
      </c>
    </row>
    <row r="40" spans="1:24" s="61" customFormat="1">
      <c r="A40" t="s">
        <v>211</v>
      </c>
      <c r="B40" s="104">
        <v>806.58374400000014</v>
      </c>
      <c r="C40" s="94"/>
      <c r="D40" t="s">
        <v>81</v>
      </c>
      <c r="E40" t="s">
        <v>38</v>
      </c>
      <c r="F40" t="s">
        <v>29</v>
      </c>
      <c r="G40" t="s">
        <v>57</v>
      </c>
      <c r="H40" t="s">
        <v>33</v>
      </c>
      <c r="I40">
        <v>2</v>
      </c>
      <c r="J40">
        <f t="shared" si="1"/>
        <v>6.6928077285044658</v>
      </c>
      <c r="K40">
        <v>0.28635642126552707</v>
      </c>
      <c r="L40" t="s">
        <v>31</v>
      </c>
      <c r="M40" t="s">
        <v>31</v>
      </c>
      <c r="N40" t="s">
        <v>31</v>
      </c>
      <c r="O40"/>
      <c r="Q40" t="s">
        <v>184</v>
      </c>
      <c r="R40"/>
    </row>
    <row r="41" spans="1:24" s="61" customFormat="1">
      <c r="A41" s="34" t="s">
        <v>84</v>
      </c>
      <c r="B41" s="61">
        <v>4533.6727944000004</v>
      </c>
      <c r="D41" s="61" t="s">
        <v>85</v>
      </c>
      <c r="E41" s="61" t="s">
        <v>38</v>
      </c>
      <c r="F41" s="61" t="s">
        <v>29</v>
      </c>
      <c r="G41" s="61" t="s">
        <v>57</v>
      </c>
      <c r="H41" s="61" t="s">
        <v>33</v>
      </c>
      <c r="I41">
        <v>2</v>
      </c>
      <c r="J41">
        <f t="shared" si="1"/>
        <v>8.4192876613702303</v>
      </c>
      <c r="K41">
        <v>0.28635642126552707</v>
      </c>
      <c r="L41" t="s">
        <v>31</v>
      </c>
      <c r="M41" t="s">
        <v>31</v>
      </c>
      <c r="N41" t="s">
        <v>31</v>
      </c>
      <c r="O41"/>
      <c r="Q41" t="s">
        <v>184</v>
      </c>
      <c r="R41" s="34"/>
      <c r="S41" s="92">
        <v>573.68218478825872</v>
      </c>
      <c r="T41" s="61" t="s">
        <v>194</v>
      </c>
      <c r="U41" s="61">
        <f>S41/0.277778</f>
        <v>2065.2542130343609</v>
      </c>
      <c r="V41" s="61" t="s">
        <v>195</v>
      </c>
    </row>
    <row r="42" spans="1:24" s="61" customFormat="1">
      <c r="A42" t="s">
        <v>87</v>
      </c>
      <c r="B42" s="94">
        <v>2032.01846</v>
      </c>
      <c r="C42" s="94"/>
      <c r="D42" t="s">
        <v>37</v>
      </c>
      <c r="E42" t="s">
        <v>38</v>
      </c>
      <c r="F42" t="s">
        <v>29</v>
      </c>
      <c r="G42" t="s">
        <v>57</v>
      </c>
      <c r="H42" t="s">
        <v>33</v>
      </c>
      <c r="I42">
        <v>2</v>
      </c>
      <c r="J42">
        <f t="shared" si="1"/>
        <v>7.6167848933027766</v>
      </c>
      <c r="K42">
        <v>0.28635642126552707</v>
      </c>
      <c r="L42" t="s">
        <v>31</v>
      </c>
      <c r="M42" t="s">
        <v>31</v>
      </c>
      <c r="N42" t="s">
        <v>31</v>
      </c>
      <c r="O42" t="s">
        <v>196</v>
      </c>
      <c r="Q42" t="s">
        <v>184</v>
      </c>
      <c r="R42"/>
    </row>
    <row r="43" spans="1:24" s="61" customFormat="1">
      <c r="A43" t="s">
        <v>46</v>
      </c>
      <c r="B43" s="94">
        <v>529.00940000000003</v>
      </c>
      <c r="C43" s="94"/>
      <c r="D43" t="s">
        <v>37</v>
      </c>
      <c r="E43" t="s">
        <v>41</v>
      </c>
      <c r="F43" t="s">
        <v>42</v>
      </c>
      <c r="G43" t="s">
        <v>29</v>
      </c>
      <c r="H43" t="s">
        <v>43</v>
      </c>
      <c r="I43">
        <v>2</v>
      </c>
      <c r="J43">
        <f t="shared" si="1"/>
        <v>6.2710062010766077</v>
      </c>
      <c r="K43">
        <v>0.28635642126552707</v>
      </c>
      <c r="L43" t="s">
        <v>31</v>
      </c>
      <c r="M43" t="s">
        <v>31</v>
      </c>
      <c r="N43" t="s">
        <v>31</v>
      </c>
      <c r="O43"/>
      <c r="Q43" t="s">
        <v>184</v>
      </c>
      <c r="R43"/>
    </row>
    <row r="44" spans="1:24" s="61" customFormat="1">
      <c r="A44" t="s">
        <v>49</v>
      </c>
      <c r="B44" s="94">
        <v>7.6550772000000007E-3</v>
      </c>
      <c r="C44" s="94"/>
      <c r="D44" t="s">
        <v>37</v>
      </c>
      <c r="E44" t="s">
        <v>41</v>
      </c>
      <c r="F44" t="s">
        <v>42</v>
      </c>
      <c r="G44" t="s">
        <v>29</v>
      </c>
      <c r="H44" t="s">
        <v>43</v>
      </c>
      <c r="I44">
        <v>2</v>
      </c>
      <c r="J44">
        <f t="shared" si="1"/>
        <v>-4.8723861650115197</v>
      </c>
      <c r="K44">
        <v>0.28635642126552707</v>
      </c>
      <c r="L44" t="s">
        <v>31</v>
      </c>
      <c r="M44" t="s">
        <v>31</v>
      </c>
      <c r="N44" t="s">
        <v>31</v>
      </c>
      <c r="O44"/>
      <c r="Q44" t="s">
        <v>184</v>
      </c>
      <c r="R44"/>
    </row>
    <row r="45" spans="1:24" s="61" customFormat="1">
      <c r="A45" t="s">
        <v>40</v>
      </c>
      <c r="B45">
        <v>0.14252135600000002</v>
      </c>
      <c r="C45"/>
      <c r="D45" t="s">
        <v>37</v>
      </c>
      <c r="E45" t="s">
        <v>41</v>
      </c>
      <c r="F45" t="s">
        <v>42</v>
      </c>
      <c r="G45" t="s">
        <v>29</v>
      </c>
      <c r="H45" t="s">
        <v>43</v>
      </c>
      <c r="I45">
        <v>2</v>
      </c>
      <c r="J45">
        <f t="shared" si="1"/>
        <v>-1.948263423835652</v>
      </c>
      <c r="K45">
        <v>0.28635642126552707</v>
      </c>
      <c r="L45" t="s">
        <v>31</v>
      </c>
      <c r="M45" t="s">
        <v>31</v>
      </c>
      <c r="N45" t="s">
        <v>31</v>
      </c>
      <c r="O45"/>
      <c r="Q45" t="s">
        <v>184</v>
      </c>
      <c r="R45"/>
    </row>
    <row r="46" spans="1:24" s="61" customFormat="1">
      <c r="A46" t="s">
        <v>89</v>
      </c>
      <c r="B46">
        <v>0.78106682000000005</v>
      </c>
      <c r="C46"/>
      <c r="D46" t="s">
        <v>37</v>
      </c>
      <c r="E46" t="s">
        <v>41</v>
      </c>
      <c r="F46" t="s">
        <v>42</v>
      </c>
      <c r="G46" t="s">
        <v>29</v>
      </c>
      <c r="H46" t="s">
        <v>43</v>
      </c>
      <c r="I46">
        <v>2</v>
      </c>
      <c r="J46">
        <f t="shared" si="1"/>
        <v>-0.24709457582400751</v>
      </c>
      <c r="K46">
        <v>0.28635642126552702</v>
      </c>
      <c r="L46" t="s">
        <v>31</v>
      </c>
      <c r="M46" t="s">
        <v>31</v>
      </c>
      <c r="N46" t="s">
        <v>31</v>
      </c>
      <c r="O46"/>
      <c r="Q46" t="s">
        <v>184</v>
      </c>
      <c r="R46"/>
    </row>
    <row r="47" spans="1:24" s="66" customFormat="1">
      <c r="A47" s="88" t="s">
        <v>5</v>
      </c>
      <c r="B47" s="105" t="s">
        <v>212</v>
      </c>
      <c r="C47" s="88"/>
      <c r="D47" s="64"/>
      <c r="Q47" s="66" t="s">
        <v>184</v>
      </c>
      <c r="S47" s="89"/>
      <c r="T47" s="89"/>
      <c r="U47" s="89"/>
      <c r="V47" s="89"/>
      <c r="W47" s="89"/>
      <c r="X47" s="89"/>
    </row>
    <row r="48" spans="1:24">
      <c r="A48" t="s">
        <v>7</v>
      </c>
      <c r="B48" t="s">
        <v>185</v>
      </c>
      <c r="Q48" t="s">
        <v>184</v>
      </c>
    </row>
    <row r="49" spans="1:24">
      <c r="A49" t="s">
        <v>9</v>
      </c>
      <c r="B49" s="90" t="s">
        <v>213</v>
      </c>
      <c r="C49" s="61"/>
      <c r="Q49" t="s">
        <v>184</v>
      </c>
    </row>
    <row r="50" spans="1:24">
      <c r="A50" t="s">
        <v>11</v>
      </c>
      <c r="B50" t="s">
        <v>214</v>
      </c>
      <c r="Q50" t="s">
        <v>184</v>
      </c>
    </row>
    <row r="51" spans="1:24">
      <c r="A51" t="s">
        <v>13</v>
      </c>
      <c r="B51" t="s">
        <v>57</v>
      </c>
      <c r="Q51" t="s">
        <v>184</v>
      </c>
    </row>
    <row r="52" spans="1:24">
      <c r="A52" t="s">
        <v>15</v>
      </c>
      <c r="B52">
        <v>1</v>
      </c>
      <c r="Q52" t="s">
        <v>184</v>
      </c>
    </row>
    <row r="53" spans="1:24">
      <c r="A53" t="s">
        <v>16</v>
      </c>
      <c r="B53" t="s">
        <v>17</v>
      </c>
      <c r="Q53" t="s">
        <v>184</v>
      </c>
    </row>
    <row r="54" spans="1:24">
      <c r="A54" t="s">
        <v>18</v>
      </c>
      <c r="B54" t="s">
        <v>18</v>
      </c>
      <c r="E54" t="s">
        <v>188</v>
      </c>
      <c r="Q54" t="s">
        <v>184</v>
      </c>
    </row>
    <row r="55" spans="1:24">
      <c r="A55" s="32" t="s">
        <v>19</v>
      </c>
      <c r="Q55" t="s">
        <v>184</v>
      </c>
    </row>
    <row r="56" spans="1:24">
      <c r="A56" s="32" t="s">
        <v>20</v>
      </c>
      <c r="B56" s="32" t="s">
        <v>21</v>
      </c>
      <c r="C56" s="32" t="s">
        <v>189</v>
      </c>
      <c r="D56" s="32" t="s">
        <v>18</v>
      </c>
      <c r="E56" s="32" t="s">
        <v>22</v>
      </c>
      <c r="F56" s="32" t="s">
        <v>7</v>
      </c>
      <c r="G56" s="32" t="s">
        <v>13</v>
      </c>
      <c r="H56" s="32" t="s">
        <v>16</v>
      </c>
      <c r="I56" s="32" t="s">
        <v>23</v>
      </c>
      <c r="J56" s="32" t="s">
        <v>24</v>
      </c>
      <c r="K56" s="32" t="s">
        <v>25</v>
      </c>
      <c r="L56" s="32" t="s">
        <v>26</v>
      </c>
      <c r="M56" s="32" t="s">
        <v>27</v>
      </c>
      <c r="N56" s="32" t="s">
        <v>28</v>
      </c>
      <c r="O56" s="32" t="s">
        <v>11</v>
      </c>
      <c r="P56" s="62" t="s">
        <v>190</v>
      </c>
      <c r="Q56" t="s">
        <v>184</v>
      </c>
    </row>
    <row r="57" spans="1:24">
      <c r="A57" s="35" t="str">
        <f>B47</f>
        <v>Production of DEP Propellers, Electric Motors</v>
      </c>
      <c r="B57" s="106">
        <v>1</v>
      </c>
      <c r="C57" s="106"/>
      <c r="D57" t="s">
        <v>18</v>
      </c>
      <c r="E57" t="s">
        <v>2</v>
      </c>
      <c r="F57" t="s">
        <v>29</v>
      </c>
      <c r="G57" t="s">
        <v>57</v>
      </c>
      <c r="H57" t="s">
        <v>30</v>
      </c>
      <c r="I57">
        <v>1</v>
      </c>
      <c r="J57">
        <v>1</v>
      </c>
      <c r="K57" t="s">
        <v>31</v>
      </c>
      <c r="L57" t="s">
        <v>31</v>
      </c>
      <c r="M57" t="s">
        <v>31</v>
      </c>
      <c r="N57" t="s">
        <v>31</v>
      </c>
      <c r="Q57" t="s">
        <v>184</v>
      </c>
    </row>
    <row r="58" spans="1:24">
      <c r="A58" s="95" t="s">
        <v>96</v>
      </c>
      <c r="B58" s="107">
        <f>51.7554281277623*1.5*0.2</f>
        <v>15.526628438328693</v>
      </c>
      <c r="C58" s="108"/>
      <c r="D58" s="87" t="s">
        <v>37</v>
      </c>
      <c r="E58" s="87" t="s">
        <v>38</v>
      </c>
      <c r="F58" s="87" t="s">
        <v>29</v>
      </c>
      <c r="G58" s="87" t="s">
        <v>57</v>
      </c>
      <c r="H58" s="87" t="s">
        <v>33</v>
      </c>
      <c r="I58" s="87">
        <v>2</v>
      </c>
      <c r="J58" s="87">
        <f t="shared" ref="J58:J73" si="2">LN(B58)</f>
        <v>2.7425565136765546</v>
      </c>
      <c r="K58" s="87">
        <v>0.30331501776206199</v>
      </c>
      <c r="L58" s="87" t="s">
        <v>31</v>
      </c>
      <c r="M58" s="87" t="s">
        <v>31</v>
      </c>
      <c r="N58" s="87" t="s">
        <v>31</v>
      </c>
      <c r="O58" s="87" t="s">
        <v>199</v>
      </c>
      <c r="P58" s="61" t="s">
        <v>215</v>
      </c>
      <c r="Q58" t="s">
        <v>184</v>
      </c>
    </row>
    <row r="59" spans="1:24">
      <c r="A59" s="95" t="s">
        <v>133</v>
      </c>
      <c r="B59" s="108">
        <f>51.7554281277623*1.5*0.8</f>
        <v>62.106513753314772</v>
      </c>
      <c r="C59" s="108"/>
      <c r="D59" s="87" t="s">
        <v>37</v>
      </c>
      <c r="E59" s="87" t="s">
        <v>38</v>
      </c>
      <c r="F59" s="87" t="s">
        <v>29</v>
      </c>
      <c r="G59" s="87" t="s">
        <v>57</v>
      </c>
      <c r="H59" s="87" t="s">
        <v>33</v>
      </c>
      <c r="I59" s="87">
        <v>2</v>
      </c>
      <c r="J59" s="87">
        <f t="shared" si="2"/>
        <v>4.128850874796445</v>
      </c>
      <c r="K59" s="87">
        <v>0.30331501776206199</v>
      </c>
      <c r="L59" s="87" t="s">
        <v>31</v>
      </c>
      <c r="M59" s="87" t="s">
        <v>31</v>
      </c>
      <c r="N59" s="87" t="s">
        <v>31</v>
      </c>
      <c r="O59" s="87" t="s">
        <v>199</v>
      </c>
      <c r="P59" s="61" t="s">
        <v>216</v>
      </c>
      <c r="Q59" t="s">
        <v>184</v>
      </c>
    </row>
    <row r="60" spans="1:24">
      <c r="A60" s="95" t="s">
        <v>94</v>
      </c>
      <c r="B60" s="108">
        <f>51.7554281277623*30</f>
        <v>1552.6628438328689</v>
      </c>
      <c r="C60" s="108"/>
      <c r="D60" s="87" t="s">
        <v>37</v>
      </c>
      <c r="E60" s="87" t="s">
        <v>38</v>
      </c>
      <c r="F60" s="87" t="s">
        <v>29</v>
      </c>
      <c r="G60" s="87" t="s">
        <v>57</v>
      </c>
      <c r="H60" s="87" t="s">
        <v>33</v>
      </c>
      <c r="I60" s="87">
        <v>2</v>
      </c>
      <c r="J60" s="87">
        <f t="shared" si="2"/>
        <v>7.347726699664646</v>
      </c>
      <c r="K60" s="87">
        <v>0.30331501776206199</v>
      </c>
      <c r="L60" s="87" t="s">
        <v>31</v>
      </c>
      <c r="M60" s="87" t="s">
        <v>31</v>
      </c>
      <c r="N60" s="87" t="s">
        <v>31</v>
      </c>
      <c r="O60" s="87" t="s">
        <v>199</v>
      </c>
      <c r="P60" s="61" t="s">
        <v>217</v>
      </c>
      <c r="Q60" t="s">
        <v>184</v>
      </c>
    </row>
    <row r="61" spans="1:24" s="113" customFormat="1">
      <c r="A61" s="109" t="s">
        <v>218</v>
      </c>
      <c r="B61" s="110">
        <f>B58-51.7554281277623*0.2</f>
        <v>5.1755428127762322</v>
      </c>
      <c r="C61" s="110"/>
      <c r="D61" s="111" t="s">
        <v>37</v>
      </c>
      <c r="E61" s="111" t="s">
        <v>38</v>
      </c>
      <c r="F61" s="111" t="s">
        <v>29</v>
      </c>
      <c r="G61" s="111" t="s">
        <v>91</v>
      </c>
      <c r="H61" s="111" t="s">
        <v>33</v>
      </c>
      <c r="I61" s="111">
        <v>2</v>
      </c>
      <c r="J61" s="111">
        <f t="shared" si="2"/>
        <v>1.6439442250084451</v>
      </c>
      <c r="K61" s="111">
        <v>0.30331501776206199</v>
      </c>
      <c r="L61" s="111" t="s">
        <v>31</v>
      </c>
      <c r="M61" s="111" t="s">
        <v>31</v>
      </c>
      <c r="N61" s="111" t="s">
        <v>31</v>
      </c>
      <c r="O61" s="111" t="s">
        <v>202</v>
      </c>
      <c r="P61" s="112" t="s">
        <v>219</v>
      </c>
      <c r="Q61" t="s">
        <v>184</v>
      </c>
      <c r="R61" s="61"/>
      <c r="S61" s="61"/>
      <c r="T61" s="61"/>
      <c r="U61" s="61"/>
      <c r="V61" s="61"/>
      <c r="W61" s="61"/>
      <c r="X61" s="61"/>
    </row>
    <row r="62" spans="1:24">
      <c r="A62" s="96" t="s">
        <v>134</v>
      </c>
      <c r="B62" s="114">
        <f>B59-51.7554281277623*0.8</f>
        <v>20.702171251104929</v>
      </c>
      <c r="C62" s="114"/>
      <c r="D62" s="115" t="s">
        <v>37</v>
      </c>
      <c r="E62" s="115" t="s">
        <v>38</v>
      </c>
      <c r="F62" s="115" t="s">
        <v>29</v>
      </c>
      <c r="G62" s="115" t="s">
        <v>91</v>
      </c>
      <c r="H62" s="115" t="s">
        <v>33</v>
      </c>
      <c r="I62" s="115">
        <v>2</v>
      </c>
      <c r="J62" s="115">
        <f t="shared" si="2"/>
        <v>3.0302385861283354</v>
      </c>
      <c r="K62" s="115">
        <v>0.30331501776206199</v>
      </c>
      <c r="L62" s="115" t="s">
        <v>31</v>
      </c>
      <c r="M62" s="115" t="s">
        <v>31</v>
      </c>
      <c r="N62" s="115" t="s">
        <v>31</v>
      </c>
      <c r="O62" s="115" t="s">
        <v>202</v>
      </c>
      <c r="P62" s="98" t="s">
        <v>220</v>
      </c>
      <c r="Q62" t="s">
        <v>184</v>
      </c>
      <c r="R62" s="61"/>
    </row>
    <row r="63" spans="1:24">
      <c r="A63" s="99" t="s">
        <v>133</v>
      </c>
      <c r="B63" s="116">
        <f>B59-51.7554281277623*0.8</f>
        <v>20.702171251104929</v>
      </c>
      <c r="C63" s="116"/>
      <c r="D63" s="117" t="s">
        <v>37</v>
      </c>
      <c r="E63" s="117" t="s">
        <v>38</v>
      </c>
      <c r="F63" s="117" t="s">
        <v>29</v>
      </c>
      <c r="G63" s="117" t="s">
        <v>57</v>
      </c>
      <c r="H63" s="117" t="s">
        <v>135</v>
      </c>
      <c r="I63" s="117">
        <v>2</v>
      </c>
      <c r="J63" s="117">
        <f t="shared" si="2"/>
        <v>3.0302385861283354</v>
      </c>
      <c r="K63" s="117">
        <v>0.30331501776206199</v>
      </c>
      <c r="L63" s="117" t="s">
        <v>31</v>
      </c>
      <c r="M63" s="117" t="s">
        <v>31</v>
      </c>
      <c r="N63" s="117" t="s">
        <v>31</v>
      </c>
      <c r="O63" s="117" t="s">
        <v>202</v>
      </c>
      <c r="P63" s="101" t="s">
        <v>221</v>
      </c>
      <c r="Q63" t="s">
        <v>184</v>
      </c>
      <c r="R63" s="61"/>
    </row>
    <row r="64" spans="1:24">
      <c r="A64" s="96" t="s">
        <v>205</v>
      </c>
      <c r="B64" s="114">
        <f>B60-51.7554281277623</f>
        <v>1500.9074157051066</v>
      </c>
      <c r="C64" s="114"/>
      <c r="D64" s="115" t="s">
        <v>37</v>
      </c>
      <c r="E64" s="115" t="s">
        <v>38</v>
      </c>
      <c r="F64" s="115" t="s">
        <v>29</v>
      </c>
      <c r="G64" s="115" t="s">
        <v>91</v>
      </c>
      <c r="H64" s="115" t="s">
        <v>33</v>
      </c>
      <c r="I64" s="115">
        <v>2</v>
      </c>
      <c r="J64" s="115">
        <f t="shared" si="2"/>
        <v>7.3138251479889638</v>
      </c>
      <c r="K64" s="115">
        <v>0.30331501776206199</v>
      </c>
      <c r="L64" s="115" t="s">
        <v>31</v>
      </c>
      <c r="M64" s="115" t="s">
        <v>31</v>
      </c>
      <c r="N64" s="115" t="s">
        <v>31</v>
      </c>
      <c r="O64" s="115" t="s">
        <v>202</v>
      </c>
      <c r="P64" s="98" t="s">
        <v>222</v>
      </c>
      <c r="Q64" t="s">
        <v>184</v>
      </c>
      <c r="R64" s="61"/>
    </row>
    <row r="65" spans="1:24">
      <c r="A65" s="102" t="s">
        <v>207</v>
      </c>
      <c r="B65" s="118">
        <f>B60-51.7554281277623</f>
        <v>1500.9074157051066</v>
      </c>
      <c r="C65" s="34" t="s">
        <v>208</v>
      </c>
      <c r="D65" s="84" t="s">
        <v>37</v>
      </c>
      <c r="E65" s="84" t="s">
        <v>38</v>
      </c>
      <c r="F65" s="84" t="s">
        <v>29</v>
      </c>
      <c r="G65" s="84" t="s">
        <v>91</v>
      </c>
      <c r="H65" s="84" t="s">
        <v>33</v>
      </c>
      <c r="I65" s="84">
        <v>2</v>
      </c>
      <c r="J65" s="84">
        <f t="shared" si="2"/>
        <v>7.3138251479889638</v>
      </c>
      <c r="K65" s="84">
        <v>0.30331501776206199</v>
      </c>
      <c r="L65" s="84" t="s">
        <v>31</v>
      </c>
      <c r="M65" s="84" t="s">
        <v>31</v>
      </c>
      <c r="N65" s="84" t="s">
        <v>31</v>
      </c>
      <c r="O65" s="84" t="s">
        <v>202</v>
      </c>
      <c r="P65" s="103" t="s">
        <v>222</v>
      </c>
      <c r="Q65" t="s">
        <v>184</v>
      </c>
      <c r="R65" s="61"/>
    </row>
    <row r="66" spans="1:24">
      <c r="A66" s="99" t="s">
        <v>94</v>
      </c>
      <c r="B66" s="119">
        <f>B60-51.7554281277623</f>
        <v>1500.9074157051066</v>
      </c>
      <c r="C66" s="119"/>
      <c r="D66" s="100" t="s">
        <v>37</v>
      </c>
      <c r="E66" s="100" t="s">
        <v>38</v>
      </c>
      <c r="F66" s="100" t="s">
        <v>29</v>
      </c>
      <c r="G66" s="100" t="s">
        <v>57</v>
      </c>
      <c r="H66" s="100" t="s">
        <v>135</v>
      </c>
      <c r="I66" s="100">
        <v>2</v>
      </c>
      <c r="J66" s="100">
        <f t="shared" si="2"/>
        <v>7.3138251479889638</v>
      </c>
      <c r="K66" s="100">
        <v>0.30331501776206199</v>
      </c>
      <c r="L66" s="100" t="s">
        <v>31</v>
      </c>
      <c r="M66" s="100" t="s">
        <v>31</v>
      </c>
      <c r="N66" s="100" t="s">
        <v>31</v>
      </c>
      <c r="O66" s="100" t="s">
        <v>202</v>
      </c>
      <c r="P66" s="101" t="s">
        <v>223</v>
      </c>
      <c r="Q66" t="s">
        <v>184</v>
      </c>
      <c r="S66" s="62" t="s">
        <v>210</v>
      </c>
    </row>
    <row r="67" spans="1:24">
      <c r="A67" t="s">
        <v>211</v>
      </c>
      <c r="B67" s="94">
        <v>2683.0013941431998</v>
      </c>
      <c r="C67" s="94"/>
      <c r="D67" t="s">
        <v>81</v>
      </c>
      <c r="E67" t="s">
        <v>38</v>
      </c>
      <c r="F67" t="s">
        <v>29</v>
      </c>
      <c r="G67" t="s">
        <v>57</v>
      </c>
      <c r="H67" t="s">
        <v>33</v>
      </c>
      <c r="I67">
        <v>2</v>
      </c>
      <c r="J67">
        <f t="shared" si="2"/>
        <v>7.8946913700465107</v>
      </c>
      <c r="K67">
        <v>0.28635642126552707</v>
      </c>
      <c r="L67" t="s">
        <v>31</v>
      </c>
      <c r="M67" t="s">
        <v>31</v>
      </c>
      <c r="N67" t="s">
        <v>31</v>
      </c>
      <c r="P67" s="61"/>
      <c r="Q67" t="s">
        <v>184</v>
      </c>
    </row>
    <row r="68" spans="1:24">
      <c r="A68" s="34" t="s">
        <v>84</v>
      </c>
      <c r="B68" s="120">
        <v>15080.703669579903</v>
      </c>
      <c r="C68" s="120"/>
      <c r="D68" s="61" t="s">
        <v>85</v>
      </c>
      <c r="E68" s="61" t="s">
        <v>38</v>
      </c>
      <c r="F68" s="61" t="s">
        <v>29</v>
      </c>
      <c r="G68" s="61" t="s">
        <v>57</v>
      </c>
      <c r="H68" s="61" t="s">
        <v>33</v>
      </c>
      <c r="I68">
        <v>2</v>
      </c>
      <c r="J68">
        <f t="shared" si="2"/>
        <v>9.6211713029122752</v>
      </c>
      <c r="K68">
        <v>0.28635642126552707</v>
      </c>
      <c r="L68" t="s">
        <v>31</v>
      </c>
      <c r="M68" t="s">
        <v>31</v>
      </c>
      <c r="N68" t="s">
        <v>31</v>
      </c>
      <c r="P68" s="61"/>
      <c r="Q68" t="s">
        <v>184</v>
      </c>
      <c r="R68" s="34"/>
      <c r="S68" s="92">
        <v>15080.703669579903</v>
      </c>
      <c r="T68" s="61" t="s">
        <v>194</v>
      </c>
      <c r="U68" s="61">
        <f>S68/0.277778</f>
        <v>54290.489778095827</v>
      </c>
      <c r="V68" s="61" t="s">
        <v>195</v>
      </c>
    </row>
    <row r="69" spans="1:24">
      <c r="A69" t="s">
        <v>87</v>
      </c>
      <c r="B69" s="94">
        <v>6759.2589134857617</v>
      </c>
      <c r="C69" s="94"/>
      <c r="D69" t="s">
        <v>37</v>
      </c>
      <c r="E69" t="s">
        <v>38</v>
      </c>
      <c r="F69" t="s">
        <v>29</v>
      </c>
      <c r="G69" t="s">
        <v>57</v>
      </c>
      <c r="H69" t="s">
        <v>33</v>
      </c>
      <c r="I69">
        <v>2</v>
      </c>
      <c r="J69">
        <f t="shared" si="2"/>
        <v>8.8186685348448215</v>
      </c>
      <c r="K69">
        <v>0.28635642126552707</v>
      </c>
      <c r="L69" t="s">
        <v>31</v>
      </c>
      <c r="M69" t="s">
        <v>31</v>
      </c>
      <c r="N69" t="s">
        <v>31</v>
      </c>
      <c r="P69" s="61"/>
      <c r="Q69" t="s">
        <v>184</v>
      </c>
    </row>
    <row r="70" spans="1:24">
      <c r="A70" t="s">
        <v>46</v>
      </c>
      <c r="B70" s="94">
        <v>1759.6845563439197</v>
      </c>
      <c r="C70" s="94"/>
      <c r="D70" t="s">
        <v>37</v>
      </c>
      <c r="E70" t="s">
        <v>41</v>
      </c>
      <c r="F70" t="s">
        <v>42</v>
      </c>
      <c r="G70" t="s">
        <v>29</v>
      </c>
      <c r="H70" t="s">
        <v>43</v>
      </c>
      <c r="I70">
        <v>2</v>
      </c>
      <c r="J70">
        <f t="shared" si="2"/>
        <v>7.4728898426186525</v>
      </c>
      <c r="K70">
        <v>0.28635642126552702</v>
      </c>
      <c r="L70" t="s">
        <v>31</v>
      </c>
      <c r="M70" t="s">
        <v>31</v>
      </c>
      <c r="N70" t="s">
        <v>31</v>
      </c>
      <c r="P70" s="61"/>
      <c r="Q70" t="s">
        <v>184</v>
      </c>
    </row>
    <row r="71" spans="1:24">
      <c r="A71" t="s">
        <v>49</v>
      </c>
      <c r="B71" s="94">
        <v>2.5463670638859074E-2</v>
      </c>
      <c r="C71" s="94"/>
      <c r="D71" t="s">
        <v>37</v>
      </c>
      <c r="E71" t="s">
        <v>41</v>
      </c>
      <c r="F71" t="s">
        <v>42</v>
      </c>
      <c r="G71" t="s">
        <v>29</v>
      </c>
      <c r="H71" t="s">
        <v>43</v>
      </c>
      <c r="I71">
        <v>2</v>
      </c>
      <c r="J71">
        <f t="shared" si="2"/>
        <v>-3.6705025234694748</v>
      </c>
      <c r="K71">
        <v>0.28635642126552702</v>
      </c>
      <c r="L71" t="s">
        <v>31</v>
      </c>
      <c r="M71" t="s">
        <v>31</v>
      </c>
      <c r="N71" t="s">
        <v>31</v>
      </c>
      <c r="P71" s="61"/>
      <c r="Q71" t="s">
        <v>184</v>
      </c>
    </row>
    <row r="72" spans="1:24">
      <c r="A72" t="s">
        <v>40</v>
      </c>
      <c r="B72">
        <v>0.47407972165030304</v>
      </c>
      <c r="D72" t="s">
        <v>37</v>
      </c>
      <c r="E72" t="s">
        <v>41</v>
      </c>
      <c r="F72" t="s">
        <v>42</v>
      </c>
      <c r="G72" t="s">
        <v>29</v>
      </c>
      <c r="H72" t="s">
        <v>43</v>
      </c>
      <c r="I72">
        <v>2</v>
      </c>
      <c r="J72">
        <f t="shared" si="2"/>
        <v>-0.74637978229360713</v>
      </c>
      <c r="K72">
        <v>0.28635642126552702</v>
      </c>
      <c r="L72" t="s">
        <v>31</v>
      </c>
      <c r="M72" t="s">
        <v>31</v>
      </c>
      <c r="N72" t="s">
        <v>31</v>
      </c>
      <c r="P72" s="61"/>
      <c r="Q72" t="s">
        <v>184</v>
      </c>
    </row>
    <row r="73" spans="1:24">
      <c r="A73" t="s">
        <v>89</v>
      </c>
      <c r="B73">
        <v>2.5981224920136698</v>
      </c>
      <c r="D73" t="s">
        <v>37</v>
      </c>
      <c r="E73" t="s">
        <v>41</v>
      </c>
      <c r="F73" t="s">
        <v>42</v>
      </c>
      <c r="G73" t="s">
        <v>29</v>
      </c>
      <c r="H73" t="s">
        <v>43</v>
      </c>
      <c r="I73">
        <v>2</v>
      </c>
      <c r="J73">
        <f t="shared" si="2"/>
        <v>0.95478906571803768</v>
      </c>
      <c r="K73">
        <v>0.28635642126552702</v>
      </c>
      <c r="L73" t="s">
        <v>31</v>
      </c>
      <c r="M73" t="s">
        <v>31</v>
      </c>
      <c r="N73" t="s">
        <v>31</v>
      </c>
      <c r="P73" s="61"/>
      <c r="Q73" t="s">
        <v>184</v>
      </c>
    </row>
    <row r="74" spans="1:24" s="66" customFormat="1">
      <c r="A74" s="88" t="s">
        <v>5</v>
      </c>
      <c r="B74" s="88" t="s">
        <v>224</v>
      </c>
      <c r="C74" s="88"/>
      <c r="D74" s="64"/>
      <c r="Q74" s="66" t="s">
        <v>184</v>
      </c>
      <c r="S74" s="89"/>
      <c r="T74" s="89"/>
      <c r="U74" s="89"/>
      <c r="V74" s="89"/>
      <c r="W74" s="89"/>
      <c r="X74" s="89"/>
    </row>
    <row r="75" spans="1:24">
      <c r="A75" t="s">
        <v>7</v>
      </c>
      <c r="B75" t="s">
        <v>185</v>
      </c>
      <c r="Q75" t="s">
        <v>184</v>
      </c>
    </row>
    <row r="76" spans="1:24">
      <c r="A76" t="s">
        <v>9</v>
      </c>
      <c r="B76" s="90" t="s">
        <v>225</v>
      </c>
      <c r="C76" s="61"/>
      <c r="Q76" t="s">
        <v>184</v>
      </c>
    </row>
    <row r="77" spans="1:24">
      <c r="A77" t="s">
        <v>11</v>
      </c>
      <c r="B77" t="s">
        <v>226</v>
      </c>
      <c r="Q77" t="s">
        <v>184</v>
      </c>
    </row>
    <row r="78" spans="1:24">
      <c r="A78" t="s">
        <v>13</v>
      </c>
      <c r="B78" t="s">
        <v>57</v>
      </c>
      <c r="Q78" t="s">
        <v>184</v>
      </c>
    </row>
    <row r="79" spans="1:24" s="61" customFormat="1">
      <c r="A79" t="s">
        <v>15</v>
      </c>
      <c r="B79">
        <v>1</v>
      </c>
      <c r="C79"/>
      <c r="D79"/>
      <c r="E79"/>
      <c r="F79"/>
      <c r="G79"/>
      <c r="H79"/>
      <c r="I79"/>
      <c r="J79"/>
      <c r="K79"/>
      <c r="L79"/>
      <c r="M79"/>
      <c r="N79"/>
      <c r="O79"/>
      <c r="P79"/>
      <c r="Q79" t="s">
        <v>184</v>
      </c>
      <c r="R79"/>
    </row>
    <row r="80" spans="1:24" s="61" customFormat="1">
      <c r="A80" t="s">
        <v>16</v>
      </c>
      <c r="B80" t="s">
        <v>17</v>
      </c>
      <c r="C80"/>
      <c r="D80"/>
      <c r="E80"/>
      <c r="F80"/>
      <c r="G80"/>
      <c r="H80"/>
      <c r="I80"/>
      <c r="J80"/>
      <c r="K80"/>
      <c r="L80"/>
      <c r="M80"/>
      <c r="N80"/>
      <c r="O80"/>
      <c r="P80"/>
      <c r="Q80" t="s">
        <v>184</v>
      </c>
      <c r="R80"/>
    </row>
    <row r="81" spans="1:22" s="61" customFormat="1">
      <c r="A81" t="s">
        <v>18</v>
      </c>
      <c r="B81" t="s">
        <v>18</v>
      </c>
      <c r="C81"/>
      <c r="D81"/>
      <c r="E81" t="s">
        <v>188</v>
      </c>
      <c r="F81"/>
      <c r="G81"/>
      <c r="H81"/>
      <c r="I81"/>
      <c r="J81"/>
      <c r="K81"/>
      <c r="L81"/>
      <c r="M81"/>
      <c r="N81"/>
      <c r="O81"/>
      <c r="P81"/>
      <c r="Q81" t="s">
        <v>184</v>
      </c>
      <c r="R81"/>
    </row>
    <row r="82" spans="1:22" s="61" customFormat="1">
      <c r="A82" s="32" t="s">
        <v>19</v>
      </c>
      <c r="B82"/>
      <c r="C82"/>
      <c r="D82"/>
      <c r="E82"/>
      <c r="F82"/>
      <c r="G82"/>
      <c r="H82"/>
      <c r="I82"/>
      <c r="J82"/>
      <c r="K82"/>
      <c r="L82"/>
      <c r="M82"/>
      <c r="N82"/>
      <c r="O82"/>
      <c r="P82"/>
      <c r="Q82" t="s">
        <v>184</v>
      </c>
      <c r="R82"/>
    </row>
    <row r="83" spans="1:22" s="61" customFormat="1">
      <c r="A83" s="32" t="s">
        <v>20</v>
      </c>
      <c r="B83" s="32" t="s">
        <v>21</v>
      </c>
      <c r="C83" s="32" t="s">
        <v>189</v>
      </c>
      <c r="D83" s="32" t="s">
        <v>18</v>
      </c>
      <c r="E83" s="32" t="s">
        <v>22</v>
      </c>
      <c r="F83" s="32" t="s">
        <v>7</v>
      </c>
      <c r="G83" s="32" t="s">
        <v>13</v>
      </c>
      <c r="H83" s="32" t="s">
        <v>16</v>
      </c>
      <c r="I83" s="32" t="s">
        <v>23</v>
      </c>
      <c r="J83" s="32" t="s">
        <v>24</v>
      </c>
      <c r="K83" s="32" t="s">
        <v>25</v>
      </c>
      <c r="L83" s="32" t="s">
        <v>26</v>
      </c>
      <c r="M83" s="32" t="s">
        <v>27</v>
      </c>
      <c r="N83" s="32" t="s">
        <v>28</v>
      </c>
      <c r="O83" s="32" t="s">
        <v>11</v>
      </c>
      <c r="P83" s="62" t="s">
        <v>190</v>
      </c>
      <c r="Q83" t="s">
        <v>184</v>
      </c>
      <c r="R83"/>
    </row>
    <row r="84" spans="1:22" s="61" customFormat="1">
      <c r="A84" t="s">
        <v>224</v>
      </c>
      <c r="B84" s="106">
        <v>1</v>
      </c>
      <c r="C84" s="106"/>
      <c r="D84" t="s">
        <v>18</v>
      </c>
      <c r="E84" t="s">
        <v>2</v>
      </c>
      <c r="F84" t="s">
        <v>29</v>
      </c>
      <c r="G84" t="s">
        <v>57</v>
      </c>
      <c r="H84" t="s">
        <v>30</v>
      </c>
      <c r="I84">
        <v>1</v>
      </c>
      <c r="J84">
        <v>1</v>
      </c>
      <c r="K84" t="s">
        <v>31</v>
      </c>
      <c r="L84" t="s">
        <v>31</v>
      </c>
      <c r="M84" t="s">
        <v>31</v>
      </c>
      <c r="N84" t="s">
        <v>31</v>
      </c>
      <c r="O84"/>
      <c r="P84"/>
      <c r="Q84" t="s">
        <v>184</v>
      </c>
      <c r="R84"/>
    </row>
    <row r="85" spans="1:22" s="61" customFormat="1">
      <c r="A85" s="121" t="s">
        <v>96</v>
      </c>
      <c r="B85" s="122">
        <f>27.0435533496986*1.5*0.2</f>
        <v>8.1130660049095802</v>
      </c>
      <c r="C85" s="86"/>
      <c r="D85" s="86" t="s">
        <v>37</v>
      </c>
      <c r="E85" s="86" t="s">
        <v>38</v>
      </c>
      <c r="F85" s="86" t="s">
        <v>29</v>
      </c>
      <c r="G85" s="86" t="s">
        <v>57</v>
      </c>
      <c r="H85" s="86" t="s">
        <v>33</v>
      </c>
      <c r="I85" s="86">
        <v>2</v>
      </c>
      <c r="J85" s="86">
        <f t="shared" ref="J85:J101" si="3">LN(B85)</f>
        <v>2.0934758490768113</v>
      </c>
      <c r="K85" s="86">
        <v>0.30331501776206199</v>
      </c>
      <c r="L85" s="86" t="s">
        <v>31</v>
      </c>
      <c r="M85" s="86" t="s">
        <v>31</v>
      </c>
      <c r="N85" s="86" t="s">
        <v>31</v>
      </c>
      <c r="O85" s="86" t="s">
        <v>199</v>
      </c>
      <c r="P85" s="61" t="s">
        <v>227</v>
      </c>
      <c r="Q85" s="61" t="s">
        <v>184</v>
      </c>
    </row>
    <row r="86" spans="1:22" s="61" customFormat="1">
      <c r="A86" s="121" t="s">
        <v>228</v>
      </c>
      <c r="B86" s="122">
        <f>27.0435533496986*1.5*0.8</f>
        <v>32.452264019638321</v>
      </c>
      <c r="C86" s="86"/>
      <c r="D86" s="86" t="s">
        <v>37</v>
      </c>
      <c r="E86" s="86" t="s">
        <v>38</v>
      </c>
      <c r="F86" s="86" t="s">
        <v>29</v>
      </c>
      <c r="G86" s="86" t="s">
        <v>57</v>
      </c>
      <c r="H86" s="86" t="s">
        <v>33</v>
      </c>
      <c r="I86" s="86">
        <v>2</v>
      </c>
      <c r="J86" s="86">
        <f t="shared" si="3"/>
        <v>3.4797702101967016</v>
      </c>
      <c r="K86" s="86">
        <v>0.30331501776206199</v>
      </c>
      <c r="L86" s="86" t="s">
        <v>31</v>
      </c>
      <c r="M86" s="86" t="s">
        <v>31</v>
      </c>
      <c r="N86" s="86" t="s">
        <v>31</v>
      </c>
      <c r="O86" s="86" t="s">
        <v>199</v>
      </c>
      <c r="P86" s="61" t="s">
        <v>216</v>
      </c>
      <c r="Q86" s="61" t="s">
        <v>184</v>
      </c>
    </row>
    <row r="87" spans="1:22" s="61" customFormat="1">
      <c r="A87" s="95" t="s">
        <v>94</v>
      </c>
      <c r="B87" s="87">
        <f>18.0290355664657*7</f>
        <v>126.20324896525992</v>
      </c>
      <c r="C87" s="87"/>
      <c r="D87" s="87" t="s">
        <v>37</v>
      </c>
      <c r="E87" s="87" t="s">
        <v>38</v>
      </c>
      <c r="F87" s="87" t="s">
        <v>29</v>
      </c>
      <c r="G87" s="87" t="s">
        <v>57</v>
      </c>
      <c r="H87" s="87" t="s">
        <v>33</v>
      </c>
      <c r="I87" s="87">
        <v>2</v>
      </c>
      <c r="J87" s="87">
        <f t="shared" si="3"/>
        <v>4.8378936943498942</v>
      </c>
      <c r="K87" s="87">
        <v>0.30331501776206199</v>
      </c>
      <c r="L87" s="87" t="s">
        <v>31</v>
      </c>
      <c r="M87" s="87" t="s">
        <v>31</v>
      </c>
      <c r="N87" s="87" t="s">
        <v>31</v>
      </c>
      <c r="O87" s="87" t="s">
        <v>199</v>
      </c>
      <c r="P87" s="61" t="s">
        <v>229</v>
      </c>
      <c r="Q87" t="s">
        <v>184</v>
      </c>
      <c r="R87"/>
    </row>
    <row r="88" spans="1:22" s="61" customFormat="1">
      <c r="A88" s="109" t="s">
        <v>218</v>
      </c>
      <c r="B88" s="123">
        <f>B85-27.0435533496986*0.2</f>
        <v>2.7043553349698604</v>
      </c>
      <c r="C88" s="123"/>
      <c r="D88" s="111" t="s">
        <v>37</v>
      </c>
      <c r="E88" s="111" t="s">
        <v>38</v>
      </c>
      <c r="F88" s="111" t="s">
        <v>29</v>
      </c>
      <c r="G88" s="111" t="s">
        <v>91</v>
      </c>
      <c r="H88" s="111" t="s">
        <v>33</v>
      </c>
      <c r="I88" s="111">
        <v>2</v>
      </c>
      <c r="J88" s="111">
        <f t="shared" si="3"/>
        <v>0.9948635604087015</v>
      </c>
      <c r="K88" s="111">
        <v>0.30331501776206199</v>
      </c>
      <c r="L88" s="111" t="s">
        <v>31</v>
      </c>
      <c r="M88" s="111" t="s">
        <v>31</v>
      </c>
      <c r="N88" s="111" t="s">
        <v>31</v>
      </c>
      <c r="O88" s="111" t="s">
        <v>202</v>
      </c>
      <c r="P88" s="112" t="s">
        <v>219</v>
      </c>
      <c r="Q88" t="s">
        <v>184</v>
      </c>
      <c r="R88"/>
    </row>
    <row r="89" spans="1:22" s="61" customFormat="1">
      <c r="A89" s="124" t="s">
        <v>211</v>
      </c>
      <c r="B89" s="125">
        <f>B86-27.0435533496986*0.8</f>
        <v>10.817421339879441</v>
      </c>
      <c r="C89" s="125"/>
      <c r="D89" s="115" t="s">
        <v>81</v>
      </c>
      <c r="E89" s="115" t="s">
        <v>38</v>
      </c>
      <c r="F89" s="115" t="s">
        <v>29</v>
      </c>
      <c r="G89" s="115" t="s">
        <v>57</v>
      </c>
      <c r="H89" s="115" t="s">
        <v>33</v>
      </c>
      <c r="I89" s="115">
        <v>2</v>
      </c>
      <c r="J89" s="115">
        <f>LN(B89)</f>
        <v>2.3811579215285921</v>
      </c>
      <c r="K89" s="115">
        <v>0.30331501776206199</v>
      </c>
      <c r="L89" s="115" t="s">
        <v>31</v>
      </c>
      <c r="M89" s="115" t="s">
        <v>31</v>
      </c>
      <c r="N89" s="115" t="s">
        <v>31</v>
      </c>
      <c r="O89" s="115" t="s">
        <v>202</v>
      </c>
      <c r="P89" s="98" t="s">
        <v>230</v>
      </c>
      <c r="Q89" s="61" t="s">
        <v>184</v>
      </c>
      <c r="R89" s="61" t="s">
        <v>231</v>
      </c>
      <c r="S89" s="61">
        <f>114*0.6*B91</f>
        <v>739.9116196477537</v>
      </c>
      <c r="T89" s="61" t="s">
        <v>195</v>
      </c>
      <c r="U89" s="61">
        <f>S89*0.277778</f>
        <v>205.53116988251375</v>
      </c>
      <c r="V89" s="61" t="s">
        <v>194</v>
      </c>
    </row>
    <row r="90" spans="1:22" s="61" customFormat="1">
      <c r="A90" s="126" t="s">
        <v>83</v>
      </c>
      <c r="B90" s="127">
        <f>B86-27.0435533496986*0.8</f>
        <v>10.817421339879441</v>
      </c>
      <c r="C90" s="127"/>
      <c r="D90" s="84" t="s">
        <v>48</v>
      </c>
      <c r="E90" s="84" t="s">
        <v>38</v>
      </c>
      <c r="F90" s="84" t="s">
        <v>29</v>
      </c>
      <c r="G90" s="84" t="s">
        <v>232</v>
      </c>
      <c r="H90" s="84" t="s">
        <v>33</v>
      </c>
      <c r="I90" s="84">
        <v>2</v>
      </c>
      <c r="J90" s="84">
        <f t="shared" ref="J90" si="4">LN(B90)</f>
        <v>2.3811579215285921</v>
      </c>
      <c r="K90" s="84">
        <v>0.30331501776206199</v>
      </c>
      <c r="L90" s="84" t="s">
        <v>31</v>
      </c>
      <c r="M90" s="84" t="s">
        <v>31</v>
      </c>
      <c r="N90" s="84" t="s">
        <v>31</v>
      </c>
      <c r="O90" s="84" t="s">
        <v>202</v>
      </c>
      <c r="P90" s="103" t="s">
        <v>233</v>
      </c>
      <c r="Q90" s="61" t="s">
        <v>184</v>
      </c>
      <c r="R90" s="61" t="s">
        <v>234</v>
      </c>
      <c r="S90" s="61">
        <f>114*0.4*B91</f>
        <v>493.27441309850252</v>
      </c>
      <c r="T90" s="61" t="s">
        <v>195</v>
      </c>
      <c r="U90" s="61">
        <f>S90/38.3</f>
        <v>12.879227496044454</v>
      </c>
      <c r="V90" s="61" t="s">
        <v>235</v>
      </c>
    </row>
    <row r="91" spans="1:22" s="61" customFormat="1">
      <c r="A91" s="99" t="s">
        <v>228</v>
      </c>
      <c r="B91" s="128">
        <f>B86-27.0435533496986*0.8</f>
        <v>10.817421339879441</v>
      </c>
      <c r="C91" s="128"/>
      <c r="D91" s="100" t="s">
        <v>37</v>
      </c>
      <c r="E91" s="100" t="s">
        <v>38</v>
      </c>
      <c r="F91" s="100" t="s">
        <v>29</v>
      </c>
      <c r="G91" s="100" t="s">
        <v>57</v>
      </c>
      <c r="H91" s="100" t="s">
        <v>135</v>
      </c>
      <c r="I91" s="100">
        <v>2</v>
      </c>
      <c r="J91" s="100">
        <f t="shared" si="3"/>
        <v>2.3811579215285921</v>
      </c>
      <c r="K91" s="100">
        <v>0.30331501776206199</v>
      </c>
      <c r="L91" s="100" t="s">
        <v>31</v>
      </c>
      <c r="M91" s="100" t="s">
        <v>31</v>
      </c>
      <c r="N91" s="100" t="s">
        <v>31</v>
      </c>
      <c r="O91" s="100" t="s">
        <v>202</v>
      </c>
      <c r="P91" s="101" t="s">
        <v>236</v>
      </c>
      <c r="Q91" t="s">
        <v>184</v>
      </c>
      <c r="R91"/>
    </row>
    <row r="92" spans="1:22" s="61" customFormat="1">
      <c r="A92" s="96" t="s">
        <v>205</v>
      </c>
      <c r="B92" s="129">
        <f>B87-18.0290355664657</f>
        <v>108.17421339879422</v>
      </c>
      <c r="C92" s="129"/>
      <c r="D92" s="97" t="s">
        <v>37</v>
      </c>
      <c r="E92" s="97" t="s">
        <v>38</v>
      </c>
      <c r="F92" s="97" t="s">
        <v>29</v>
      </c>
      <c r="G92" s="97" t="s">
        <v>91</v>
      </c>
      <c r="H92" s="97" t="s">
        <v>33</v>
      </c>
      <c r="I92" s="97">
        <v>2</v>
      </c>
      <c r="J92" s="97">
        <f t="shared" si="3"/>
        <v>4.6837430145226362</v>
      </c>
      <c r="K92" s="97">
        <v>0.30331501776206199</v>
      </c>
      <c r="L92" s="97" t="s">
        <v>31</v>
      </c>
      <c r="M92" s="97" t="s">
        <v>31</v>
      </c>
      <c r="N92" s="97" t="s">
        <v>31</v>
      </c>
      <c r="O92" s="97" t="s">
        <v>202</v>
      </c>
      <c r="P92" s="98" t="s">
        <v>237</v>
      </c>
      <c r="Q92" t="s">
        <v>184</v>
      </c>
      <c r="R92"/>
    </row>
    <row r="93" spans="1:22" s="61" customFormat="1">
      <c r="A93" s="102" t="s">
        <v>207</v>
      </c>
      <c r="B93" s="130">
        <f>B87-18.0290355664657</f>
        <v>108.17421339879422</v>
      </c>
      <c r="C93" s="34" t="s">
        <v>208</v>
      </c>
      <c r="D93" s="85" t="s">
        <v>37</v>
      </c>
      <c r="E93" s="85" t="s">
        <v>38</v>
      </c>
      <c r="F93" s="85" t="s">
        <v>29</v>
      </c>
      <c r="G93" s="85" t="s">
        <v>91</v>
      </c>
      <c r="H93" s="85" t="s">
        <v>33</v>
      </c>
      <c r="I93" s="85">
        <v>2</v>
      </c>
      <c r="J93" s="85">
        <f t="shared" si="3"/>
        <v>4.6837430145226362</v>
      </c>
      <c r="K93" s="85">
        <v>0.30331501776206199</v>
      </c>
      <c r="L93" s="85" t="s">
        <v>31</v>
      </c>
      <c r="M93" s="85" t="s">
        <v>31</v>
      </c>
      <c r="N93" s="85" t="s">
        <v>31</v>
      </c>
      <c r="O93" s="85" t="s">
        <v>202</v>
      </c>
      <c r="P93" s="103" t="s">
        <v>237</v>
      </c>
      <c r="Q93" t="s">
        <v>184</v>
      </c>
      <c r="R93"/>
    </row>
    <row r="94" spans="1:22" s="61" customFormat="1">
      <c r="A94" s="99" t="s">
        <v>94</v>
      </c>
      <c r="B94" s="128">
        <f>B87-18.0290355664657</f>
        <v>108.17421339879422</v>
      </c>
      <c r="C94" s="128"/>
      <c r="D94" s="100" t="s">
        <v>37</v>
      </c>
      <c r="E94" s="100" t="s">
        <v>38</v>
      </c>
      <c r="F94" s="100" t="s">
        <v>29</v>
      </c>
      <c r="G94" s="100" t="s">
        <v>57</v>
      </c>
      <c r="H94" s="100" t="s">
        <v>135</v>
      </c>
      <c r="I94" s="100">
        <v>2</v>
      </c>
      <c r="J94" s="100">
        <f t="shared" si="3"/>
        <v>4.6837430145226362</v>
      </c>
      <c r="K94" s="100">
        <v>0.30331501776206199</v>
      </c>
      <c r="L94" s="100" t="s">
        <v>31</v>
      </c>
      <c r="M94" s="100" t="s">
        <v>31</v>
      </c>
      <c r="N94" s="100" t="s">
        <v>31</v>
      </c>
      <c r="O94" s="100" t="s">
        <v>202</v>
      </c>
      <c r="P94" s="101" t="s">
        <v>238</v>
      </c>
      <c r="Q94" t="s">
        <v>184</v>
      </c>
      <c r="R94"/>
      <c r="S94" s="62" t="s">
        <v>210</v>
      </c>
    </row>
    <row r="95" spans="1:22" s="61" customFormat="1">
      <c r="A95" t="s">
        <v>211</v>
      </c>
      <c r="B95" s="94">
        <v>1168.2815047069787</v>
      </c>
      <c r="C95" s="94"/>
      <c r="D95" t="s">
        <v>81</v>
      </c>
      <c r="E95" s="61" t="s">
        <v>38</v>
      </c>
      <c r="F95" s="61" t="s">
        <v>29</v>
      </c>
      <c r="G95" s="61" t="s">
        <v>57</v>
      </c>
      <c r="H95" s="61" t="s">
        <v>33</v>
      </c>
      <c r="I95">
        <v>2</v>
      </c>
      <c r="J95">
        <f t="shared" si="3"/>
        <v>7.0632891486528111</v>
      </c>
      <c r="K95">
        <v>0.28635642126552707</v>
      </c>
      <c r="L95" t="s">
        <v>31</v>
      </c>
      <c r="M95" t="s">
        <v>31</v>
      </c>
      <c r="N95" t="s">
        <v>31</v>
      </c>
      <c r="O95"/>
      <c r="Q95" t="s">
        <v>184</v>
      </c>
      <c r="R95"/>
    </row>
    <row r="96" spans="1:22" s="61" customFormat="1">
      <c r="A96" s="34" t="s">
        <v>84</v>
      </c>
      <c r="B96" s="94">
        <v>6566.7156243738091</v>
      </c>
      <c r="C96" s="94"/>
      <c r="D96" s="61" t="s">
        <v>85</v>
      </c>
      <c r="E96" s="61" t="s">
        <v>38</v>
      </c>
      <c r="F96" s="61" t="s">
        <v>29</v>
      </c>
      <c r="G96" s="61" t="s">
        <v>57</v>
      </c>
      <c r="H96" s="61" t="s">
        <v>33</v>
      </c>
      <c r="I96">
        <v>2</v>
      </c>
      <c r="J96">
        <f t="shared" si="3"/>
        <v>8.7897690815185747</v>
      </c>
      <c r="K96">
        <v>0.28635642126552707</v>
      </c>
      <c r="L96" t="s">
        <v>31</v>
      </c>
      <c r="M96" t="s">
        <v>31</v>
      </c>
      <c r="N96" t="s">
        <v>31</v>
      </c>
      <c r="O96"/>
      <c r="Q96" t="s">
        <v>184</v>
      </c>
      <c r="R96" s="34"/>
      <c r="S96" s="92">
        <v>6566.7156243738091</v>
      </c>
      <c r="T96" s="61" t="s">
        <v>194</v>
      </c>
      <c r="U96" s="61">
        <f>S96/0.277778</f>
        <v>23640.157335619842</v>
      </c>
      <c r="V96" s="61" t="s">
        <v>195</v>
      </c>
    </row>
    <row r="97" spans="1:18" s="61" customFormat="1">
      <c r="A97" t="s">
        <v>87</v>
      </c>
      <c r="B97" s="94">
        <v>2943.2400562255289</v>
      </c>
      <c r="C97" s="94"/>
      <c r="D97" t="s">
        <v>37</v>
      </c>
      <c r="E97" t="s">
        <v>38</v>
      </c>
      <c r="F97" t="s">
        <v>29</v>
      </c>
      <c r="G97" t="s">
        <v>57</v>
      </c>
      <c r="H97" t="s">
        <v>33</v>
      </c>
      <c r="I97">
        <v>2</v>
      </c>
      <c r="J97">
        <f t="shared" si="3"/>
        <v>7.9872663134511228</v>
      </c>
      <c r="K97">
        <v>0.28635642126552707</v>
      </c>
      <c r="L97" t="s">
        <v>31</v>
      </c>
      <c r="M97" t="s">
        <v>31</v>
      </c>
      <c r="N97" t="s">
        <v>31</v>
      </c>
      <c r="O97"/>
      <c r="Q97" t="s">
        <v>184</v>
      </c>
      <c r="R97"/>
    </row>
    <row r="98" spans="1:18" s="61" customFormat="1">
      <c r="A98" t="s">
        <v>46</v>
      </c>
      <c r="B98" s="94">
        <v>766.23401157479304</v>
      </c>
      <c r="C98" s="94"/>
      <c r="D98" t="s">
        <v>37</v>
      </c>
      <c r="E98" t="s">
        <v>41</v>
      </c>
      <c r="F98" t="s">
        <v>42</v>
      </c>
      <c r="G98" t="s">
        <v>29</v>
      </c>
      <c r="H98" t="s">
        <v>43</v>
      </c>
      <c r="I98">
        <v>2</v>
      </c>
      <c r="J98">
        <f t="shared" si="3"/>
        <v>6.641487621224953</v>
      </c>
      <c r="K98">
        <v>0.28635642126552707</v>
      </c>
      <c r="L98" t="s">
        <v>31</v>
      </c>
      <c r="M98" t="s">
        <v>31</v>
      </c>
      <c r="N98" t="s">
        <v>31</v>
      </c>
      <c r="O98"/>
      <c r="Q98" t="s">
        <v>184</v>
      </c>
      <c r="R98"/>
    </row>
    <row r="99" spans="1:18" s="61" customFormat="1">
      <c r="A99" t="s">
        <v>49</v>
      </c>
      <c r="B99" s="94">
        <v>1.1087856873376418E-2</v>
      </c>
      <c r="C99" s="94"/>
      <c r="D99" t="s">
        <v>37</v>
      </c>
      <c r="E99" t="s">
        <v>41</v>
      </c>
      <c r="F99" t="s">
        <v>42</v>
      </c>
      <c r="G99" t="s">
        <v>29</v>
      </c>
      <c r="H99" t="s">
        <v>43</v>
      </c>
      <c r="I99">
        <v>2</v>
      </c>
      <c r="J99">
        <f t="shared" si="3"/>
        <v>-4.5019047448631744</v>
      </c>
      <c r="K99">
        <v>0.28635642126552707</v>
      </c>
      <c r="L99" t="s">
        <v>31</v>
      </c>
      <c r="M99" t="s">
        <v>31</v>
      </c>
      <c r="N99" t="s">
        <v>31</v>
      </c>
      <c r="O99"/>
      <c r="Q99" t="s">
        <v>184</v>
      </c>
      <c r="R99"/>
    </row>
    <row r="100" spans="1:18" s="61" customFormat="1">
      <c r="A100" t="s">
        <v>40</v>
      </c>
      <c r="B100">
        <v>0.20643245723603248</v>
      </c>
      <c r="C100"/>
      <c r="D100" t="s">
        <v>37</v>
      </c>
      <c r="E100" t="s">
        <v>41</v>
      </c>
      <c r="F100" t="s">
        <v>42</v>
      </c>
      <c r="G100" t="s">
        <v>29</v>
      </c>
      <c r="H100" t="s">
        <v>43</v>
      </c>
      <c r="I100">
        <v>2</v>
      </c>
      <c r="J100">
        <f t="shared" si="3"/>
        <v>-1.5777820036873065</v>
      </c>
      <c r="K100">
        <v>0.28635642126552707</v>
      </c>
      <c r="L100" t="s">
        <v>31</v>
      </c>
      <c r="M100" t="s">
        <v>31</v>
      </c>
      <c r="N100" t="s">
        <v>31</v>
      </c>
      <c r="O100"/>
      <c r="Q100" t="s">
        <v>184</v>
      </c>
      <c r="R100"/>
    </row>
    <row r="101" spans="1:18" s="61" customFormat="1">
      <c r="A101" t="s">
        <v>89</v>
      </c>
      <c r="B101">
        <v>1.1313219817957239</v>
      </c>
      <c r="C101"/>
      <c r="D101" t="s">
        <v>37</v>
      </c>
      <c r="E101" t="s">
        <v>41</v>
      </c>
      <c r="F101" t="s">
        <v>42</v>
      </c>
      <c r="G101" t="s">
        <v>29</v>
      </c>
      <c r="H101" t="s">
        <v>43</v>
      </c>
      <c r="I101">
        <v>2</v>
      </c>
      <c r="J101">
        <f t="shared" si="3"/>
        <v>0.12338684432433807</v>
      </c>
      <c r="K101">
        <v>0.28635642126552707</v>
      </c>
      <c r="L101" t="s">
        <v>31</v>
      </c>
      <c r="M101" t="s">
        <v>31</v>
      </c>
      <c r="N101" t="s">
        <v>31</v>
      </c>
      <c r="O101"/>
      <c r="Q101" t="s">
        <v>184</v>
      </c>
      <c r="R10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C9DD-D467-45BE-8468-9B4F6FF5FF77}">
  <dimension ref="A1:X48"/>
  <sheetViews>
    <sheetView workbookViewId="0">
      <selection activeCell="A88" sqref="A88"/>
    </sheetView>
  </sheetViews>
  <sheetFormatPr defaultRowHeight="1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131" customFormat="1">
      <c r="A1" s="131" t="s">
        <v>0</v>
      </c>
      <c r="B1" s="131" t="s">
        <v>239</v>
      </c>
      <c r="C1" s="132"/>
    </row>
    <row r="2" spans="1:24">
      <c r="A2" s="88" t="s">
        <v>5</v>
      </c>
      <c r="B2" s="88" t="s">
        <v>218</v>
      </c>
      <c r="C2" s="88"/>
      <c r="D2" s="64"/>
      <c r="E2" s="66"/>
      <c r="F2" s="66"/>
      <c r="G2" s="66"/>
      <c r="H2" s="66"/>
      <c r="I2" s="66"/>
      <c r="J2" s="66"/>
      <c r="K2" s="66"/>
      <c r="L2" s="66"/>
      <c r="M2" s="66"/>
      <c r="N2" s="66"/>
      <c r="O2" s="66"/>
      <c r="P2" s="66"/>
      <c r="Q2" s="66" t="s">
        <v>184</v>
      </c>
      <c r="S2" s="61"/>
      <c r="T2" s="61"/>
      <c r="U2" s="61"/>
      <c r="V2" s="61"/>
      <c r="W2" s="61"/>
      <c r="X2" s="61"/>
    </row>
    <row r="3" spans="1:24">
      <c r="A3" t="s">
        <v>7</v>
      </c>
      <c r="B3" t="s">
        <v>185</v>
      </c>
      <c r="Q3" t="s">
        <v>184</v>
      </c>
      <c r="S3" s="61"/>
      <c r="T3" s="61"/>
      <c r="U3" s="61"/>
      <c r="V3" s="61"/>
      <c r="W3" s="61"/>
      <c r="X3" s="61"/>
    </row>
    <row r="4" spans="1:24">
      <c r="A4" t="s">
        <v>9</v>
      </c>
      <c r="B4" s="61" t="s">
        <v>240</v>
      </c>
      <c r="C4" s="61"/>
      <c r="Q4" t="s">
        <v>184</v>
      </c>
      <c r="S4" s="61"/>
      <c r="T4" s="61"/>
      <c r="U4" s="61"/>
      <c r="V4" s="61"/>
      <c r="W4" s="61"/>
      <c r="X4" s="61"/>
    </row>
    <row r="5" spans="1:24">
      <c r="A5" t="s">
        <v>11</v>
      </c>
      <c r="B5" t="s">
        <v>241</v>
      </c>
      <c r="Q5" t="s">
        <v>184</v>
      </c>
      <c r="S5" s="61"/>
      <c r="T5" s="61"/>
      <c r="U5" s="61"/>
      <c r="V5" s="61"/>
      <c r="W5" s="61"/>
      <c r="X5" s="61"/>
    </row>
    <row r="6" spans="1:24">
      <c r="A6" t="s">
        <v>13</v>
      </c>
      <c r="B6" t="s">
        <v>91</v>
      </c>
      <c r="Q6" t="s">
        <v>184</v>
      </c>
      <c r="S6" s="61"/>
      <c r="T6" s="61"/>
      <c r="U6" s="61"/>
      <c r="V6" s="61"/>
      <c r="W6" s="61"/>
      <c r="X6" s="61"/>
    </row>
    <row r="7" spans="1:24">
      <c r="A7" t="s">
        <v>15</v>
      </c>
      <c r="B7">
        <v>1</v>
      </c>
      <c r="Q7" t="s">
        <v>184</v>
      </c>
      <c r="S7" s="61"/>
      <c r="T7" s="61"/>
      <c r="U7" s="61"/>
      <c r="V7" s="61"/>
      <c r="W7" s="61"/>
      <c r="X7" s="61"/>
    </row>
    <row r="8" spans="1:24">
      <c r="A8" t="s">
        <v>16</v>
      </c>
      <c r="B8" t="s">
        <v>17</v>
      </c>
      <c r="Q8" t="s">
        <v>184</v>
      </c>
      <c r="S8" s="61"/>
      <c r="T8" s="61"/>
      <c r="U8" s="61"/>
      <c r="V8" s="61"/>
      <c r="W8" s="61"/>
      <c r="X8" s="61"/>
    </row>
    <row r="9" spans="1:24">
      <c r="A9" t="s">
        <v>18</v>
      </c>
      <c r="B9" t="s">
        <v>37</v>
      </c>
      <c r="E9" t="s">
        <v>188</v>
      </c>
      <c r="Q9" t="s">
        <v>184</v>
      </c>
      <c r="S9" s="61"/>
      <c r="T9" s="61"/>
      <c r="U9" s="61"/>
      <c r="V9" s="61"/>
      <c r="W9" s="61"/>
      <c r="X9" s="61"/>
    </row>
    <row r="10" spans="1:24">
      <c r="A10" s="32" t="s">
        <v>19</v>
      </c>
      <c r="Q10" t="s">
        <v>184</v>
      </c>
      <c r="S10" s="61"/>
      <c r="T10" s="61"/>
      <c r="U10" s="61"/>
      <c r="V10" s="61"/>
      <c r="W10" s="61"/>
      <c r="X10" s="61"/>
    </row>
    <row r="11" spans="1:24">
      <c r="A11" s="32" t="s">
        <v>20</v>
      </c>
      <c r="B11" s="32" t="s">
        <v>21</v>
      </c>
      <c r="C11" s="32" t="s">
        <v>189</v>
      </c>
      <c r="D11" s="32" t="s">
        <v>18</v>
      </c>
      <c r="E11" s="32" t="s">
        <v>22</v>
      </c>
      <c r="F11" s="32" t="s">
        <v>7</v>
      </c>
      <c r="G11" s="32" t="s">
        <v>13</v>
      </c>
      <c r="H11" s="32" t="s">
        <v>16</v>
      </c>
      <c r="I11" s="32" t="s">
        <v>23</v>
      </c>
      <c r="J11" s="32" t="s">
        <v>24</v>
      </c>
      <c r="K11" s="32" t="s">
        <v>25</v>
      </c>
      <c r="L11" s="32" t="s">
        <v>26</v>
      </c>
      <c r="M11" s="32" t="s">
        <v>27</v>
      </c>
      <c r="N11" s="32" t="s">
        <v>28</v>
      </c>
      <c r="O11" s="32" t="s">
        <v>11</v>
      </c>
      <c r="P11" s="62" t="s">
        <v>190</v>
      </c>
      <c r="Q11" t="s">
        <v>184</v>
      </c>
      <c r="S11" s="61"/>
      <c r="T11" s="61"/>
      <c r="U11" s="61"/>
      <c r="V11" s="61"/>
      <c r="W11" s="61"/>
      <c r="X11" s="61"/>
    </row>
    <row r="12" spans="1:24">
      <c r="A12" t="s">
        <v>218</v>
      </c>
      <c r="B12">
        <v>1</v>
      </c>
      <c r="D12" t="s">
        <v>37</v>
      </c>
      <c r="E12" t="s">
        <v>242</v>
      </c>
      <c r="F12" t="s">
        <v>29</v>
      </c>
      <c r="G12" t="s">
        <v>91</v>
      </c>
      <c r="H12" t="s">
        <v>30</v>
      </c>
      <c r="I12">
        <v>1</v>
      </c>
      <c r="J12">
        <v>1</v>
      </c>
      <c r="K12" t="s">
        <v>31</v>
      </c>
      <c r="L12" t="s">
        <v>31</v>
      </c>
      <c r="M12" t="s">
        <v>31</v>
      </c>
      <c r="N12" t="s">
        <v>31</v>
      </c>
      <c r="Q12" t="s">
        <v>184</v>
      </c>
      <c r="S12" s="61"/>
      <c r="T12" s="61"/>
      <c r="U12" s="61"/>
      <c r="V12" s="61"/>
      <c r="W12" s="61"/>
      <c r="X12" s="61"/>
    </row>
    <row r="13" spans="1:24">
      <c r="A13" s="34" t="s">
        <v>90</v>
      </c>
      <c r="B13">
        <v>-1</v>
      </c>
      <c r="D13" t="s">
        <v>37</v>
      </c>
      <c r="E13" s="87" t="s">
        <v>38</v>
      </c>
      <c r="F13" s="87" t="s">
        <v>29</v>
      </c>
      <c r="G13" s="87" t="s">
        <v>91</v>
      </c>
      <c r="H13" s="87" t="s">
        <v>33</v>
      </c>
      <c r="I13">
        <v>1</v>
      </c>
      <c r="J13">
        <v>1</v>
      </c>
      <c r="K13" t="s">
        <v>31</v>
      </c>
      <c r="L13" t="s">
        <v>31</v>
      </c>
      <c r="M13" t="s">
        <v>31</v>
      </c>
      <c r="N13" t="s">
        <v>31</v>
      </c>
      <c r="Q13" s="61" t="s">
        <v>184</v>
      </c>
      <c r="S13" s="61"/>
      <c r="T13" s="61"/>
      <c r="U13" s="61"/>
      <c r="V13" s="61"/>
      <c r="W13" s="61"/>
      <c r="X13" s="61"/>
    </row>
    <row r="14" spans="1:24">
      <c r="A14" s="88" t="s">
        <v>5</v>
      </c>
      <c r="B14" s="88" t="s">
        <v>243</v>
      </c>
      <c r="C14" s="88"/>
      <c r="D14" s="64"/>
      <c r="E14" s="66"/>
      <c r="F14" s="66"/>
      <c r="G14" s="66"/>
      <c r="H14" s="66"/>
      <c r="I14" s="66"/>
      <c r="J14" s="66"/>
      <c r="K14" s="66"/>
      <c r="L14" s="66"/>
      <c r="M14" s="66"/>
      <c r="N14" s="66"/>
      <c r="O14" s="66"/>
      <c r="P14" s="66"/>
      <c r="Q14" s="66" t="s">
        <v>184</v>
      </c>
      <c r="S14" s="61"/>
      <c r="T14" s="61"/>
      <c r="U14" s="61"/>
      <c r="V14" s="61"/>
      <c r="W14" s="61"/>
      <c r="X14" s="61"/>
    </row>
    <row r="15" spans="1:24">
      <c r="A15" t="s">
        <v>7</v>
      </c>
      <c r="B15" t="s">
        <v>185</v>
      </c>
      <c r="Q15" t="s">
        <v>184</v>
      </c>
      <c r="S15" s="61"/>
      <c r="T15" s="61"/>
      <c r="U15" s="61"/>
      <c r="V15" s="61"/>
      <c r="W15" s="61"/>
      <c r="X15" s="61"/>
    </row>
    <row r="16" spans="1:24">
      <c r="A16" t="s">
        <v>9</v>
      </c>
      <c r="B16" s="61" t="s">
        <v>244</v>
      </c>
      <c r="C16" s="61"/>
      <c r="Q16" t="s">
        <v>184</v>
      </c>
      <c r="S16" s="61"/>
      <c r="T16" s="61"/>
      <c r="U16" s="61"/>
      <c r="V16" s="61"/>
      <c r="W16" s="61"/>
      <c r="X16" s="61"/>
    </row>
    <row r="17" spans="1:24">
      <c r="A17" t="s">
        <v>11</v>
      </c>
      <c r="B17" t="s">
        <v>241</v>
      </c>
      <c r="Q17" t="s">
        <v>184</v>
      </c>
      <c r="S17" s="61"/>
      <c r="T17" s="61"/>
      <c r="U17" s="61"/>
      <c r="V17" s="61"/>
      <c r="W17" s="61"/>
      <c r="X17" s="61"/>
    </row>
    <row r="18" spans="1:24">
      <c r="A18" t="s">
        <v>13</v>
      </c>
      <c r="B18" t="s">
        <v>57</v>
      </c>
      <c r="Q18" t="s">
        <v>184</v>
      </c>
      <c r="S18" s="61"/>
      <c r="T18" s="61"/>
      <c r="U18" s="61"/>
      <c r="V18" s="61"/>
      <c r="W18" s="61"/>
      <c r="X18" s="61"/>
    </row>
    <row r="19" spans="1:24">
      <c r="A19" t="s">
        <v>15</v>
      </c>
      <c r="B19">
        <v>1</v>
      </c>
      <c r="Q19" t="s">
        <v>184</v>
      </c>
      <c r="S19" s="61"/>
      <c r="T19" s="61"/>
      <c r="U19" s="61"/>
      <c r="V19" s="61"/>
      <c r="W19" s="61"/>
      <c r="X19" s="61"/>
    </row>
    <row r="20" spans="1:24">
      <c r="A20" t="s">
        <v>16</v>
      </c>
      <c r="B20" t="s">
        <v>17</v>
      </c>
      <c r="Q20" t="s">
        <v>184</v>
      </c>
      <c r="S20" s="61"/>
      <c r="T20" s="61"/>
      <c r="U20" s="61"/>
      <c r="V20" s="61"/>
      <c r="W20" s="61"/>
      <c r="X20" s="61"/>
    </row>
    <row r="21" spans="1:24">
      <c r="A21" t="s">
        <v>18</v>
      </c>
      <c r="B21" t="s">
        <v>37</v>
      </c>
      <c r="E21" t="s">
        <v>188</v>
      </c>
      <c r="Q21" t="s">
        <v>184</v>
      </c>
      <c r="S21" s="61"/>
      <c r="T21" s="61"/>
      <c r="U21" s="61"/>
      <c r="V21" s="61"/>
      <c r="W21" s="61"/>
      <c r="X21" s="61"/>
    </row>
    <row r="22" spans="1:24">
      <c r="A22" s="32" t="s">
        <v>19</v>
      </c>
      <c r="Q22" t="s">
        <v>184</v>
      </c>
      <c r="S22" s="61"/>
      <c r="T22" s="61"/>
      <c r="U22" s="61"/>
      <c r="V22" s="61"/>
      <c r="W22" s="61"/>
      <c r="X22" s="61"/>
    </row>
    <row r="23" spans="1:24">
      <c r="A23" s="32" t="s">
        <v>20</v>
      </c>
      <c r="B23" s="32" t="s">
        <v>21</v>
      </c>
      <c r="C23" s="32" t="s">
        <v>189</v>
      </c>
      <c r="D23" s="32" t="s">
        <v>18</v>
      </c>
      <c r="E23" s="32" t="s">
        <v>22</v>
      </c>
      <c r="F23" s="32" t="s">
        <v>7</v>
      </c>
      <c r="G23" s="32" t="s">
        <v>13</v>
      </c>
      <c r="H23" s="32" t="s">
        <v>16</v>
      </c>
      <c r="I23" s="32" t="s">
        <v>23</v>
      </c>
      <c r="J23" s="32" t="s">
        <v>24</v>
      </c>
      <c r="K23" s="32" t="s">
        <v>25</v>
      </c>
      <c r="L23" s="32" t="s">
        <v>26</v>
      </c>
      <c r="M23" s="32" t="s">
        <v>27</v>
      </c>
      <c r="N23" s="32" t="s">
        <v>28</v>
      </c>
      <c r="O23" s="32" t="s">
        <v>11</v>
      </c>
      <c r="P23" s="62" t="s">
        <v>190</v>
      </c>
      <c r="Q23" t="s">
        <v>184</v>
      </c>
      <c r="S23" s="61"/>
      <c r="T23" s="61"/>
      <c r="U23" s="61"/>
      <c r="V23" s="61"/>
      <c r="W23" s="61"/>
      <c r="X23" s="61"/>
    </row>
    <row r="24" spans="1:24">
      <c r="A24" t="s">
        <v>243</v>
      </c>
      <c r="B24">
        <v>1</v>
      </c>
      <c r="D24" t="s">
        <v>37</v>
      </c>
      <c r="E24" t="s">
        <v>242</v>
      </c>
      <c r="F24" t="s">
        <v>29</v>
      </c>
      <c r="G24" t="s">
        <v>57</v>
      </c>
      <c r="H24" t="s">
        <v>30</v>
      </c>
      <c r="I24">
        <v>1</v>
      </c>
      <c r="J24">
        <v>1</v>
      </c>
      <c r="K24" t="s">
        <v>31</v>
      </c>
      <c r="L24" t="s">
        <v>31</v>
      </c>
      <c r="M24" t="s">
        <v>31</v>
      </c>
      <c r="N24" t="s">
        <v>31</v>
      </c>
      <c r="Q24" t="s">
        <v>184</v>
      </c>
      <c r="S24" s="61"/>
      <c r="T24" s="61"/>
      <c r="U24" s="61"/>
      <c r="V24" s="61"/>
      <c r="W24" s="61"/>
      <c r="X24" s="61"/>
    </row>
    <row r="25" spans="1:24">
      <c r="A25" s="71" t="s">
        <v>245</v>
      </c>
      <c r="B25">
        <v>-1</v>
      </c>
      <c r="D25" t="s">
        <v>37</v>
      </c>
      <c r="E25" s="87" t="s">
        <v>38</v>
      </c>
      <c r="F25" s="87" t="s">
        <v>29</v>
      </c>
      <c r="G25" s="87" t="s">
        <v>57</v>
      </c>
      <c r="H25" s="87" t="s">
        <v>33</v>
      </c>
      <c r="I25">
        <v>1</v>
      </c>
      <c r="J25">
        <v>1</v>
      </c>
      <c r="K25" t="s">
        <v>31</v>
      </c>
      <c r="L25" t="s">
        <v>31</v>
      </c>
      <c r="M25" t="s">
        <v>31</v>
      </c>
      <c r="N25" t="s">
        <v>31</v>
      </c>
      <c r="Q25" s="61" t="s">
        <v>184</v>
      </c>
      <c r="S25" s="61"/>
      <c r="T25" s="61"/>
      <c r="U25" s="61"/>
      <c r="V25" s="61"/>
      <c r="W25" s="61"/>
      <c r="X25" s="61"/>
    </row>
    <row r="26" spans="1:24" s="66" customFormat="1">
      <c r="A26" s="88" t="s">
        <v>5</v>
      </c>
      <c r="B26" s="88" t="s">
        <v>246</v>
      </c>
      <c r="C26" s="88"/>
      <c r="D26" s="64"/>
      <c r="Q26" s="66" t="s">
        <v>184</v>
      </c>
      <c r="S26" s="89"/>
      <c r="T26" s="89"/>
      <c r="U26" s="89"/>
      <c r="V26" s="89"/>
      <c r="W26" s="89"/>
      <c r="X26" s="89"/>
    </row>
    <row r="27" spans="1:24">
      <c r="A27" t="s">
        <v>7</v>
      </c>
      <c r="B27" t="s">
        <v>185</v>
      </c>
      <c r="Q27" t="s">
        <v>184</v>
      </c>
      <c r="S27" s="61"/>
      <c r="T27" s="61"/>
      <c r="U27" s="61"/>
      <c r="V27" s="61"/>
      <c r="W27" s="61"/>
      <c r="X27" s="61"/>
    </row>
    <row r="28" spans="1:24">
      <c r="A28" t="s">
        <v>9</v>
      </c>
      <c r="B28" s="61" t="s">
        <v>247</v>
      </c>
      <c r="C28" s="61"/>
      <c r="Q28" t="s">
        <v>184</v>
      </c>
      <c r="S28" s="61"/>
      <c r="T28" s="61"/>
      <c r="U28" s="61"/>
      <c r="V28" s="61"/>
      <c r="W28" s="61"/>
      <c r="X28" s="61"/>
    </row>
    <row r="29" spans="1:24">
      <c r="A29" t="s">
        <v>11</v>
      </c>
      <c r="B29" t="s">
        <v>241</v>
      </c>
      <c r="Q29" t="s">
        <v>184</v>
      </c>
      <c r="S29" s="61"/>
      <c r="T29" s="61"/>
      <c r="U29" s="61"/>
      <c r="V29" s="61"/>
      <c r="W29" s="61"/>
      <c r="X29" s="61"/>
    </row>
    <row r="30" spans="1:24">
      <c r="A30" t="s">
        <v>13</v>
      </c>
      <c r="B30" t="s">
        <v>91</v>
      </c>
      <c r="Q30" t="s">
        <v>184</v>
      </c>
      <c r="S30" s="61"/>
      <c r="T30" s="61"/>
      <c r="U30" s="61"/>
      <c r="V30" s="61"/>
      <c r="W30" s="61"/>
      <c r="X30" s="61"/>
    </row>
    <row r="31" spans="1:24">
      <c r="A31" t="s">
        <v>15</v>
      </c>
      <c r="B31">
        <v>1</v>
      </c>
      <c r="Q31" t="s">
        <v>184</v>
      </c>
      <c r="S31" s="61"/>
      <c r="T31" s="61"/>
      <c r="U31" s="61"/>
      <c r="V31" s="61"/>
      <c r="W31" s="61"/>
      <c r="X31" s="61"/>
    </row>
    <row r="32" spans="1:24">
      <c r="A32" t="s">
        <v>16</v>
      </c>
      <c r="B32" t="s">
        <v>17</v>
      </c>
      <c r="Q32" t="s">
        <v>184</v>
      </c>
      <c r="S32" s="61"/>
      <c r="T32" s="61"/>
      <c r="U32" s="61"/>
      <c r="V32" s="61"/>
      <c r="W32" s="61"/>
      <c r="X32" s="61"/>
    </row>
    <row r="33" spans="1:24">
      <c r="A33" t="s">
        <v>18</v>
      </c>
      <c r="B33" t="str">
        <f>D36</f>
        <v>kilogram</v>
      </c>
      <c r="E33" t="s">
        <v>188</v>
      </c>
      <c r="Q33" t="s">
        <v>184</v>
      </c>
      <c r="S33" s="61"/>
      <c r="T33" s="61"/>
      <c r="U33" s="61"/>
      <c r="V33" s="61"/>
      <c r="W33" s="61"/>
      <c r="X33" s="61"/>
    </row>
    <row r="34" spans="1:24">
      <c r="A34" s="32" t="s">
        <v>19</v>
      </c>
      <c r="Q34" t="s">
        <v>184</v>
      </c>
      <c r="S34" s="61"/>
      <c r="T34" s="61"/>
      <c r="U34" s="61"/>
      <c r="V34" s="61"/>
      <c r="W34" s="61"/>
      <c r="X34" s="61"/>
    </row>
    <row r="35" spans="1:24">
      <c r="A35" s="32" t="s">
        <v>20</v>
      </c>
      <c r="B35" s="32" t="s">
        <v>21</v>
      </c>
      <c r="C35" s="32" t="s">
        <v>189</v>
      </c>
      <c r="D35" s="32" t="s">
        <v>18</v>
      </c>
      <c r="E35" s="32" t="s">
        <v>22</v>
      </c>
      <c r="F35" s="32" t="s">
        <v>7</v>
      </c>
      <c r="G35" s="32" t="s">
        <v>13</v>
      </c>
      <c r="H35" s="32" t="s">
        <v>16</v>
      </c>
      <c r="I35" s="32" t="s">
        <v>23</v>
      </c>
      <c r="J35" s="32" t="s">
        <v>24</v>
      </c>
      <c r="K35" s="32" t="s">
        <v>25</v>
      </c>
      <c r="L35" s="32" t="s">
        <v>26</v>
      </c>
      <c r="M35" s="32" t="s">
        <v>27</v>
      </c>
      <c r="N35" s="32" t="s">
        <v>28</v>
      </c>
      <c r="O35" s="32" t="s">
        <v>11</v>
      </c>
      <c r="P35" s="62" t="s">
        <v>190</v>
      </c>
      <c r="Q35" t="s">
        <v>184</v>
      </c>
      <c r="S35" s="61"/>
      <c r="T35" s="61"/>
      <c r="U35" s="61"/>
      <c r="V35" s="61"/>
      <c r="W35" s="61"/>
      <c r="X35" s="61"/>
    </row>
    <row r="36" spans="1:24">
      <c r="A36" t="s">
        <v>246</v>
      </c>
      <c r="B36">
        <v>1</v>
      </c>
      <c r="D36" t="s">
        <v>37</v>
      </c>
      <c r="E36" t="s">
        <v>242</v>
      </c>
      <c r="F36" t="s">
        <v>29</v>
      </c>
      <c r="G36" t="s">
        <v>91</v>
      </c>
      <c r="H36" t="s">
        <v>30</v>
      </c>
      <c r="I36">
        <v>1</v>
      </c>
      <c r="J36">
        <v>1</v>
      </c>
      <c r="K36" t="s">
        <v>31</v>
      </c>
      <c r="L36" t="s">
        <v>31</v>
      </c>
      <c r="M36" t="s">
        <v>31</v>
      </c>
      <c r="N36" t="s">
        <v>31</v>
      </c>
      <c r="Q36" t="s">
        <v>184</v>
      </c>
      <c r="S36" s="61"/>
      <c r="T36" s="61"/>
      <c r="U36" s="61"/>
      <c r="V36" s="61"/>
      <c r="W36" s="61"/>
      <c r="X36" s="61"/>
    </row>
    <row r="37" spans="1:24" s="134" customFormat="1">
      <c r="A37" s="133" t="s">
        <v>145</v>
      </c>
      <c r="B37" s="134">
        <v>-1</v>
      </c>
      <c r="C37" s="135"/>
      <c r="D37" s="134" t="s">
        <v>37</v>
      </c>
      <c r="E37" s="136" t="s">
        <v>38</v>
      </c>
      <c r="F37" s="136" t="s">
        <v>29</v>
      </c>
      <c r="G37" s="134" t="s">
        <v>91</v>
      </c>
      <c r="H37" s="136" t="s">
        <v>33</v>
      </c>
      <c r="I37" s="134">
        <v>1</v>
      </c>
      <c r="J37" s="134">
        <v>1</v>
      </c>
      <c r="K37" s="134" t="s">
        <v>31</v>
      </c>
      <c r="L37" s="134" t="s">
        <v>31</v>
      </c>
      <c r="M37" s="134" t="s">
        <v>31</v>
      </c>
      <c r="N37" s="134" t="s">
        <v>31</v>
      </c>
      <c r="Q37" s="137" t="s">
        <v>184</v>
      </c>
      <c r="S37" s="137"/>
      <c r="T37" s="137"/>
      <c r="U37" s="137"/>
      <c r="V37" s="137"/>
      <c r="W37" s="137"/>
      <c r="X37" s="137"/>
    </row>
    <row r="38" spans="1:24" s="131" customFormat="1">
      <c r="A38" s="138"/>
      <c r="C38" s="132"/>
      <c r="D38" s="132"/>
      <c r="E38" s="132"/>
      <c r="F38" s="132"/>
      <c r="G38" s="132"/>
      <c r="H38" s="132"/>
      <c r="Q38" s="138"/>
      <c r="R38" s="139"/>
      <c r="S38" s="132"/>
      <c r="T38" s="132"/>
    </row>
    <row r="39" spans="1:24" s="131" customFormat="1">
      <c r="A39" s="138"/>
      <c r="C39" s="132"/>
      <c r="D39" s="132"/>
      <c r="E39" s="132"/>
      <c r="F39" s="132"/>
      <c r="G39" s="132"/>
      <c r="Q39" s="138"/>
      <c r="R39" s="139"/>
      <c r="S39" s="132"/>
      <c r="T39" s="132"/>
    </row>
    <row r="40" spans="1:24" s="131" customFormat="1">
      <c r="A40" s="138"/>
      <c r="C40" s="132"/>
      <c r="D40" s="132"/>
      <c r="E40" s="132"/>
      <c r="F40" s="132"/>
      <c r="G40" s="132"/>
      <c r="Q40" s="138"/>
      <c r="R40" s="139"/>
      <c r="S40" s="132"/>
      <c r="T40" s="132"/>
    </row>
    <row r="41" spans="1:24" s="131" customFormat="1">
      <c r="A41" s="138"/>
      <c r="B41" s="139"/>
      <c r="C41" s="132"/>
      <c r="D41" s="132"/>
      <c r="E41" s="132"/>
      <c r="F41" s="132"/>
      <c r="G41" s="132"/>
      <c r="H41" s="132"/>
      <c r="Q41" s="140"/>
      <c r="R41" s="139"/>
      <c r="S41" s="132"/>
      <c r="T41" s="132"/>
    </row>
    <row r="42" spans="1:24" s="131" customFormat="1"/>
    <row r="43" spans="1:24" s="131" customFormat="1">
      <c r="A43" s="141"/>
      <c r="C43" s="132"/>
      <c r="D43" s="132"/>
      <c r="E43" s="132"/>
      <c r="F43" s="142"/>
      <c r="G43" s="132"/>
    </row>
    <row r="44" spans="1:24" s="131" customFormat="1">
      <c r="B44" s="139"/>
      <c r="H44" s="132"/>
    </row>
    <row r="45" spans="1:24" s="131" customFormat="1">
      <c r="B45" s="139"/>
    </row>
    <row r="46" spans="1:24" s="131" customFormat="1">
      <c r="B46" s="139"/>
    </row>
    <row r="47" spans="1:24" s="131" customFormat="1">
      <c r="B47" s="139"/>
      <c r="H47" s="132"/>
    </row>
    <row r="48" spans="1:24" s="131"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B637-3775-468D-9C7D-DEA0F0741923}">
  <dimension ref="A1:R17"/>
  <sheetViews>
    <sheetView zoomScale="83" zoomScaleNormal="85" workbookViewId="0">
      <pane xSplit="1" topLeftCell="B1" activePane="topRight" state="frozen"/>
      <selection pane="topRight" activeCell="E23" sqref="E23"/>
    </sheetView>
  </sheetViews>
  <sheetFormatPr defaultRowHeight="15"/>
  <cols>
    <col min="1" max="1" width="50.42578125" customWidth="1"/>
    <col min="2" max="2" width="35" customWidth="1"/>
    <col min="3" max="3" width="8" bestFit="1" customWidth="1"/>
    <col min="4" max="4" width="8" customWidth="1"/>
    <col min="5" max="5" width="33.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3</v>
      </c>
      <c r="B1" s="22" t="s">
        <v>4</v>
      </c>
      <c r="C1" s="23" t="s">
        <v>248</v>
      </c>
      <c r="D1" s="23"/>
    </row>
    <row r="2" spans="1:18">
      <c r="A2" s="24" t="s">
        <v>5</v>
      </c>
      <c r="B2" s="25" t="s">
        <v>56</v>
      </c>
      <c r="C2" s="26"/>
      <c r="D2" s="26"/>
      <c r="E2" s="26"/>
      <c r="F2" s="26"/>
      <c r="G2" s="26"/>
      <c r="H2" s="26"/>
      <c r="I2" s="26"/>
      <c r="J2" s="26"/>
      <c r="K2" s="26"/>
      <c r="L2" s="26"/>
      <c r="M2" s="26"/>
      <c r="N2" s="27"/>
      <c r="R2" s="28"/>
    </row>
    <row r="3" spans="1:18">
      <c r="A3" s="29" t="s">
        <v>7</v>
      </c>
      <c r="B3" t="s">
        <v>249</v>
      </c>
      <c r="N3" s="30"/>
      <c r="R3" s="28"/>
    </row>
    <row r="4" spans="1:18">
      <c r="A4" s="29" t="s">
        <v>9</v>
      </c>
      <c r="B4" t="s">
        <v>250</v>
      </c>
      <c r="N4" s="30"/>
    </row>
    <row r="5" spans="1:18">
      <c r="A5" s="29" t="s">
        <v>11</v>
      </c>
      <c r="B5" t="s">
        <v>251</v>
      </c>
      <c r="N5" s="30"/>
      <c r="R5" s="28"/>
    </row>
    <row r="6" spans="1:18">
      <c r="A6" s="29" t="s">
        <v>13</v>
      </c>
      <c r="B6" t="s">
        <v>57</v>
      </c>
      <c r="N6" s="30"/>
      <c r="R6" s="28"/>
    </row>
    <row r="7" spans="1:18">
      <c r="A7" s="29" t="s">
        <v>15</v>
      </c>
      <c r="B7">
        <v>1</v>
      </c>
      <c r="N7" s="30"/>
      <c r="R7" s="28"/>
    </row>
    <row r="8" spans="1:18">
      <c r="A8" s="29" t="s">
        <v>16</v>
      </c>
      <c r="B8" t="s">
        <v>17</v>
      </c>
      <c r="N8" s="30"/>
    </row>
    <row r="9" spans="1:18">
      <c r="A9" s="29" t="s">
        <v>18</v>
      </c>
      <c r="B9" t="s">
        <v>37</v>
      </c>
      <c r="N9" s="30"/>
    </row>
    <row r="10" spans="1:18">
      <c r="A10" s="31" t="s">
        <v>19</v>
      </c>
      <c r="N10" s="30"/>
    </row>
    <row r="11" spans="1:18">
      <c r="A11" s="31" t="s">
        <v>20</v>
      </c>
      <c r="B11" s="32" t="s">
        <v>21</v>
      </c>
      <c r="C11" s="32" t="s">
        <v>18</v>
      </c>
      <c r="D11" s="32" t="s">
        <v>189</v>
      </c>
      <c r="E11" s="32" t="s">
        <v>22</v>
      </c>
      <c r="F11" s="32" t="s">
        <v>7</v>
      </c>
      <c r="G11" s="32" t="s">
        <v>13</v>
      </c>
      <c r="H11" s="32" t="s">
        <v>16</v>
      </c>
      <c r="I11" s="32" t="s">
        <v>23</v>
      </c>
      <c r="J11" s="32" t="s">
        <v>24</v>
      </c>
      <c r="K11" s="32" t="s">
        <v>25</v>
      </c>
      <c r="L11" s="32" t="s">
        <v>26</v>
      </c>
      <c r="M11" s="32" t="s">
        <v>27</v>
      </c>
      <c r="N11" s="33" t="s">
        <v>28</v>
      </c>
    </row>
    <row r="12" spans="1:18">
      <c r="A12" s="29" t="str">
        <f>B2</f>
        <v>SAF production, long-term, proxy</v>
      </c>
      <c r="B12">
        <v>1</v>
      </c>
      <c r="C12" t="s">
        <v>37</v>
      </c>
      <c r="E12" t="s">
        <v>2</v>
      </c>
      <c r="F12" t="s">
        <v>29</v>
      </c>
      <c r="G12" t="s">
        <v>57</v>
      </c>
      <c r="H12" t="s">
        <v>30</v>
      </c>
      <c r="I12">
        <v>1</v>
      </c>
      <c r="J12" t="s">
        <v>31</v>
      </c>
      <c r="K12" t="s">
        <v>31</v>
      </c>
      <c r="L12" t="s">
        <v>31</v>
      </c>
      <c r="M12" t="s">
        <v>31</v>
      </c>
      <c r="N12" t="s">
        <v>31</v>
      </c>
    </row>
    <row r="13" spans="1:18">
      <c r="A13" s="29" t="s">
        <v>46</v>
      </c>
      <c r="B13">
        <v>-3.1</v>
      </c>
      <c r="C13" t="s">
        <v>37</v>
      </c>
      <c r="E13" t="s">
        <v>41</v>
      </c>
      <c r="F13" t="s">
        <v>42</v>
      </c>
      <c r="G13" t="s">
        <v>29</v>
      </c>
      <c r="H13" t="s">
        <v>43</v>
      </c>
      <c r="I13">
        <v>0</v>
      </c>
      <c r="J13" t="s">
        <v>31</v>
      </c>
      <c r="K13" t="s">
        <v>31</v>
      </c>
      <c r="L13" t="s">
        <v>31</v>
      </c>
      <c r="M13" t="s">
        <v>31</v>
      </c>
      <c r="N13" t="s">
        <v>31</v>
      </c>
      <c r="O13" t="s">
        <v>252</v>
      </c>
    </row>
    <row r="14" spans="1:18">
      <c r="A14" s="28" t="s">
        <v>253</v>
      </c>
      <c r="B14">
        <v>0.72</v>
      </c>
      <c r="C14" t="s">
        <v>37</v>
      </c>
      <c r="D14" s="28" t="s">
        <v>254</v>
      </c>
      <c r="E14" s="34" t="s">
        <v>82</v>
      </c>
      <c r="F14" t="s">
        <v>29</v>
      </c>
      <c r="G14" t="s">
        <v>255</v>
      </c>
      <c r="H14" t="s">
        <v>33</v>
      </c>
      <c r="I14">
        <v>0</v>
      </c>
      <c r="J14" t="s">
        <v>31</v>
      </c>
      <c r="K14" t="s">
        <v>31</v>
      </c>
      <c r="L14" t="s">
        <v>31</v>
      </c>
      <c r="M14" t="s">
        <v>31</v>
      </c>
      <c r="N14" t="s">
        <v>31</v>
      </c>
      <c r="O14" t="s">
        <v>256</v>
      </c>
    </row>
    <row r="15" spans="1:18">
      <c r="A15" s="29" t="s">
        <v>257</v>
      </c>
      <c r="B15">
        <f>($B$12-$B$14)*1/3</f>
        <v>9.3333333333333338E-2</v>
      </c>
      <c r="C15" t="s">
        <v>37</v>
      </c>
      <c r="E15" s="34" t="s">
        <v>82</v>
      </c>
      <c r="F15" t="s">
        <v>29</v>
      </c>
      <c r="G15" t="s">
        <v>35</v>
      </c>
      <c r="H15" t="s">
        <v>33</v>
      </c>
      <c r="I15">
        <v>0</v>
      </c>
      <c r="J15" t="s">
        <v>31</v>
      </c>
      <c r="K15" t="s">
        <v>31</v>
      </c>
      <c r="L15" t="s">
        <v>31</v>
      </c>
      <c r="M15" t="s">
        <v>31</v>
      </c>
      <c r="N15" t="s">
        <v>31</v>
      </c>
      <c r="O15" t="s">
        <v>258</v>
      </c>
    </row>
    <row r="16" spans="1:18">
      <c r="A16" s="29" t="s">
        <v>259</v>
      </c>
      <c r="B16">
        <f>($B$12-$B$14)*1/3</f>
        <v>9.3333333333333338E-2</v>
      </c>
      <c r="C16" t="s">
        <v>37</v>
      </c>
      <c r="E16" s="34" t="s">
        <v>82</v>
      </c>
      <c r="F16" t="s">
        <v>29</v>
      </c>
      <c r="G16" t="s">
        <v>35</v>
      </c>
      <c r="H16" t="s">
        <v>33</v>
      </c>
      <c r="I16">
        <v>0</v>
      </c>
      <c r="J16" t="s">
        <v>31</v>
      </c>
      <c r="K16" t="s">
        <v>31</v>
      </c>
      <c r="L16" t="s">
        <v>31</v>
      </c>
      <c r="M16" t="s">
        <v>31</v>
      </c>
      <c r="N16" t="s">
        <v>31</v>
      </c>
      <c r="O16" t="s">
        <v>260</v>
      </c>
    </row>
    <row r="17" spans="1:15">
      <c r="A17" t="s">
        <v>261</v>
      </c>
      <c r="B17">
        <f>($B$12-$B$14)*1/3</f>
        <v>9.3333333333333338E-2</v>
      </c>
      <c r="C17" t="s">
        <v>37</v>
      </c>
      <c r="D17" s="28"/>
      <c r="E17" s="34" t="s">
        <v>82</v>
      </c>
      <c r="F17" t="s">
        <v>29</v>
      </c>
      <c r="G17" t="s">
        <v>35</v>
      </c>
      <c r="H17" t="s">
        <v>33</v>
      </c>
      <c r="I17">
        <v>0</v>
      </c>
      <c r="J17" t="s">
        <v>31</v>
      </c>
      <c r="K17" t="s">
        <v>31</v>
      </c>
      <c r="L17" t="s">
        <v>31</v>
      </c>
      <c r="M17" t="s">
        <v>31</v>
      </c>
      <c r="N17" t="s">
        <v>31</v>
      </c>
      <c r="O17" t="s">
        <v>262</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B552B9-AA34-4F42-B7A5-585596636E95}"/>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CEFC012B-D11A-464B-A816-788BC2BB1D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