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ilus.rubanathan\Desktop\New Structure\Predective maintenance - Terr\"/>
    </mc:Choice>
  </mc:AlternateContent>
  <xr:revisionPtr revIDLastSave="0" documentId="13_ncr:1_{42AA88AF-A14A-43E0-8FFE-3784884F7306}" xr6:coauthVersionLast="47" xr6:coauthVersionMax="47" xr10:uidLastSave="{00000000-0000-0000-0000-000000000000}"/>
  <bookViews>
    <workbookView xWindow="-120" yWindow="-120" windowWidth="29040" windowHeight="15840" xr2:uid="{FB0530F5-170C-4567-A895-922CB2FF0CDE}"/>
  </bookViews>
  <sheets>
    <sheet name="Final in '000 (2)" sheetId="7" r:id="rId1"/>
    <sheet name="Sheet1" sheetId="1" r:id="rId2"/>
    <sheet name="Sheet2" sheetId="2" r:id="rId3"/>
    <sheet name="Sheet3" sheetId="3" r:id="rId4"/>
    <sheet name="FINAL" sheetId="5" r:id="rId5"/>
    <sheet name="Final in '000" sheetId="6" r:id="rId6"/>
  </sheets>
  <definedNames>
    <definedName name="_xlnm.Print_Area" localSheetId="4">FINAL!$A$1:$T$44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8" i="6" l="1"/>
  <c r="N18" i="6"/>
  <c r="Q16" i="6"/>
  <c r="P16" i="6"/>
  <c r="O16" i="6"/>
  <c r="N16" i="6"/>
  <c r="M16" i="6"/>
  <c r="Q15" i="6"/>
  <c r="Q19" i="6" s="1"/>
  <c r="P15" i="6"/>
  <c r="P19" i="6" s="1"/>
  <c r="O15" i="6"/>
  <c r="N15" i="6"/>
  <c r="M15" i="6"/>
  <c r="L15" i="6"/>
  <c r="L23" i="6" s="1"/>
  <c r="L24" i="6" s="1"/>
  <c r="K15" i="6"/>
  <c r="K23" i="6" s="1"/>
  <c r="K24" i="6" s="1"/>
  <c r="J15" i="6"/>
  <c r="J23" i="6" s="1"/>
  <c r="J24" i="6" s="1"/>
  <c r="I15" i="6"/>
  <c r="I19" i="6" s="1"/>
  <c r="H15" i="6"/>
  <c r="H23" i="6" s="1"/>
  <c r="H24" i="6" s="1"/>
  <c r="G15" i="6"/>
  <c r="G19" i="6" s="1"/>
  <c r="F15" i="6"/>
  <c r="F23" i="6" s="1"/>
  <c r="F24" i="6" s="1"/>
  <c r="E14" i="6"/>
  <c r="E19" i="6" s="1"/>
  <c r="D18" i="6"/>
  <c r="D17" i="6"/>
  <c r="D16" i="6"/>
  <c r="C50" i="6"/>
  <c r="C48" i="6"/>
  <c r="O23" i="6"/>
  <c r="O24" i="6" s="1"/>
  <c r="N23" i="6"/>
  <c r="N24" i="6" s="1"/>
  <c r="M23" i="6"/>
  <c r="M24" i="6" s="1"/>
  <c r="G23" i="6"/>
  <c r="G24" i="6" s="1"/>
  <c r="M19" i="6" l="1"/>
  <c r="N19" i="6"/>
  <c r="O19" i="6"/>
  <c r="K19" i="6"/>
  <c r="L19" i="6"/>
  <c r="P23" i="6"/>
  <c r="P24" i="6" s="1"/>
  <c r="Q23" i="6"/>
  <c r="F19" i="6"/>
  <c r="H19" i="6"/>
  <c r="I23" i="6"/>
  <c r="I24" i="6" s="1"/>
  <c r="J19" i="6"/>
  <c r="C49" i="5"/>
  <c r="C47" i="5"/>
  <c r="R23" i="3"/>
  <c r="D23" i="5"/>
  <c r="D23" i="6" s="1"/>
  <c r="R23" i="6" l="1"/>
  <c r="Q24" i="6"/>
  <c r="S23" i="6" l="1"/>
  <c r="R24" i="6"/>
  <c r="T23" i="6" l="1"/>
  <c r="T24" i="6" s="1"/>
  <c r="S24" i="6"/>
  <c r="Q23" i="5" l="1"/>
  <c r="R23" i="5" s="1"/>
  <c r="S23" i="5" s="1"/>
  <c r="T23" i="5" s="1"/>
  <c r="P23" i="5"/>
  <c r="O23" i="5"/>
  <c r="N23" i="5"/>
  <c r="M23" i="5"/>
  <c r="L23" i="5"/>
  <c r="K23" i="5"/>
  <c r="J23" i="5"/>
  <c r="I23" i="5"/>
  <c r="H23" i="5"/>
  <c r="G23" i="5"/>
  <c r="F23" i="5"/>
  <c r="D15" i="5"/>
  <c r="D15" i="6" s="1"/>
  <c r="T19" i="3"/>
  <c r="E22" i="5"/>
  <c r="E22" i="6" s="1"/>
  <c r="E24" i="6" s="1"/>
  <c r="E14" i="5"/>
  <c r="D14" i="5" s="1"/>
  <c r="D22" i="5" l="1"/>
  <c r="D24" i="5" s="1"/>
  <c r="C24" i="5" s="1"/>
  <c r="D22" i="6"/>
  <c r="D24" i="6" s="1"/>
  <c r="C24" i="6" s="1"/>
  <c r="D19" i="5"/>
  <c r="D14" i="6"/>
  <c r="Y25" i="3"/>
  <c r="R25" i="3" s="1"/>
  <c r="AA24" i="3"/>
  <c r="Z24" i="3"/>
  <c r="Y24" i="3"/>
  <c r="X24" i="3"/>
  <c r="W24" i="3"/>
  <c r="R16" i="3"/>
  <c r="U16" i="3" s="1"/>
  <c r="R12" i="3"/>
  <c r="T12" i="3" s="1"/>
  <c r="W12" i="3" s="1"/>
  <c r="H8" i="3"/>
  <c r="H4" i="3"/>
  <c r="H10" i="3" s="1"/>
  <c r="H11" i="3" s="1"/>
  <c r="Z16" i="1"/>
  <c r="I28" i="1"/>
  <c r="C19" i="5" l="1"/>
  <c r="C26" i="5" s="1"/>
  <c r="C27" i="5" s="1"/>
  <c r="D19" i="6"/>
  <c r="C19" i="6" s="1"/>
  <c r="C26" i="6" s="1"/>
  <c r="C27" i="6" s="1"/>
  <c r="R24" i="3"/>
  <c r="R29" i="3"/>
  <c r="R30" i="3" s="1"/>
  <c r="T31" i="3" s="1"/>
  <c r="T32" i="3" s="1"/>
  <c r="T29" i="3"/>
  <c r="T30" i="3" s="1"/>
  <c r="V12" i="3"/>
  <c r="V26" i="3"/>
</calcChain>
</file>

<file path=xl/sharedStrings.xml><?xml version="1.0" encoding="utf-8"?>
<sst xmlns="http://schemas.openxmlformats.org/spreadsheetml/2006/main" count="265" uniqueCount="141">
  <si>
    <t>Cost of downtime</t>
  </si>
  <si>
    <t>=</t>
  </si>
  <si>
    <t>(Duration   X Impact on produstion) + Repairs + Lost Sales + Lost Customer reputation</t>
  </si>
  <si>
    <t>Mission-critical spaces: If the system serves mission-critical spaces, it may need to be in good working order at all times.</t>
  </si>
  <si>
    <t>HVRF utilises lower GWP R32 refrigerant, which reduces the environmental impact of HVAC systems. Using HVRF can help clients reach</t>
  </si>
  <si>
    <t>their Corporate Social Responsibility targets by contributing to a cleaner environment.</t>
  </si>
  <si>
    <t>R32 has 65% lower GWP and up to 80% CO2 reduction compared to R410A.</t>
  </si>
  <si>
    <t>A Mitsubishi City Multi VRF air conditioning system can have a life expectancy of 10–15 years, but this can vary depending on a number of</t>
  </si>
  <si>
    <t>factors:</t>
  </si>
  <si>
    <t>Maintenance: Regular maintenance can help extend the life of the system.</t>
  </si>
  <si>
    <t>Run time: How many hours per day the system is running can affect its lifespan.</t>
  </si>
  <si>
    <t>Proximity to contaminants: How close the system is to corrosive contaminants can impact its lifespan.</t>
  </si>
  <si>
    <t>Repairs and retrofits: Whether the system has had any major repairs or retrofits can affect its lifespan.</t>
  </si>
  <si>
    <t>A VRF, or Variable Refrigerant Flow, system uses an outdoor condensing unit connected to multiple indoor units by piping to provide heating</t>
  </si>
  <si>
    <t>or cooling. The refrigerant is recycled between the units.</t>
  </si>
  <si>
    <t>To help your HVAC system last longer, you can:</t>
  </si>
  <si>
    <t>Change the air filters every 30–90 days.</t>
  </si>
  <si>
    <t>Schedule tune-ups twice a</t>
  </si>
  <si>
    <t>Realise Significant Maintenance Cost Reductions</t>
  </si>
  <si>
    <t>Throughout a system’s lifetime, annual testing and the recalibration of leak detection sensors adds significant cost to a VRF system. Using</t>
  </si>
  <si>
    <t>Hybrid VRF instead, minimises this need and could provide as much as 30% in maintenance savings over 15 years.</t>
  </si>
  <si>
    <t>Additionally, the following objectives can be fulfi lled: cost reduction (11%), risk reduction associated with safety, health,environment, and quality (SHEQ) (8%), extending the lifetime of assets (7%) and improving customer satisfaction (12%).</t>
  </si>
  <si>
    <t>The biggest savings from predictive maintenance, however, come from</t>
  </si>
  <si>
    <t>reduced downtime</t>
  </si>
  <si>
    <t>Mitsubishi City Multi VRF air conditioning system</t>
  </si>
  <si>
    <t>Standard life expectanc</t>
  </si>
  <si>
    <t>Years</t>
  </si>
  <si>
    <t>Cost reduction</t>
  </si>
  <si>
    <t>safety, health, environmen &amp; quality - SHEQ</t>
  </si>
  <si>
    <t>Extending the lifetime of asset</t>
  </si>
  <si>
    <t>Improve customer satisfaction</t>
  </si>
  <si>
    <t>Cost of the unit</t>
  </si>
  <si>
    <t>Cost per maintenance</t>
  </si>
  <si>
    <t>Expected life</t>
  </si>
  <si>
    <t>Extended</t>
  </si>
  <si>
    <t>Downtime during the life of the asset</t>
  </si>
  <si>
    <t>Compensation to Third Parties</t>
  </si>
  <si>
    <t>Number of expected incidents</t>
  </si>
  <si>
    <t>Cost of preventative maintenance</t>
  </si>
  <si>
    <t>3 X 500</t>
  </si>
  <si>
    <t>Savings</t>
  </si>
  <si>
    <t>Savings due to extended life</t>
  </si>
  <si>
    <t>= annual cost of running X extended life -PA cost</t>
  </si>
  <si>
    <t>HVAC System</t>
  </si>
  <si>
    <t>Mitsubishi Multi City HVRF</t>
  </si>
  <si>
    <t>$</t>
  </si>
  <si>
    <t>Maintenance - 4 visits / year</t>
  </si>
  <si>
    <t>r=4% life time 12 years</t>
  </si>
  <si>
    <t>=c((1-(1+i)^-n)/I)</t>
  </si>
  <si>
    <t>PV of maintenance  for 12 years</t>
  </si>
  <si>
    <t>Annual cost</t>
  </si>
  <si>
    <t>Cost of down time / day</t>
  </si>
  <si>
    <t>(Downtime starts in Y7-Y12)</t>
  </si>
  <si>
    <t>Reactive maintenance - Y7-Y12 one call per year at $6500/ visit</t>
  </si>
  <si>
    <t>Cost of PM ( std service cosr X 1.2)</t>
  </si>
  <si>
    <t>Purchase &amp; Installation Cost</t>
  </si>
  <si>
    <t>Maintenance cost over 12 years</t>
  </si>
  <si>
    <t>PV of annual mintenance cost*</t>
  </si>
  <si>
    <t>Ntes</t>
  </si>
  <si>
    <t>* Based on 3 maintenance visits per year @ $19,757/ year.</t>
  </si>
  <si>
    <t>Maintenance cost over 15 years**</t>
  </si>
  <si>
    <t>PV of annual Predective Maintenance cost</t>
  </si>
  <si>
    <t>Other significant Savings***</t>
  </si>
  <si>
    <t>Lost revenue 6000/day - assumed once a year from Y8-Y12.</t>
  </si>
  <si>
    <t>Lost sales due to downtime</t>
  </si>
  <si>
    <t xml:space="preserve">Reactive service cost </t>
  </si>
  <si>
    <t>Reputation risk and third party compensation</t>
  </si>
  <si>
    <t>T8</t>
  </si>
  <si>
    <t>T9</t>
  </si>
  <si>
    <t>T10</t>
  </si>
  <si>
    <t>T11</t>
  </si>
  <si>
    <t>T12</t>
  </si>
  <si>
    <t>Reative service cost $6000/visit once every year from year 8- year 12</t>
  </si>
  <si>
    <t>Reputation and 3 part compensation 30k in Y10</t>
  </si>
  <si>
    <t>Total Cost</t>
  </si>
  <si>
    <t>Annual cost 12years / 15 years</t>
  </si>
  <si>
    <t>Interest 4%</t>
  </si>
  <si>
    <t>In the absense of PAM</t>
  </si>
  <si>
    <t>Under Predecitve Asset Maintenance (PAM)</t>
  </si>
  <si>
    <t>The following costs are prevented under PAM</t>
  </si>
  <si>
    <t>Expected life of the asset in the absense of PAM IS 12 years</t>
  </si>
  <si>
    <t>**Under PAM, the asset 's useful life is extended by 25%</t>
  </si>
  <si>
    <t>PAM maintenace will cost 20% more than std. maintenance</t>
  </si>
  <si>
    <t>*** Expected downtime in the absence of PAM = Once a year from Y8 to Y12.</t>
  </si>
  <si>
    <t>Year 0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</si>
  <si>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</si>
  <si>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</si>
  <si>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</si>
  <si>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</si>
  <si>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</si>
  <si>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</si>
  <si>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</si>
  <si>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</si>
  <si>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</si>
  <si>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</si>
  <si>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</si>
  <si>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</si>
  <si>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</si>
  <si>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</si>
  <si>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</si>
  <si>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Net Present Value</t>
  </si>
  <si>
    <t>Reactive service cost</t>
  </si>
  <si>
    <t>Total</t>
  </si>
  <si>
    <t>Present Value</t>
  </si>
  <si>
    <t>Annual cost (Present Value)</t>
  </si>
  <si>
    <t>Total cost (Present Value)</t>
  </si>
  <si>
    <t>Annual cost saving</t>
  </si>
  <si>
    <t>Annual cost saving %</t>
  </si>
  <si>
    <t>Lost revenue due to downtime***</t>
  </si>
  <si>
    <t>1.5 day per year</t>
  </si>
  <si>
    <t>Reputation and third party compensation risk: 1.5% of the annual revenue.</t>
  </si>
  <si>
    <t>Calculation</t>
  </si>
  <si>
    <t>Lost revenue : Y8-Y12, 1.5 day 25% of the capacity on the building (200 x 25x 365)</t>
  </si>
  <si>
    <t>Annual maintenance cost*</t>
  </si>
  <si>
    <t>Annual maintenance cost **</t>
  </si>
  <si>
    <t>Reputational risk and third-party compensation</t>
  </si>
  <si>
    <t>Discount rate: 4%</t>
  </si>
  <si>
    <t>£</t>
  </si>
  <si>
    <t>In the absence of PAM</t>
  </si>
  <si>
    <t>With the implementation of PAM</t>
  </si>
  <si>
    <t>Notes</t>
  </si>
  <si>
    <t>Life expectancy of the asset : 12 years</t>
  </si>
  <si>
    <t>Under PAM, maintenance will cost 20% more than std. maintenance cost</t>
  </si>
  <si>
    <t>Reactive service cost : one additional maintenance call per year from Y8 TO Y12.</t>
  </si>
  <si>
    <t>Achieving Significant Cost Savings with PAM (£000)</t>
  </si>
  <si>
    <t>Year   9</t>
  </si>
  <si>
    <t>Year   8</t>
  </si>
  <si>
    <t>Year   7</t>
  </si>
  <si>
    <t>Year   6</t>
  </si>
  <si>
    <t>Year   5</t>
  </si>
  <si>
    <t>Year   4</t>
  </si>
  <si>
    <t>Year   3</t>
  </si>
  <si>
    <t>Year   2</t>
  </si>
  <si>
    <t>Year   1</t>
  </si>
  <si>
    <t>Year    0</t>
  </si>
  <si>
    <t>Calculation is based on Mitsubishi Multi City HVRF</t>
  </si>
  <si>
    <t>Std. life expectancy of the asset : 12 years</t>
  </si>
  <si>
    <t>* Based on 3 maintenance visits per year @ $19,757/ year. Std. life expectancy of the asset : 12 years</t>
  </si>
  <si>
    <t xml:space="preserve">**Under PAM:  the asset 's useful life is extended by 25% and  the maintenance cost will increase 20% </t>
  </si>
  <si>
    <t>*** Expected downtime in the absence of PAM = Once a year from Y8 to Y12. 1.5 day per year</t>
  </si>
  <si>
    <t>Reactive service cost : one additional maintenance call per year from Y8 TO Y12. Reputation and third party compensation risk: 1.5% of the annual revenue.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</si>
</sst>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0.0%"/>
  </numFmts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7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8"/>
      <color theme="1"/>
      <name val="Times New Roman"/>
      <family val="1"/>
    </font>
    <font>
      <b/>
      <sz val="10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b/>
      <sz val="10"/>
      <color theme="6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8">
    <xf numFmtId="0" fontId="0" fillId="0" borderId="0" xfId="0"/>
    <xf numFmtId="0" fontId="0" fillId="0" borderId="0" xfId="0" applyAlignment="1">
      <alignment horizontal="right"/>
    </xf>
    <xf numFmtId="0" fontId="0" fillId="0" borderId="0" xfId="0" quotePrefix="1"/>
    <xf numFmtId="9" fontId="0" fillId="0" borderId="0" xfId="0" applyNumberFormat="1"/>
    <xf numFmtId="0" fontId="0" fillId="0" borderId="0" xfId="0" applyAlignment="1">
      <alignment horizontal="center"/>
    </xf>
    <xf numFmtId="164" fontId="0" fillId="0" borderId="0" xfId="1" applyNumberFormat="1" applyFont="1" applyAlignment="1">
      <alignment horizontal="center"/>
    </xf>
    <xf numFmtId="0" fontId="0" fillId="0" borderId="0" xfId="0" quotePrefix="1" applyAlignment="1">
      <alignment horizontal="left"/>
    </xf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wrapText="1"/>
    </xf>
    <xf numFmtId="44" fontId="0" fillId="0" borderId="0" xfId="2" applyFont="1"/>
    <xf numFmtId="0" fontId="0" fillId="0" borderId="0" xfId="0" applyAlignment="1">
      <alignment horizontal="left"/>
    </xf>
    <xf numFmtId="164" fontId="0" fillId="0" borderId="0" xfId="1" applyNumberFormat="1" applyFont="1" applyBorder="1" applyAlignment="1">
      <alignment horizontal="center"/>
    </xf>
    <xf numFmtId="43" fontId="0" fillId="0" borderId="0" xfId="0" applyNumberFormat="1"/>
    <xf numFmtId="16" fontId="0" fillId="0" borderId="0" xfId="0" applyNumberFormat="1"/>
    <xf numFmtId="9" fontId="0" fillId="0" borderId="0" xfId="3" applyFont="1"/>
    <xf numFmtId="0" fontId="3" fillId="0" borderId="0" xfId="0" applyFont="1"/>
    <xf numFmtId="164" fontId="0" fillId="0" borderId="0" xfId="1" applyNumberFormat="1" applyFont="1" applyAlignment="1">
      <alignment horizontal="center" wrapText="1"/>
    </xf>
    <xf numFmtId="0" fontId="0" fillId="0" borderId="0" xfId="0" applyAlignment="1">
      <alignment horizontal="center" wrapText="1"/>
    </xf>
    <xf numFmtId="164" fontId="0" fillId="0" borderId="0" xfId="0" applyNumberFormat="1" applyAlignment="1">
      <alignment wrapText="1"/>
    </xf>
    <xf numFmtId="0" fontId="2" fillId="0" borderId="0" xfId="0" applyFont="1" applyAlignment="1">
      <alignment horizontal="center" wrapText="1"/>
    </xf>
    <xf numFmtId="165" fontId="0" fillId="0" borderId="0" xfId="3" applyNumberFormat="1" applyFont="1"/>
    <xf numFmtId="164" fontId="0" fillId="0" borderId="1" xfId="1" applyNumberFormat="1" applyFont="1" applyBorder="1"/>
    <xf numFmtId="164" fontId="0" fillId="0" borderId="2" xfId="1" applyNumberFormat="1" applyFont="1" applyBorder="1"/>
    <xf numFmtId="164" fontId="0" fillId="0" borderId="3" xfId="1" applyNumberFormat="1" applyFont="1" applyBorder="1"/>
    <xf numFmtId="0" fontId="0" fillId="2" borderId="0" xfId="0" applyFill="1"/>
    <xf numFmtId="164" fontId="0" fillId="2" borderId="0" xfId="1" applyNumberFormat="1" applyFont="1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wrapText="1"/>
    </xf>
    <xf numFmtId="164" fontId="0" fillId="2" borderId="0" xfId="1" applyNumberFormat="1" applyFont="1" applyFill="1" applyAlignment="1">
      <alignment horizontal="center" wrapText="1"/>
    </xf>
    <xf numFmtId="0" fontId="0" fillId="2" borderId="9" xfId="0" applyFill="1" applyBorder="1"/>
    <xf numFmtId="0" fontId="0" fillId="2" borderId="1" xfId="0" applyFill="1" applyBorder="1"/>
    <xf numFmtId="0" fontId="0" fillId="2" borderId="2" xfId="0" applyFill="1" applyBorder="1"/>
    <xf numFmtId="0" fontId="0" fillId="2" borderId="0" xfId="0" applyFill="1" applyAlignment="1">
      <alignment wrapText="1"/>
    </xf>
    <xf numFmtId="164" fontId="0" fillId="2" borderId="0" xfId="1" applyNumberFormat="1" applyFont="1" applyFill="1" applyAlignment="1">
      <alignment wrapText="1"/>
    </xf>
    <xf numFmtId="0" fontId="0" fillId="2" borderId="12" xfId="0" applyFill="1" applyBorder="1" applyAlignment="1">
      <alignment horizontal="center"/>
    </xf>
    <xf numFmtId="0" fontId="2" fillId="2" borderId="13" xfId="0" applyFont="1" applyFill="1" applyBorder="1" applyAlignment="1">
      <alignment horizontal="center" wrapText="1"/>
    </xf>
    <xf numFmtId="164" fontId="2" fillId="2" borderId="13" xfId="1" applyNumberFormat="1" applyFont="1" applyFill="1" applyBorder="1" applyAlignment="1">
      <alignment horizontal="center" wrapText="1"/>
    </xf>
    <xf numFmtId="0" fontId="2" fillId="2" borderId="13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2" fillId="2" borderId="4" xfId="0" applyFont="1" applyFill="1" applyBorder="1"/>
    <xf numFmtId="0" fontId="2" fillId="2" borderId="0" xfId="0" applyFont="1" applyFill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4" xfId="0" applyFill="1" applyBorder="1"/>
    <xf numFmtId="164" fontId="0" fillId="2" borderId="0" xfId="1" applyNumberFormat="1" applyFont="1" applyFill="1" applyBorder="1"/>
    <xf numFmtId="164" fontId="0" fillId="2" borderId="0" xfId="1" applyNumberFormat="1" applyFont="1" applyFill="1" applyBorder="1" applyAlignment="1">
      <alignment horizontal="center"/>
    </xf>
    <xf numFmtId="164" fontId="0" fillId="2" borderId="5" xfId="1" applyNumberFormat="1" applyFont="1" applyFill="1" applyBorder="1"/>
    <xf numFmtId="0" fontId="0" fillId="2" borderId="4" xfId="0" applyFill="1" applyBorder="1" applyAlignment="1">
      <alignment horizontal="left"/>
    </xf>
    <xf numFmtId="0" fontId="0" fillId="2" borderId="0" xfId="0" applyFill="1" applyAlignment="1">
      <alignment horizontal="left"/>
    </xf>
    <xf numFmtId="164" fontId="0" fillId="2" borderId="0" xfId="0" applyNumberFormat="1" applyFill="1" applyAlignment="1">
      <alignment horizontal="left"/>
    </xf>
    <xf numFmtId="164" fontId="0" fillId="2" borderId="0" xfId="0" applyNumberFormat="1" applyFill="1"/>
    <xf numFmtId="0" fontId="0" fillId="2" borderId="5" xfId="0" applyFill="1" applyBorder="1"/>
    <xf numFmtId="164" fontId="0" fillId="2" borderId="6" xfId="1" applyNumberFormat="1" applyFont="1" applyFill="1" applyBorder="1"/>
    <xf numFmtId="164" fontId="0" fillId="2" borderId="7" xfId="1" applyNumberFormat="1" applyFont="1" applyFill="1" applyBorder="1"/>
    <xf numFmtId="0" fontId="0" fillId="2" borderId="7" xfId="0" applyFill="1" applyBorder="1"/>
    <xf numFmtId="0" fontId="0" fillId="2" borderId="8" xfId="0" applyFill="1" applyBorder="1"/>
    <xf numFmtId="16" fontId="0" fillId="2" borderId="0" xfId="0" applyNumberFormat="1" applyFill="1"/>
    <xf numFmtId="165" fontId="0" fillId="2" borderId="0" xfId="3" applyNumberFormat="1" applyFont="1" applyFill="1" applyAlignment="1">
      <alignment wrapText="1"/>
    </xf>
    <xf numFmtId="9" fontId="0" fillId="2" borderId="0" xfId="3" applyFont="1" applyFill="1" applyBorder="1"/>
    <xf numFmtId="0" fontId="0" fillId="2" borderId="9" xfId="0" applyFill="1" applyBorder="1" applyAlignment="1">
      <alignment wrapText="1"/>
    </xf>
    <xf numFmtId="0" fontId="0" fillId="2" borderId="1" xfId="0" applyFill="1" applyBorder="1" applyAlignment="1">
      <alignment wrapText="1"/>
    </xf>
    <xf numFmtId="0" fontId="0" fillId="2" borderId="2" xfId="0" applyFill="1" applyBorder="1" applyAlignment="1">
      <alignment wrapText="1"/>
    </xf>
    <xf numFmtId="0" fontId="2" fillId="2" borderId="14" xfId="0" applyFont="1" applyFill="1" applyBorder="1" applyAlignment="1">
      <alignment horizontal="center" wrapText="1"/>
    </xf>
    <xf numFmtId="0" fontId="2" fillId="2" borderId="0" xfId="0" applyFont="1" applyFill="1" applyAlignment="1">
      <alignment horizontal="center" wrapText="1"/>
    </xf>
    <xf numFmtId="0" fontId="2" fillId="2" borderId="5" xfId="0" applyFont="1" applyFill="1" applyBorder="1" applyAlignment="1">
      <alignment horizontal="center" wrapText="1"/>
    </xf>
    <xf numFmtId="43" fontId="0" fillId="2" borderId="0" xfId="1" applyFont="1" applyFill="1" applyBorder="1" applyAlignment="1">
      <alignment wrapText="1"/>
    </xf>
    <xf numFmtId="43" fontId="0" fillId="2" borderId="0" xfId="1" applyFont="1" applyFill="1" applyBorder="1" applyAlignment="1">
      <alignment horizontal="center" wrapText="1"/>
    </xf>
    <xf numFmtId="43" fontId="0" fillId="2" borderId="5" xfId="1" applyFont="1" applyFill="1" applyBorder="1" applyAlignment="1">
      <alignment wrapText="1"/>
    </xf>
    <xf numFmtId="43" fontId="0" fillId="2" borderId="0" xfId="1" applyFont="1" applyFill="1" applyBorder="1" applyAlignment="1">
      <alignment horizontal="left" wrapText="1"/>
    </xf>
    <xf numFmtId="164" fontId="0" fillId="2" borderId="7" xfId="1" applyNumberFormat="1" applyFont="1" applyFill="1" applyBorder="1" applyAlignment="1">
      <alignment wrapText="1"/>
    </xf>
    <xf numFmtId="0" fontId="0" fillId="2" borderId="7" xfId="0" applyFill="1" applyBorder="1" applyAlignment="1">
      <alignment wrapText="1"/>
    </xf>
    <xf numFmtId="0" fontId="0" fillId="2" borderId="8" xfId="0" applyFill="1" applyBorder="1" applyAlignment="1">
      <alignment wrapText="1"/>
    </xf>
    <xf numFmtId="0" fontId="0" fillId="2" borderId="15" xfId="0" applyFill="1" applyBorder="1"/>
    <xf numFmtId="43" fontId="0" fillId="2" borderId="16" xfId="1" applyFont="1" applyFill="1" applyBorder="1" applyAlignment="1">
      <alignment wrapText="1"/>
    </xf>
    <xf numFmtId="43" fontId="2" fillId="2" borderId="0" xfId="1" applyFont="1" applyFill="1" applyBorder="1" applyAlignment="1">
      <alignment wrapText="1"/>
    </xf>
    <xf numFmtId="43" fontId="2" fillId="2" borderId="16" xfId="1" applyFont="1" applyFill="1" applyBorder="1" applyAlignment="1">
      <alignment wrapText="1"/>
    </xf>
    <xf numFmtId="43" fontId="2" fillId="2" borderId="0" xfId="1" applyFont="1" applyFill="1" applyBorder="1" applyAlignment="1">
      <alignment horizontal="left" wrapText="1"/>
    </xf>
    <xf numFmtId="165" fontId="2" fillId="2" borderId="0" xfId="3" applyNumberFormat="1" applyFont="1" applyFill="1" applyBorder="1" applyAlignment="1">
      <alignment wrapText="1"/>
    </xf>
    <xf numFmtId="43" fontId="2" fillId="2" borderId="17" xfId="1" applyFont="1" applyFill="1" applyBorder="1" applyAlignment="1">
      <alignment wrapText="1"/>
    </xf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0" fontId="0" fillId="2" borderId="10" xfId="0" applyFill="1" applyBorder="1" applyAlignment="1">
      <alignment horizontal="center" wrapText="1"/>
    </xf>
    <xf numFmtId="0" fontId="0" fillId="2" borderId="11" xfId="0" applyFill="1" applyBorder="1" applyAlignment="1">
      <alignment horizontal="center" wrapText="1"/>
    </xf>
    <xf numFmtId="0" fontId="5" fillId="2" borderId="0" xfId="0" applyFont="1" applyFill="1" applyAlignment="1">
      <alignment horizontal="center" wrapText="1"/>
    </xf>
    <xf numFmtId="0" fontId="5" fillId="0" borderId="0" xfId="0" applyFont="1" applyAlignment="1">
      <alignment horizontal="center" wrapText="1"/>
    </xf>
    <xf numFmtId="164" fontId="0" fillId="2" borderId="0" xfId="1" applyNumberFormat="1" applyFont="1" applyFill="1" applyBorder="1" applyAlignment="1">
      <alignment wrapText="1"/>
    </xf>
    <xf numFmtId="0" fontId="0" fillId="2" borderId="0" xfId="0" applyFill="1" applyBorder="1" applyAlignment="1">
      <alignment wrapText="1"/>
    </xf>
    <xf numFmtId="0" fontId="5" fillId="2" borderId="0" xfId="0" applyFont="1" applyFill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6" fillId="2" borderId="13" xfId="0" applyFont="1" applyFill="1" applyBorder="1" applyAlignment="1">
      <alignment horizontal="center" wrapText="1"/>
    </xf>
    <xf numFmtId="164" fontId="6" fillId="2" borderId="13" xfId="1" applyNumberFormat="1" applyFont="1" applyFill="1" applyBorder="1" applyAlignment="1">
      <alignment horizontal="center" wrapText="1"/>
    </xf>
    <xf numFmtId="0" fontId="6" fillId="2" borderId="14" xfId="0" applyFont="1" applyFill="1" applyBorder="1" applyAlignment="1">
      <alignment horizontal="center" wrapText="1"/>
    </xf>
    <xf numFmtId="0" fontId="6" fillId="2" borderId="0" xfId="0" applyFont="1" applyFill="1" applyAlignment="1">
      <alignment horizontal="center" wrapText="1"/>
    </xf>
    <xf numFmtId="0" fontId="6" fillId="2" borderId="5" xfId="0" applyFont="1" applyFill="1" applyBorder="1" applyAlignment="1">
      <alignment horizontal="center" wrapText="1"/>
    </xf>
    <xf numFmtId="43" fontId="7" fillId="2" borderId="0" xfId="1" applyFont="1" applyFill="1" applyBorder="1" applyAlignment="1">
      <alignment wrapText="1"/>
    </xf>
    <xf numFmtId="43" fontId="7" fillId="2" borderId="0" xfId="1" applyFont="1" applyFill="1" applyBorder="1" applyAlignment="1">
      <alignment horizontal="center" wrapText="1"/>
    </xf>
    <xf numFmtId="43" fontId="7" fillId="2" borderId="5" xfId="1" applyFont="1" applyFill="1" applyBorder="1" applyAlignment="1">
      <alignment wrapText="1"/>
    </xf>
    <xf numFmtId="43" fontId="7" fillId="2" borderId="0" xfId="1" applyFont="1" applyFill="1" applyBorder="1" applyAlignment="1">
      <alignment horizontal="left" wrapText="1"/>
    </xf>
    <xf numFmtId="43" fontId="6" fillId="2" borderId="0" xfId="1" applyFont="1" applyFill="1" applyBorder="1" applyAlignment="1">
      <alignment wrapText="1"/>
    </xf>
    <xf numFmtId="43" fontId="6" fillId="2" borderId="16" xfId="1" applyFont="1" applyFill="1" applyBorder="1" applyAlignment="1">
      <alignment wrapText="1"/>
    </xf>
    <xf numFmtId="43" fontId="7" fillId="2" borderId="16" xfId="1" applyFont="1" applyFill="1" applyBorder="1" applyAlignment="1">
      <alignment wrapText="1"/>
    </xf>
    <xf numFmtId="43" fontId="6" fillId="2" borderId="0" xfId="1" applyFont="1" applyFill="1" applyBorder="1" applyAlignment="1">
      <alignment horizontal="left" wrapText="1"/>
    </xf>
    <xf numFmtId="43" fontId="6" fillId="2" borderId="17" xfId="1" applyFont="1" applyFill="1" applyBorder="1" applyAlignment="1">
      <alignment wrapText="1"/>
    </xf>
    <xf numFmtId="43" fontId="8" fillId="2" borderId="0" xfId="1" applyFont="1" applyFill="1" applyBorder="1" applyAlignment="1">
      <alignment wrapText="1"/>
    </xf>
    <xf numFmtId="165" fontId="8" fillId="2" borderId="0" xfId="3" applyNumberFormat="1" applyFont="1" applyFill="1" applyBorder="1" applyAlignment="1">
      <alignment wrapText="1"/>
    </xf>
    <xf numFmtId="164" fontId="7" fillId="2" borderId="7" xfId="1" applyNumberFormat="1" applyFont="1" applyFill="1" applyBorder="1" applyAlignment="1">
      <alignment wrapText="1"/>
    </xf>
    <xf numFmtId="0" fontId="7" fillId="2" borderId="7" xfId="0" applyFont="1" applyFill="1" applyBorder="1" applyAlignment="1">
      <alignment wrapText="1"/>
    </xf>
    <xf numFmtId="0" fontId="7" fillId="2" borderId="8" xfId="0" applyFont="1" applyFill="1" applyBorder="1" applyAlignment="1">
      <alignment wrapText="1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</xdr:row>
      <xdr:rowOff>0</xdr:rowOff>
    </xdr:from>
    <xdr:to>
      <xdr:col>6</xdr:col>
      <xdr:colOff>1304067</xdr:colOff>
      <xdr:row>12</xdr:row>
      <xdr:rowOff>9357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4779289-8E93-4811-88A3-3C1AA5E904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952500"/>
          <a:ext cx="6866667" cy="134285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123825</xdr:colOff>
      <xdr:row>0</xdr:row>
      <xdr:rowOff>0</xdr:rowOff>
    </xdr:from>
    <xdr:to>
      <xdr:col>22</xdr:col>
      <xdr:colOff>599217</xdr:colOff>
      <xdr:row>7</xdr:row>
      <xdr:rowOff>9357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76950BB-98AB-48CF-B5A5-EA43888EEA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19550" y="0"/>
          <a:ext cx="6866667" cy="13428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E1AEC-DE5B-4C39-AE10-22EA90380B9E}">
  <dimension ref="B1:X49"/>
  <sheetViews>
    <sheetView tabSelected="1" workbookViewId="0">
      <selection sqref="A1:XFD1048576"/>
    </sheetView>
  </sheetViews>
  <sheetFormatPr defaultRowHeight="15" x14ac:dyDescent="0.25"/>
  <cols>
    <col min="1" max="1" width="9.140625" style="25"/>
    <col min="2" max="2" width="46.85546875" style="25" customWidth="1"/>
    <col min="3" max="3" width="9" style="33" customWidth="1"/>
    <col min="4" max="4" width="9" style="34" customWidth="1"/>
    <col min="5" max="5" width="7.140625" style="33" customWidth="1"/>
    <col min="6" max="20" width="5.85546875" style="33" customWidth="1"/>
    <col min="21" max="16384" width="9.140625" style="25"/>
  </cols>
  <sheetData>
    <row r="1" spans="2:20" x14ac:dyDescent="0.25">
      <c r="B1" s="87" t="s">
        <v>124</v>
      </c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</row>
    <row r="2" spans="2:20" ht="15.75" thickBot="1" x14ac:dyDescent="0.3"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</row>
    <row r="3" spans="2:20" ht="68.25" customHeight="1" thickBot="1" x14ac:dyDescent="0.3">
      <c r="B3" s="35"/>
      <c r="C3" s="89" t="s">
        <v>104</v>
      </c>
      <c r="D3" s="90" t="s">
        <v>103</v>
      </c>
      <c r="E3" s="89" t="s">
        <v>134</v>
      </c>
      <c r="F3" s="89" t="s">
        <v>133</v>
      </c>
      <c r="G3" s="89" t="s">
        <v>132</v>
      </c>
      <c r="H3" s="89" t="s">
        <v>131</v>
      </c>
      <c r="I3" s="89" t="s">
        <v>130</v>
      </c>
      <c r="J3" s="89" t="s">
        <v>129</v>
      </c>
      <c r="K3" s="89" t="s">
        <v>128</v>
      </c>
      <c r="L3" s="89" t="s">
        <v>127</v>
      </c>
      <c r="M3" s="89" t="s">
        <v>126</v>
      </c>
      <c r="N3" s="89" t="s">
        <v>125</v>
      </c>
      <c r="O3" s="89" t="s">
        <v>94</v>
      </c>
      <c r="P3" s="89" t="s">
        <v>95</v>
      </c>
      <c r="Q3" s="89" t="s">
        <v>96</v>
      </c>
      <c r="R3" s="89" t="s">
        <v>97</v>
      </c>
      <c r="S3" s="89" t="s">
        <v>98</v>
      </c>
      <c r="T3" s="91" t="s">
        <v>99</v>
      </c>
    </row>
    <row r="4" spans="2:20" ht="32.25" customHeight="1" x14ac:dyDescent="0.25">
      <c r="B4" s="40" t="s">
        <v>118</v>
      </c>
      <c r="C4" s="92"/>
      <c r="D4" s="92"/>
      <c r="E4" s="92"/>
      <c r="F4" s="92"/>
      <c r="G4" s="92"/>
      <c r="H4" s="92"/>
      <c r="I4" s="92"/>
      <c r="J4" s="92"/>
      <c r="K4" s="92"/>
      <c r="L4" s="92"/>
      <c r="M4" s="92"/>
      <c r="N4" s="92"/>
      <c r="O4" s="92"/>
      <c r="P4" s="92"/>
      <c r="Q4" s="92"/>
      <c r="R4" s="92"/>
      <c r="S4" s="92"/>
      <c r="T4" s="93"/>
    </row>
    <row r="5" spans="2:20" ht="20.25" customHeight="1" x14ac:dyDescent="0.25">
      <c r="B5" s="43" t="s">
        <v>55</v>
      </c>
      <c r="C5" s="94"/>
      <c r="D5" s="94">
        <v>963.24300000000005</v>
      </c>
      <c r="E5" s="95">
        <v>963.24300000000005</v>
      </c>
      <c r="F5" s="94"/>
      <c r="G5" s="94"/>
      <c r="H5" s="94"/>
      <c r="I5" s="94"/>
      <c r="J5" s="94"/>
      <c r="K5" s="94"/>
      <c r="L5" s="94"/>
      <c r="M5" s="94"/>
      <c r="N5" s="94"/>
      <c r="O5" s="94"/>
      <c r="P5" s="94"/>
      <c r="Q5" s="94"/>
      <c r="R5" s="94"/>
      <c r="S5" s="94"/>
      <c r="T5" s="96"/>
    </row>
    <row r="6" spans="2:20" x14ac:dyDescent="0.25">
      <c r="B6" s="47" t="s">
        <v>113</v>
      </c>
      <c r="C6" s="97"/>
      <c r="D6" s="94">
        <v>185.42090228616632</v>
      </c>
      <c r="E6" s="95"/>
      <c r="F6" s="94">
        <v>19.757000000000001</v>
      </c>
      <c r="G6" s="94">
        <v>19.757000000000001</v>
      </c>
      <c r="H6" s="94">
        <v>19.757000000000001</v>
      </c>
      <c r="I6" s="94">
        <v>19.757000000000001</v>
      </c>
      <c r="J6" s="94">
        <v>19.757000000000001</v>
      </c>
      <c r="K6" s="94">
        <v>19.757000000000001</v>
      </c>
      <c r="L6" s="94">
        <v>19.757000000000001</v>
      </c>
      <c r="M6" s="94">
        <v>19.757000000000001</v>
      </c>
      <c r="N6" s="94">
        <v>19.757000000000001</v>
      </c>
      <c r="O6" s="94">
        <v>19.757000000000001</v>
      </c>
      <c r="P6" s="94">
        <v>19.757000000000001</v>
      </c>
      <c r="Q6" s="94">
        <v>19.757000000000001</v>
      </c>
      <c r="R6" s="94"/>
      <c r="S6" s="94"/>
      <c r="T6" s="96"/>
    </row>
    <row r="7" spans="2:20" x14ac:dyDescent="0.25">
      <c r="B7" s="43" t="s">
        <v>108</v>
      </c>
      <c r="C7" s="94"/>
      <c r="D7" s="94">
        <v>25.373000000000001</v>
      </c>
      <c r="E7" s="94"/>
      <c r="F7" s="94"/>
      <c r="G7" s="94"/>
      <c r="H7" s="94"/>
      <c r="I7" s="94"/>
      <c r="J7" s="94"/>
      <c r="K7" s="94"/>
      <c r="L7" s="94"/>
      <c r="M7" s="94">
        <v>7.5</v>
      </c>
      <c r="N7" s="94">
        <v>7.5</v>
      </c>
      <c r="O7" s="94">
        <v>7.5</v>
      </c>
      <c r="P7" s="94">
        <v>7.5</v>
      </c>
      <c r="Q7" s="94">
        <v>7.5</v>
      </c>
      <c r="R7" s="94"/>
      <c r="S7" s="94"/>
      <c r="T7" s="96"/>
    </row>
    <row r="8" spans="2:20" x14ac:dyDescent="0.25">
      <c r="B8" s="43" t="s">
        <v>101</v>
      </c>
      <c r="C8" s="94"/>
      <c r="D8" s="94">
        <v>21.99</v>
      </c>
      <c r="E8" s="94"/>
      <c r="F8" s="94"/>
      <c r="G8" s="94"/>
      <c r="H8" s="94"/>
      <c r="I8" s="94"/>
      <c r="J8" s="94"/>
      <c r="K8" s="94"/>
      <c r="L8" s="94"/>
      <c r="M8" s="94">
        <v>6.5</v>
      </c>
      <c r="N8" s="94">
        <v>6.5</v>
      </c>
      <c r="O8" s="94">
        <v>6.5</v>
      </c>
      <c r="P8" s="94">
        <v>6.5</v>
      </c>
      <c r="Q8" s="94">
        <v>6.5</v>
      </c>
      <c r="R8" s="94"/>
      <c r="S8" s="94"/>
      <c r="T8" s="96"/>
    </row>
    <row r="9" spans="2:20" x14ac:dyDescent="0.25">
      <c r="B9" s="43" t="s">
        <v>115</v>
      </c>
      <c r="C9" s="98"/>
      <c r="D9" s="94">
        <v>37.015999999999998</v>
      </c>
      <c r="E9" s="94"/>
      <c r="F9" s="94"/>
      <c r="G9" s="94"/>
      <c r="H9" s="94"/>
      <c r="I9" s="94"/>
      <c r="J9" s="94"/>
      <c r="K9" s="94"/>
      <c r="L9" s="94"/>
      <c r="M9" s="94"/>
      <c r="N9" s="94">
        <v>27.375</v>
      </c>
      <c r="O9" s="94"/>
      <c r="P9" s="94">
        <v>27.375</v>
      </c>
      <c r="Q9" s="94"/>
      <c r="R9" s="94"/>
      <c r="S9" s="94"/>
      <c r="T9" s="96"/>
    </row>
    <row r="10" spans="2:20" x14ac:dyDescent="0.25">
      <c r="B10" s="72" t="s">
        <v>102</v>
      </c>
      <c r="C10" s="99">
        <v>102.75357519051386</v>
      </c>
      <c r="D10" s="99">
        <v>1233.0429022861663</v>
      </c>
      <c r="E10" s="99">
        <v>963.24300000000005</v>
      </c>
      <c r="F10" s="99">
        <v>19.757000000000001</v>
      </c>
      <c r="G10" s="99">
        <v>19.757000000000001</v>
      </c>
      <c r="H10" s="99">
        <v>19.757000000000001</v>
      </c>
      <c r="I10" s="99">
        <v>19.757000000000001</v>
      </c>
      <c r="J10" s="99">
        <v>19.757000000000001</v>
      </c>
      <c r="K10" s="99">
        <v>19.757000000000001</v>
      </c>
      <c r="L10" s="99">
        <v>19.757000000000001</v>
      </c>
      <c r="M10" s="99">
        <v>33.757000000000005</v>
      </c>
      <c r="N10" s="99">
        <v>61.132000000000005</v>
      </c>
      <c r="O10" s="99">
        <v>33.757000000000005</v>
      </c>
      <c r="P10" s="99">
        <v>61.132000000000005</v>
      </c>
      <c r="Q10" s="99">
        <v>33.757000000000005</v>
      </c>
      <c r="R10" s="99"/>
      <c r="S10" s="100"/>
      <c r="T10" s="96"/>
    </row>
    <row r="11" spans="2:20" x14ac:dyDescent="0.25">
      <c r="B11" s="43"/>
      <c r="C11" s="98"/>
      <c r="D11" s="94"/>
      <c r="E11" s="94"/>
      <c r="F11" s="94"/>
      <c r="G11" s="94"/>
      <c r="H11" s="94"/>
      <c r="I11" s="94"/>
      <c r="J11" s="94"/>
      <c r="K11" s="94"/>
      <c r="L11" s="94"/>
      <c r="M11" s="94"/>
      <c r="N11" s="94"/>
      <c r="O11" s="94"/>
      <c r="P11" s="94"/>
      <c r="Q11" s="94"/>
      <c r="R11" s="94"/>
      <c r="S11" s="94"/>
      <c r="T11" s="96"/>
    </row>
    <row r="12" spans="2:20" ht="29.25" customHeight="1" x14ac:dyDescent="0.25">
      <c r="B12" s="40" t="s">
        <v>119</v>
      </c>
      <c r="C12" s="98"/>
      <c r="D12" s="94"/>
      <c r="E12" s="94"/>
      <c r="F12" s="94"/>
      <c r="G12" s="94"/>
      <c r="H12" s="94"/>
      <c r="I12" s="94"/>
      <c r="J12" s="94"/>
      <c r="K12" s="94"/>
      <c r="L12" s="94"/>
      <c r="M12" s="94"/>
      <c r="N12" s="94"/>
      <c r="O12" s="94"/>
      <c r="P12" s="94"/>
      <c r="Q12" s="94"/>
      <c r="R12" s="94"/>
      <c r="S12" s="94"/>
      <c r="T12" s="96"/>
    </row>
    <row r="13" spans="2:20" x14ac:dyDescent="0.25">
      <c r="B13" s="43" t="s">
        <v>55</v>
      </c>
      <c r="C13" s="98"/>
      <c r="D13" s="94">
        <v>963.24300000000005</v>
      </c>
      <c r="E13" s="95">
        <v>963.24300000000005</v>
      </c>
      <c r="F13" s="94"/>
      <c r="G13" s="94"/>
      <c r="H13" s="94"/>
      <c r="I13" s="94"/>
      <c r="J13" s="94"/>
      <c r="K13" s="94"/>
      <c r="L13" s="94"/>
      <c r="M13" s="94"/>
      <c r="N13" s="94"/>
      <c r="O13" s="94"/>
      <c r="P13" s="94"/>
      <c r="Q13" s="94"/>
      <c r="R13" s="94"/>
      <c r="S13" s="94"/>
      <c r="T13" s="96"/>
    </row>
    <row r="14" spans="2:20" x14ac:dyDescent="0.25">
      <c r="B14" s="47" t="s">
        <v>114</v>
      </c>
      <c r="C14" s="101"/>
      <c r="D14" s="95">
        <v>263.59917659681486</v>
      </c>
      <c r="E14" s="94"/>
      <c r="F14" s="94">
        <v>23.708400000000001</v>
      </c>
      <c r="G14" s="94">
        <v>23.708400000000001</v>
      </c>
      <c r="H14" s="94">
        <v>23.708400000000001</v>
      </c>
      <c r="I14" s="94">
        <v>23.708400000000001</v>
      </c>
      <c r="J14" s="94">
        <v>23.708400000000001</v>
      </c>
      <c r="K14" s="94">
        <v>23.708400000000001</v>
      </c>
      <c r="L14" s="94">
        <v>23.708400000000001</v>
      </c>
      <c r="M14" s="94">
        <v>23.708400000000001</v>
      </c>
      <c r="N14" s="94">
        <v>23.708400000000001</v>
      </c>
      <c r="O14" s="94">
        <v>23.708400000000001</v>
      </c>
      <c r="P14" s="94">
        <v>23.708400000000001</v>
      </c>
      <c r="Q14" s="94">
        <v>23.708400000000001</v>
      </c>
      <c r="R14" s="94">
        <v>23.708400000000001</v>
      </c>
      <c r="S14" s="94">
        <v>23.708400000000001</v>
      </c>
      <c r="T14" s="96">
        <v>23.708400000000001</v>
      </c>
    </row>
    <row r="15" spans="2:20" x14ac:dyDescent="0.25">
      <c r="B15" s="72" t="s">
        <v>102</v>
      </c>
      <c r="C15" s="99">
        <v>81.789478439787658</v>
      </c>
      <c r="D15" s="99">
        <v>1226.8421765968149</v>
      </c>
      <c r="E15" s="99">
        <v>963.24300000000005</v>
      </c>
      <c r="F15" s="99">
        <v>23.708400000000001</v>
      </c>
      <c r="G15" s="99">
        <v>23.708400000000001</v>
      </c>
      <c r="H15" s="99">
        <v>23.708400000000001</v>
      </c>
      <c r="I15" s="99">
        <v>23.708400000000001</v>
      </c>
      <c r="J15" s="99">
        <v>23.708400000000001</v>
      </c>
      <c r="K15" s="99">
        <v>23.708400000000001</v>
      </c>
      <c r="L15" s="99">
        <v>23.708400000000001</v>
      </c>
      <c r="M15" s="99">
        <v>23.708400000000001</v>
      </c>
      <c r="N15" s="99">
        <v>23.708400000000001</v>
      </c>
      <c r="O15" s="99">
        <v>23.708400000000001</v>
      </c>
      <c r="P15" s="99">
        <v>23.708400000000001</v>
      </c>
      <c r="Q15" s="99">
        <v>23.708400000000001</v>
      </c>
      <c r="R15" s="99">
        <v>23.708400000000001</v>
      </c>
      <c r="S15" s="99">
        <v>23.708400000000001</v>
      </c>
      <c r="T15" s="102">
        <v>23.708400000000001</v>
      </c>
    </row>
    <row r="16" spans="2:20" x14ac:dyDescent="0.25">
      <c r="B16" s="43"/>
      <c r="C16" s="98"/>
      <c r="D16" s="94"/>
      <c r="E16" s="94"/>
      <c r="F16" s="94"/>
      <c r="G16" s="94"/>
      <c r="H16" s="94"/>
      <c r="I16" s="94"/>
      <c r="J16" s="94"/>
      <c r="K16" s="94"/>
      <c r="L16" s="94"/>
      <c r="M16" s="94"/>
      <c r="N16" s="94"/>
      <c r="O16" s="94"/>
      <c r="P16" s="94"/>
      <c r="Q16" s="94"/>
      <c r="R16" s="94"/>
      <c r="S16" s="94"/>
      <c r="T16" s="96"/>
    </row>
    <row r="17" spans="2:24" x14ac:dyDescent="0.25">
      <c r="B17" s="43" t="s">
        <v>106</v>
      </c>
      <c r="C17" s="103">
        <v>20.964096750726199</v>
      </c>
      <c r="D17" s="94"/>
      <c r="E17" s="94"/>
      <c r="F17" s="94"/>
      <c r="G17" s="94"/>
      <c r="H17" s="94"/>
      <c r="I17" s="94"/>
      <c r="J17" s="94"/>
      <c r="K17" s="94"/>
      <c r="L17" s="94"/>
      <c r="M17" s="94"/>
      <c r="N17" s="94"/>
      <c r="O17" s="94"/>
      <c r="P17" s="94"/>
      <c r="Q17" s="94"/>
      <c r="R17" s="94"/>
      <c r="S17" s="94"/>
      <c r="T17" s="96"/>
    </row>
    <row r="18" spans="2:24" x14ac:dyDescent="0.25">
      <c r="B18" s="43" t="s">
        <v>107</v>
      </c>
      <c r="C18" s="104">
        <v>0.20402303970306612</v>
      </c>
      <c r="D18" s="94"/>
      <c r="E18" s="94"/>
      <c r="F18" s="94"/>
      <c r="G18" s="94"/>
      <c r="H18" s="94"/>
      <c r="I18" s="94"/>
      <c r="J18" s="94"/>
      <c r="K18" s="94"/>
      <c r="L18" s="94"/>
      <c r="M18" s="94"/>
      <c r="N18" s="94"/>
      <c r="O18" s="94"/>
      <c r="P18" s="94"/>
      <c r="Q18" s="94"/>
      <c r="R18" s="94"/>
      <c r="S18" s="94"/>
      <c r="T18" s="96"/>
    </row>
    <row r="19" spans="2:24" ht="15.75" thickBot="1" x14ac:dyDescent="0.3">
      <c r="B19" s="52"/>
      <c r="C19" s="105"/>
      <c r="D19" s="105"/>
      <c r="E19" s="106"/>
      <c r="F19" s="106"/>
      <c r="G19" s="106"/>
      <c r="H19" s="106"/>
      <c r="I19" s="106"/>
      <c r="J19" s="106"/>
      <c r="K19" s="106"/>
      <c r="L19" s="106"/>
      <c r="M19" s="106"/>
      <c r="N19" s="106"/>
      <c r="O19" s="106"/>
      <c r="P19" s="106"/>
      <c r="Q19" s="106"/>
      <c r="R19" s="106"/>
      <c r="S19" s="106"/>
      <c r="T19" s="107"/>
    </row>
    <row r="20" spans="2:24" x14ac:dyDescent="0.25">
      <c r="B20" s="44"/>
      <c r="C20" s="85"/>
      <c r="D20" s="85"/>
      <c r="E20" s="86"/>
      <c r="F20" s="86"/>
      <c r="G20" s="86"/>
      <c r="H20" s="86"/>
      <c r="I20" s="86"/>
      <c r="J20" s="86"/>
      <c r="K20" s="86"/>
      <c r="L20" s="86"/>
      <c r="M20" s="86"/>
      <c r="N20" s="86"/>
      <c r="O20" s="86"/>
      <c r="P20" s="86"/>
      <c r="Q20" s="86"/>
      <c r="R20" s="86"/>
      <c r="S20" s="86"/>
      <c r="T20" s="86"/>
    </row>
    <row r="22" spans="2:24" x14ac:dyDescent="0.25">
      <c r="B22" s="25" t="s">
        <v>120</v>
      </c>
    </row>
    <row r="23" spans="2:24" s="33" customFormat="1" x14ac:dyDescent="0.25">
      <c r="B23" s="25" t="s">
        <v>135</v>
      </c>
      <c r="D23" s="34"/>
      <c r="U23" s="25"/>
      <c r="V23" s="25"/>
      <c r="W23" s="25"/>
      <c r="X23" s="25"/>
    </row>
    <row r="24" spans="2:24" s="33" customFormat="1" x14ac:dyDescent="0.25">
      <c r="B24" s="25" t="s">
        <v>116</v>
      </c>
      <c r="D24" s="34"/>
      <c r="U24" s="25"/>
      <c r="V24" s="25"/>
      <c r="W24" s="25"/>
      <c r="X24" s="25"/>
    </row>
    <row r="25" spans="2:24" s="33" customFormat="1" x14ac:dyDescent="0.25">
      <c r="B25" s="25" t="s">
        <v>137</v>
      </c>
      <c r="D25" s="34"/>
      <c r="U25" s="25"/>
      <c r="V25" s="25"/>
      <c r="W25" s="25"/>
      <c r="X25" s="25"/>
    </row>
    <row r="26" spans="2:24" s="33" customFormat="1" x14ac:dyDescent="0.25">
      <c r="B26" s="25" t="s">
        <v>138</v>
      </c>
      <c r="D26" s="34"/>
      <c r="U26" s="25"/>
      <c r="V26" s="25"/>
      <c r="W26" s="25"/>
      <c r="X26" s="25"/>
    </row>
    <row r="28" spans="2:24" s="33" customFormat="1" x14ac:dyDescent="0.25">
      <c r="B28" s="25" t="s">
        <v>139</v>
      </c>
      <c r="D28" s="34"/>
      <c r="U28" s="25"/>
      <c r="V28" s="25"/>
      <c r="W28" s="25"/>
      <c r="X28" s="25"/>
    </row>
    <row r="29" spans="2:24" s="33" customFormat="1" x14ac:dyDescent="0.25">
      <c r="B29" s="25" t="s">
        <v>140</v>
      </c>
      <c r="D29" s="34"/>
      <c r="U29" s="25"/>
      <c r="V29" s="25"/>
      <c r="W29" s="25"/>
      <c r="X29" s="25"/>
    </row>
    <row r="30" spans="2:24" s="33" customFormat="1" x14ac:dyDescent="0.25">
      <c r="B30" s="25"/>
      <c r="D30" s="34"/>
      <c r="U30" s="25"/>
      <c r="V30" s="25"/>
      <c r="W30" s="25"/>
      <c r="X30" s="25"/>
    </row>
    <row r="32" spans="2:24" s="33" customFormat="1" x14ac:dyDescent="0.25">
      <c r="D32" s="34"/>
    </row>
    <row r="33" spans="2:4" s="33" customFormat="1" x14ac:dyDescent="0.25">
      <c r="B33" s="33" t="s">
        <v>111</v>
      </c>
      <c r="D33" s="34"/>
    </row>
    <row r="34" spans="2:4" s="33" customFormat="1" ht="30" x14ac:dyDescent="0.25">
      <c r="B34" s="33" t="s">
        <v>112</v>
      </c>
      <c r="C34" s="34">
        <v>7500</v>
      </c>
      <c r="D34" s="34"/>
    </row>
    <row r="35" spans="2:4" s="33" customFormat="1" x14ac:dyDescent="0.25">
      <c r="D35" s="34"/>
    </row>
    <row r="36" spans="2:4" s="33" customFormat="1" x14ac:dyDescent="0.25">
      <c r="B36" s="25" t="s">
        <v>110</v>
      </c>
      <c r="C36" s="33">
        <v>27375</v>
      </c>
      <c r="D36" s="34"/>
    </row>
    <row r="37" spans="2:4" s="33" customFormat="1" x14ac:dyDescent="0.25">
      <c r="D37" s="34"/>
    </row>
    <row r="38" spans="2:4" s="33" customFormat="1" x14ac:dyDescent="0.25">
      <c r="C38" s="57"/>
      <c r="D38" s="34"/>
    </row>
    <row r="39" spans="2:4" s="33" customFormat="1" x14ac:dyDescent="0.25">
      <c r="D39" s="34"/>
    </row>
    <row r="40" spans="2:4" s="33" customFormat="1" x14ac:dyDescent="0.25">
      <c r="D40" s="34"/>
    </row>
    <row r="41" spans="2:4" s="33" customFormat="1" x14ac:dyDescent="0.25">
      <c r="D41" s="34"/>
    </row>
    <row r="42" spans="2:4" s="33" customFormat="1" x14ac:dyDescent="0.25">
      <c r="D42" s="34"/>
    </row>
    <row r="43" spans="2:4" s="33" customFormat="1" x14ac:dyDescent="0.25">
      <c r="D43" s="34"/>
    </row>
    <row r="44" spans="2:4" s="33" customFormat="1" x14ac:dyDescent="0.25">
      <c r="D44" s="34"/>
    </row>
    <row r="45" spans="2:4" s="33" customFormat="1" x14ac:dyDescent="0.25">
      <c r="D45" s="34"/>
    </row>
    <row r="46" spans="2:4" s="33" customFormat="1" x14ac:dyDescent="0.25">
      <c r="D46" s="34"/>
    </row>
    <row r="47" spans="2:4" s="33" customFormat="1" x14ac:dyDescent="0.25">
      <c r="D47" s="34"/>
    </row>
    <row r="48" spans="2:4" s="33" customFormat="1" x14ac:dyDescent="0.25">
      <c r="D48" s="34"/>
    </row>
    <row r="49" spans="4:4" s="33" customFormat="1" x14ac:dyDescent="0.25">
      <c r="D49" s="34"/>
    </row>
  </sheetData>
  <mergeCells count="1">
    <mergeCell ref="B1:T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77FA7-B729-49DA-875D-C93F47CB8EAA}">
  <dimension ref="A4:Z37"/>
  <sheetViews>
    <sheetView workbookViewId="0">
      <selection activeCell="E19" sqref="E19"/>
    </sheetView>
  </sheetViews>
  <sheetFormatPr defaultRowHeight="15" x14ac:dyDescent="0.25"/>
  <cols>
    <col min="4" max="4" width="37.7109375" customWidth="1"/>
    <col min="7" max="7" width="30.7109375" bestFit="1" customWidth="1"/>
    <col min="9" max="9" width="5.42578125" customWidth="1"/>
    <col min="10" max="10" width="24.140625" bestFit="1" customWidth="1"/>
    <col min="12" max="12" width="11.5703125" style="4" bestFit="1" customWidth="1"/>
    <col min="13" max="13" width="9.140625" style="4"/>
    <col min="14" max="25" width="10.5703125" bestFit="1" customWidth="1"/>
  </cols>
  <sheetData>
    <row r="4" spans="1:26" x14ac:dyDescent="0.25">
      <c r="B4" s="1" t="s">
        <v>0</v>
      </c>
      <c r="C4" s="2" t="s">
        <v>1</v>
      </c>
      <c r="D4" t="s">
        <v>2</v>
      </c>
      <c r="N4" t="s">
        <v>3</v>
      </c>
    </row>
    <row r="14" spans="1:26" x14ac:dyDescent="0.25">
      <c r="A14" t="s">
        <v>24</v>
      </c>
    </row>
    <row r="16" spans="1:26" x14ac:dyDescent="0.25">
      <c r="D16" s="1" t="s">
        <v>25</v>
      </c>
      <c r="E16">
        <v>12</v>
      </c>
      <c r="F16" t="s">
        <v>26</v>
      </c>
      <c r="Q16" s="7"/>
      <c r="R16" s="7"/>
      <c r="S16" s="7"/>
      <c r="T16" s="7"/>
      <c r="U16" s="7"/>
      <c r="V16" s="7"/>
      <c r="W16" s="7"/>
      <c r="X16" s="7"/>
      <c r="Y16" s="7"/>
      <c r="Z16" s="7">
        <f t="shared" ref="Z16" si="0">+Z15/1.04^1</f>
        <v>0</v>
      </c>
    </row>
    <row r="17" spans="1:9" x14ac:dyDescent="0.25">
      <c r="D17" s="1"/>
    </row>
    <row r="18" spans="1:9" x14ac:dyDescent="0.25">
      <c r="D18" s="1" t="s">
        <v>27</v>
      </c>
      <c r="E18" s="3">
        <v>0.11</v>
      </c>
    </row>
    <row r="19" spans="1:9" x14ac:dyDescent="0.25">
      <c r="D19" s="1" t="s">
        <v>28</v>
      </c>
      <c r="E19" s="3">
        <v>0.08</v>
      </c>
    </row>
    <row r="20" spans="1:9" x14ac:dyDescent="0.25">
      <c r="D20" s="1" t="s">
        <v>29</v>
      </c>
      <c r="E20" s="3">
        <v>7.0000000000000007E-2</v>
      </c>
    </row>
    <row r="21" spans="1:9" x14ac:dyDescent="0.25">
      <c r="D21" s="1" t="s">
        <v>30</v>
      </c>
      <c r="E21" s="3">
        <v>0.12</v>
      </c>
    </row>
    <row r="22" spans="1:9" x14ac:dyDescent="0.25">
      <c r="D22" s="1"/>
      <c r="E22" s="3"/>
    </row>
    <row r="23" spans="1:9" ht="51.75" customHeight="1" x14ac:dyDescent="0.25">
      <c r="A23" s="79" t="s">
        <v>21</v>
      </c>
      <c r="B23" s="79"/>
      <c r="C23" s="79"/>
      <c r="D23" s="79"/>
      <c r="E23" s="79"/>
      <c r="F23" s="79"/>
      <c r="G23" s="79"/>
    </row>
    <row r="24" spans="1:9" x14ac:dyDescent="0.25">
      <c r="A24" t="s">
        <v>22</v>
      </c>
    </row>
    <row r="25" spans="1:9" x14ac:dyDescent="0.25">
      <c r="A25" t="s">
        <v>23</v>
      </c>
    </row>
    <row r="28" spans="1:9" x14ac:dyDescent="0.25">
      <c r="D28" t="s">
        <v>31</v>
      </c>
      <c r="E28">
        <v>12000</v>
      </c>
      <c r="G28" t="s">
        <v>38</v>
      </c>
      <c r="H28" t="s">
        <v>39</v>
      </c>
      <c r="I28">
        <f>3*E29</f>
        <v>1500</v>
      </c>
    </row>
    <row r="29" spans="1:9" x14ac:dyDescent="0.25">
      <c r="D29" t="s">
        <v>32</v>
      </c>
      <c r="E29">
        <v>500</v>
      </c>
      <c r="G29" t="s">
        <v>37</v>
      </c>
    </row>
    <row r="30" spans="1:9" x14ac:dyDescent="0.25">
      <c r="D30" t="s">
        <v>33</v>
      </c>
      <c r="E30">
        <v>12</v>
      </c>
    </row>
    <row r="31" spans="1:9" x14ac:dyDescent="0.25">
      <c r="D31" t="s">
        <v>34</v>
      </c>
      <c r="E31">
        <v>15</v>
      </c>
    </row>
    <row r="32" spans="1:9" x14ac:dyDescent="0.25">
      <c r="D32" t="s">
        <v>35</v>
      </c>
      <c r="E32">
        <v>3</v>
      </c>
      <c r="G32" t="s">
        <v>41</v>
      </c>
      <c r="H32" s="2" t="s">
        <v>42</v>
      </c>
    </row>
    <row r="33" spans="4:4" x14ac:dyDescent="0.25">
      <c r="D33" t="s">
        <v>36</v>
      </c>
    </row>
    <row r="34" spans="4:4" x14ac:dyDescent="0.25">
      <c r="D34" t="s">
        <v>37</v>
      </c>
    </row>
    <row r="37" spans="4:4" x14ac:dyDescent="0.25">
      <c r="D37" t="s">
        <v>40</v>
      </c>
    </row>
  </sheetData>
  <mergeCells count="1">
    <mergeCell ref="A23:G23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68B034-BA82-405E-A14C-1D6F843A2562}">
  <dimension ref="A1:A22"/>
  <sheetViews>
    <sheetView workbookViewId="0">
      <selection activeCell="A4" sqref="A4"/>
    </sheetView>
  </sheetViews>
  <sheetFormatPr defaultRowHeight="15" x14ac:dyDescent="0.25"/>
  <sheetData>
    <row r="1" spans="1:1" x14ac:dyDescent="0.25">
      <c r="A1" t="s">
        <v>4</v>
      </c>
    </row>
    <row r="2" spans="1:1" x14ac:dyDescent="0.25">
      <c r="A2" t="s">
        <v>5</v>
      </c>
    </row>
    <row r="3" spans="1:1" x14ac:dyDescent="0.25">
      <c r="A3" t="s">
        <v>6</v>
      </c>
    </row>
    <row r="4" spans="1:1" x14ac:dyDescent="0.25">
      <c r="A4" t="s">
        <v>7</v>
      </c>
    </row>
    <row r="5" spans="1:1" x14ac:dyDescent="0.25">
      <c r="A5" t="s">
        <v>8</v>
      </c>
    </row>
    <row r="6" spans="1:1" x14ac:dyDescent="0.25">
      <c r="A6" t="s">
        <v>9</v>
      </c>
    </row>
    <row r="7" spans="1:1" x14ac:dyDescent="0.25">
      <c r="A7" t="s">
        <v>10</v>
      </c>
    </row>
    <row r="8" spans="1:1" x14ac:dyDescent="0.25">
      <c r="A8" t="s">
        <v>11</v>
      </c>
    </row>
    <row r="9" spans="1:1" x14ac:dyDescent="0.25">
      <c r="A9" t="s">
        <v>12</v>
      </c>
    </row>
    <row r="10" spans="1:1" x14ac:dyDescent="0.25">
      <c r="A10" t="s">
        <v>3</v>
      </c>
    </row>
    <row r="11" spans="1:1" x14ac:dyDescent="0.25">
      <c r="A11" t="s">
        <v>13</v>
      </c>
    </row>
    <row r="12" spans="1:1" x14ac:dyDescent="0.25">
      <c r="A12" t="s">
        <v>14</v>
      </c>
    </row>
    <row r="13" spans="1:1" x14ac:dyDescent="0.25">
      <c r="A13" t="s">
        <v>15</v>
      </c>
    </row>
    <row r="14" spans="1:1" x14ac:dyDescent="0.25">
      <c r="A14" t="s">
        <v>16</v>
      </c>
    </row>
    <row r="15" spans="1:1" x14ac:dyDescent="0.25">
      <c r="A15" t="s">
        <v>17</v>
      </c>
    </row>
    <row r="16" spans="1:1" x14ac:dyDescent="0.25">
      <c r="A16" t="s">
        <v>18</v>
      </c>
    </row>
    <row r="17" spans="1:1" x14ac:dyDescent="0.25">
      <c r="A17" t="s">
        <v>19</v>
      </c>
    </row>
    <row r="18" spans="1:1" x14ac:dyDescent="0.25">
      <c r="A18" t="s">
        <v>20</v>
      </c>
    </row>
    <row r="20" spans="1:1" x14ac:dyDescent="0.25">
      <c r="A20" t="s">
        <v>21</v>
      </c>
    </row>
    <row r="21" spans="1:1" x14ac:dyDescent="0.25">
      <c r="A21" t="s">
        <v>22</v>
      </c>
    </row>
    <row r="22" spans="1:1" x14ac:dyDescent="0.25">
      <c r="A22" t="s">
        <v>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875113-8A83-42BF-97B4-897DD55C02F3}">
  <dimension ref="C2:AA45"/>
  <sheetViews>
    <sheetView topLeftCell="K1" workbookViewId="0">
      <selection activeCell="N12" sqref="N12"/>
    </sheetView>
  </sheetViews>
  <sheetFormatPr defaultRowHeight="15" x14ac:dyDescent="0.25"/>
  <cols>
    <col min="3" max="7" width="0" hidden="1" customWidth="1"/>
    <col min="8" max="8" width="10.42578125" hidden="1" customWidth="1"/>
    <col min="9" max="10" width="0" hidden="1" customWidth="1"/>
    <col min="13" max="13" width="12.7109375" customWidth="1"/>
    <col min="15" max="15" width="18.5703125" customWidth="1"/>
    <col min="18" max="18" width="18.140625" customWidth="1"/>
    <col min="19" max="19" width="3" customWidth="1"/>
    <col min="20" max="20" width="18.140625" customWidth="1"/>
    <col min="21" max="21" width="10.5703125" bestFit="1" customWidth="1"/>
    <col min="22" max="22" width="9.140625" customWidth="1"/>
    <col min="23" max="23" width="13.42578125" customWidth="1"/>
    <col min="24" max="24" width="9.5703125" customWidth="1"/>
    <col min="25" max="25" width="10.5703125" customWidth="1"/>
    <col min="26" max="27" width="9.5703125" customWidth="1"/>
    <col min="28" max="31" width="9.140625" customWidth="1"/>
  </cols>
  <sheetData>
    <row r="2" spans="3:23" x14ac:dyDescent="0.25">
      <c r="F2" s="4"/>
      <c r="G2" s="4"/>
    </row>
    <row r="3" spans="3:23" x14ac:dyDescent="0.25">
      <c r="C3" t="s">
        <v>43</v>
      </c>
      <c r="F3" s="4"/>
      <c r="G3" s="4"/>
      <c r="H3" s="4" t="s">
        <v>45</v>
      </c>
    </row>
    <row r="4" spans="3:23" x14ac:dyDescent="0.25">
      <c r="D4" t="s">
        <v>44</v>
      </c>
      <c r="F4" s="4"/>
      <c r="G4" s="4"/>
      <c r="H4" s="5">
        <f>(875986+1050500)/2</f>
        <v>963243</v>
      </c>
    </row>
    <row r="5" spans="3:23" x14ac:dyDescent="0.25">
      <c r="F5" s="5"/>
      <c r="G5" s="4"/>
    </row>
    <row r="6" spans="3:23" x14ac:dyDescent="0.25">
      <c r="D6" t="s">
        <v>46</v>
      </c>
      <c r="E6" s="5">
        <v>19757</v>
      </c>
      <c r="F6" s="4"/>
      <c r="G6" s="4"/>
    </row>
    <row r="7" spans="3:23" x14ac:dyDescent="0.25">
      <c r="D7" t="s">
        <v>47</v>
      </c>
      <c r="E7" s="6" t="s">
        <v>48</v>
      </c>
      <c r="G7" s="4"/>
    </row>
    <row r="8" spans="3:23" x14ac:dyDescent="0.25">
      <c r="D8" t="s">
        <v>49</v>
      </c>
      <c r="F8" s="5"/>
      <c r="G8" s="4"/>
      <c r="H8" s="5">
        <f>19757*(1-(1+0.04)^-12)/0.04</f>
        <v>185420.90228616633</v>
      </c>
    </row>
    <row r="9" spans="3:23" x14ac:dyDescent="0.25">
      <c r="F9" s="4"/>
      <c r="G9" s="4"/>
    </row>
    <row r="10" spans="3:23" s="9" customFormat="1" ht="60" x14ac:dyDescent="0.25">
      <c r="F10" s="17"/>
      <c r="G10" s="18"/>
      <c r="H10" s="19">
        <f>+H4+H8</f>
        <v>1148663.9022861663</v>
      </c>
      <c r="R10" s="20" t="s">
        <v>77</v>
      </c>
      <c r="S10" s="20"/>
      <c r="T10" s="20" t="s">
        <v>78</v>
      </c>
    </row>
    <row r="11" spans="3:23" x14ac:dyDescent="0.25">
      <c r="F11" s="5" t="s">
        <v>50</v>
      </c>
      <c r="G11" s="4"/>
      <c r="H11" s="7">
        <f>+H10/12</f>
        <v>95721.991857180532</v>
      </c>
      <c r="I11" s="7"/>
      <c r="J11" s="7"/>
      <c r="M11" t="s">
        <v>55</v>
      </c>
      <c r="R11" s="10"/>
      <c r="T11" s="7"/>
      <c r="U11" s="13"/>
    </row>
    <row r="12" spans="3:23" x14ac:dyDescent="0.25">
      <c r="F12" s="5"/>
      <c r="G12" s="4"/>
      <c r="N12" t="s">
        <v>44</v>
      </c>
      <c r="R12" s="5">
        <f>(875986+1050500)/2</f>
        <v>963243</v>
      </c>
      <c r="T12" s="7">
        <f>+R12</f>
        <v>963243</v>
      </c>
      <c r="V12">
        <f>+R12/12</f>
        <v>80270.25</v>
      </c>
      <c r="W12">
        <f>+T12/15</f>
        <v>64216.2</v>
      </c>
    </row>
    <row r="13" spans="3:23" x14ac:dyDescent="0.25">
      <c r="F13" s="5"/>
      <c r="G13" s="4"/>
      <c r="R13" s="7"/>
      <c r="T13" s="7"/>
    </row>
    <row r="14" spans="3:23" x14ac:dyDescent="0.25">
      <c r="D14" t="s">
        <v>51</v>
      </c>
      <c r="E14">
        <v>6000</v>
      </c>
      <c r="F14" s="5"/>
      <c r="G14" s="4"/>
      <c r="R14" s="7"/>
      <c r="T14" s="7"/>
    </row>
    <row r="15" spans="3:23" x14ac:dyDescent="0.25">
      <c r="D15" t="s">
        <v>52</v>
      </c>
      <c r="F15" s="5"/>
      <c r="G15" s="4"/>
      <c r="M15" t="s">
        <v>56</v>
      </c>
      <c r="R15" s="7"/>
      <c r="T15" s="7"/>
    </row>
    <row r="16" spans="3:23" x14ac:dyDescent="0.25">
      <c r="D16" t="s">
        <v>53</v>
      </c>
      <c r="F16" s="5"/>
      <c r="G16" s="4"/>
      <c r="N16" s="11" t="s">
        <v>57</v>
      </c>
      <c r="R16" s="12">
        <f>19757*(1-(1+0.04)^-12)/0.04</f>
        <v>185420.90228616633</v>
      </c>
      <c r="T16" s="7"/>
      <c r="U16" s="8">
        <f>+T19-R16</f>
        <v>78178.274310648558</v>
      </c>
    </row>
    <row r="17" spans="4:27" x14ac:dyDescent="0.25">
      <c r="D17" t="s">
        <v>54</v>
      </c>
      <c r="F17" s="4"/>
      <c r="G17" s="4"/>
      <c r="R17" s="7"/>
      <c r="T17" s="7"/>
    </row>
    <row r="18" spans="4:27" x14ac:dyDescent="0.25">
      <c r="F18" s="4"/>
      <c r="G18" s="4"/>
      <c r="M18" t="s">
        <v>60</v>
      </c>
      <c r="R18" s="7"/>
      <c r="T18" s="7"/>
    </row>
    <row r="19" spans="4:27" x14ac:dyDescent="0.25">
      <c r="N19" s="11" t="s">
        <v>61</v>
      </c>
      <c r="R19" s="7"/>
      <c r="T19" s="12">
        <f>(19757*1.2)*(1-(1+0.04)^-15)/0.04</f>
        <v>263599.17659681488</v>
      </c>
      <c r="U19" s="8"/>
      <c r="V19" s="8"/>
    </row>
    <row r="20" spans="4:27" x14ac:dyDescent="0.25">
      <c r="R20" s="7"/>
      <c r="T20" s="7"/>
      <c r="U20" s="15"/>
      <c r="V20" s="13"/>
    </row>
    <row r="21" spans="4:27" x14ac:dyDescent="0.25">
      <c r="M21" t="s">
        <v>62</v>
      </c>
      <c r="R21" s="7"/>
      <c r="T21" s="7"/>
      <c r="W21" t="s">
        <v>67</v>
      </c>
      <c r="X21" t="s">
        <v>68</v>
      </c>
      <c r="Y21" t="s">
        <v>69</v>
      </c>
      <c r="Z21" t="s">
        <v>70</v>
      </c>
      <c r="AA21" t="s">
        <v>71</v>
      </c>
    </row>
    <row r="22" spans="4:27" ht="15.75" thickBot="1" x14ac:dyDescent="0.3">
      <c r="N22" t="s">
        <v>79</v>
      </c>
      <c r="R22" s="7"/>
      <c r="T22" s="7"/>
    </row>
    <row r="23" spans="4:27" x14ac:dyDescent="0.25">
      <c r="M23" s="16"/>
      <c r="N23" t="s">
        <v>64</v>
      </c>
      <c r="R23" s="22">
        <f>6000*5</f>
        <v>30000</v>
      </c>
      <c r="T23" s="7">
        <v>0</v>
      </c>
      <c r="W23">
        <v>6000</v>
      </c>
      <c r="X23">
        <v>6000</v>
      </c>
      <c r="Y23">
        <v>6000</v>
      </c>
      <c r="Z23">
        <v>6000</v>
      </c>
      <c r="AA23">
        <v>6000</v>
      </c>
    </row>
    <row r="24" spans="4:27" x14ac:dyDescent="0.25">
      <c r="M24" s="16"/>
      <c r="N24" t="s">
        <v>65</v>
      </c>
      <c r="R24" s="23">
        <f>SUM(W24:AA24)</f>
        <v>20298.114543299678</v>
      </c>
      <c r="T24" s="7">
        <v>0</v>
      </c>
      <c r="W24" s="7">
        <f>+W23/(1.04)^8</f>
        <v>4384.1412300119027</v>
      </c>
      <c r="X24" s="7">
        <f>+X23/(1.04)^9</f>
        <v>4215.5204134729829</v>
      </c>
      <c r="Y24" s="7">
        <f>+Y23/(1.04)^10</f>
        <v>4053.3850129547914</v>
      </c>
      <c r="Z24" s="7">
        <f>+Z23/(1.04)^11</f>
        <v>3897.4855893796075</v>
      </c>
      <c r="AA24" s="7">
        <f>+AA23/(1.04)^12</f>
        <v>3747.5822974803909</v>
      </c>
    </row>
    <row r="25" spans="4:27" ht="15.75" thickBot="1" x14ac:dyDescent="0.3">
      <c r="M25" s="16"/>
      <c r="N25" t="s">
        <v>66</v>
      </c>
      <c r="R25" s="24">
        <f>SUM(W25:AA25)</f>
        <v>31075.951765986734</v>
      </c>
      <c r="T25" s="7">
        <v>0</v>
      </c>
      <c r="W25" s="7"/>
      <c r="X25" s="7"/>
      <c r="Y25" s="7">
        <f>46000/(1.04)^10</f>
        <v>31075.951765986734</v>
      </c>
      <c r="Z25" s="7"/>
      <c r="AA25" s="7"/>
    </row>
    <row r="26" spans="4:27" x14ac:dyDescent="0.25">
      <c r="R26" s="7"/>
      <c r="T26" s="7"/>
      <c r="V26" s="7">
        <f>+R12*0.25</f>
        <v>240810.75</v>
      </c>
      <c r="W26" s="7"/>
    </row>
    <row r="27" spans="4:27" x14ac:dyDescent="0.25">
      <c r="R27" s="7"/>
      <c r="T27" s="7"/>
      <c r="W27" s="7"/>
    </row>
    <row r="28" spans="4:27" x14ac:dyDescent="0.25">
      <c r="R28" s="7"/>
      <c r="T28" s="7"/>
    </row>
    <row r="29" spans="4:27" x14ac:dyDescent="0.25">
      <c r="O29" t="s">
        <v>74</v>
      </c>
      <c r="R29" s="7">
        <f>SUM(R11:R28)</f>
        <v>1230037.9685954526</v>
      </c>
      <c r="T29" s="7">
        <f>SUM(T11:T28)</f>
        <v>1226842.1765968148</v>
      </c>
      <c r="U29" s="8"/>
    </row>
    <row r="30" spans="4:27" x14ac:dyDescent="0.25">
      <c r="O30" t="s">
        <v>75</v>
      </c>
      <c r="R30" s="7">
        <f>+R29/12</f>
        <v>102503.16404962105</v>
      </c>
      <c r="T30" s="7">
        <f>+T29/15</f>
        <v>81789.47843978765</v>
      </c>
      <c r="U30" s="14"/>
    </row>
    <row r="31" spans="4:27" x14ac:dyDescent="0.25">
      <c r="T31" s="8">
        <f>+R30-T30</f>
        <v>20713.685609833396</v>
      </c>
    </row>
    <row r="32" spans="4:27" x14ac:dyDescent="0.25">
      <c r="T32" s="21">
        <f>+T31/R30</f>
        <v>0.20207849974080849</v>
      </c>
    </row>
    <row r="34" spans="12:12" x14ac:dyDescent="0.25">
      <c r="L34" t="s">
        <v>76</v>
      </c>
    </row>
    <row r="35" spans="12:12" x14ac:dyDescent="0.25">
      <c r="L35" t="s">
        <v>58</v>
      </c>
    </row>
    <row r="36" spans="12:12" x14ac:dyDescent="0.25">
      <c r="L36" t="s">
        <v>59</v>
      </c>
    </row>
    <row r="37" spans="12:12" x14ac:dyDescent="0.25">
      <c r="L37" t="s">
        <v>80</v>
      </c>
    </row>
    <row r="39" spans="12:12" x14ac:dyDescent="0.25">
      <c r="L39" t="s">
        <v>81</v>
      </c>
    </row>
    <row r="40" spans="12:12" x14ac:dyDescent="0.25">
      <c r="L40" s="14" t="s">
        <v>82</v>
      </c>
    </row>
    <row r="42" spans="12:12" x14ac:dyDescent="0.25">
      <c r="L42" t="s">
        <v>83</v>
      </c>
    </row>
    <row r="43" spans="12:12" x14ac:dyDescent="0.25">
      <c r="L43" t="s">
        <v>63</v>
      </c>
    </row>
    <row r="44" spans="12:12" x14ac:dyDescent="0.25">
      <c r="L44" t="s">
        <v>72</v>
      </c>
    </row>
    <row r="45" spans="12:12" x14ac:dyDescent="0.25">
      <c r="L45" t="s">
        <v>73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B6C6C-B4EB-4A24-82DF-1BAF7F4B6BE0}">
  <dimension ref="B2:X62"/>
  <sheetViews>
    <sheetView topLeftCell="A14" zoomScaleNormal="100" workbookViewId="0">
      <selection activeCell="B33" sqref="B33"/>
    </sheetView>
  </sheetViews>
  <sheetFormatPr defaultRowHeight="15" x14ac:dyDescent="0.25"/>
  <cols>
    <col min="1" max="1" width="9.140625" style="25"/>
    <col min="2" max="2" width="46.85546875" style="25" customWidth="1"/>
    <col min="3" max="3" width="15.5703125" style="25" customWidth="1"/>
    <col min="4" max="4" width="15.5703125" style="26" customWidth="1"/>
    <col min="5" max="20" width="8.7109375" style="25" customWidth="1"/>
    <col min="21" max="16384" width="9.140625" style="25"/>
  </cols>
  <sheetData>
    <row r="2" spans="2:24" x14ac:dyDescent="0.25">
      <c r="B2" s="80"/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79"/>
      <c r="T2" s="79"/>
    </row>
    <row r="3" spans="2:24" x14ac:dyDescent="0.25">
      <c r="B3" s="79"/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  <c r="R3" s="79"/>
      <c r="S3" s="79"/>
      <c r="T3" s="79"/>
    </row>
    <row r="4" spans="2:24" hidden="1" x14ac:dyDescent="0.25"/>
    <row r="5" spans="2:24" hidden="1" x14ac:dyDescent="0.25"/>
    <row r="6" spans="2:24" s="27" customFormat="1" ht="15.75" hidden="1" thickBot="1" x14ac:dyDescent="0.3">
      <c r="B6" s="28"/>
      <c r="C6" s="28" t="s">
        <v>50</v>
      </c>
      <c r="D6" s="29" t="s">
        <v>100</v>
      </c>
      <c r="E6" s="81" t="s">
        <v>84</v>
      </c>
      <c r="F6" s="82"/>
      <c r="G6" s="82" t="s">
        <v>85</v>
      </c>
      <c r="H6" s="82"/>
      <c r="I6" s="82" t="s">
        <v>86</v>
      </c>
      <c r="J6" s="82"/>
      <c r="K6" s="82" t="s">
        <v>87</v>
      </c>
      <c r="L6" s="82"/>
      <c r="M6" s="82" t="s">
        <v>88</v>
      </c>
      <c r="N6" s="82"/>
      <c r="O6" s="82" t="s">
        <v>89</v>
      </c>
      <c r="P6" s="82"/>
      <c r="Q6" s="82" t="s">
        <v>90</v>
      </c>
      <c r="R6" s="82"/>
      <c r="S6" s="82" t="s">
        <v>91</v>
      </c>
      <c r="T6" s="82"/>
      <c r="U6" s="82" t="s">
        <v>92</v>
      </c>
      <c r="V6" s="82"/>
      <c r="W6" s="82" t="s">
        <v>93</v>
      </c>
      <c r="X6" s="82"/>
    </row>
    <row r="7" spans="2:24" hidden="1" x14ac:dyDescent="0.25">
      <c r="E7" s="30"/>
      <c r="F7" s="31"/>
      <c r="H7" s="31"/>
      <c r="J7" s="31"/>
      <c r="L7" s="31"/>
      <c r="N7" s="31"/>
      <c r="P7" s="31"/>
      <c r="R7" s="31"/>
      <c r="T7" s="31"/>
      <c r="V7" s="31"/>
      <c r="X7" s="31"/>
    </row>
    <row r="8" spans="2:24" hidden="1" x14ac:dyDescent="0.25">
      <c r="E8" s="30"/>
      <c r="F8" s="32"/>
      <c r="H8" s="32"/>
      <c r="J8" s="32"/>
      <c r="L8" s="32"/>
      <c r="N8" s="32"/>
      <c r="P8" s="32"/>
      <c r="R8" s="32"/>
      <c r="T8" s="32"/>
      <c r="V8" s="32"/>
      <c r="X8" s="32"/>
    </row>
    <row r="9" spans="2:24" hidden="1" x14ac:dyDescent="0.25">
      <c r="E9" s="30"/>
      <c r="F9" s="32"/>
      <c r="H9" s="32"/>
      <c r="J9" s="32"/>
      <c r="L9" s="32"/>
      <c r="N9" s="32"/>
      <c r="P9" s="32"/>
      <c r="R9" s="32"/>
      <c r="T9" s="32"/>
      <c r="V9" s="32"/>
      <c r="X9" s="32"/>
    </row>
    <row r="10" spans="2:24" hidden="1" x14ac:dyDescent="0.25"/>
    <row r="11" spans="2:24" ht="15.75" thickBot="1" x14ac:dyDescent="0.3">
      <c r="C11" s="33"/>
      <c r="D11" s="34"/>
    </row>
    <row r="12" spans="2:24" ht="33.75" customHeight="1" thickBot="1" x14ac:dyDescent="0.3">
      <c r="B12" s="35"/>
      <c r="C12" s="36" t="s">
        <v>104</v>
      </c>
      <c r="D12" s="37" t="s">
        <v>105</v>
      </c>
      <c r="E12" s="38" t="s">
        <v>84</v>
      </c>
      <c r="F12" s="38" t="s">
        <v>85</v>
      </c>
      <c r="G12" s="38" t="s">
        <v>86</v>
      </c>
      <c r="H12" s="38" t="s">
        <v>87</v>
      </c>
      <c r="I12" s="38" t="s">
        <v>88</v>
      </c>
      <c r="J12" s="38" t="s">
        <v>89</v>
      </c>
      <c r="K12" s="38" t="s">
        <v>90</v>
      </c>
      <c r="L12" s="38" t="s">
        <v>91</v>
      </c>
      <c r="M12" s="38" t="s">
        <v>92</v>
      </c>
      <c r="N12" s="38" t="s">
        <v>93</v>
      </c>
      <c r="O12" s="38" t="s">
        <v>94</v>
      </c>
      <c r="P12" s="38" t="s">
        <v>95</v>
      </c>
      <c r="Q12" s="38" t="s">
        <v>96</v>
      </c>
      <c r="R12" s="38" t="s">
        <v>97</v>
      </c>
      <c r="S12" s="38" t="s">
        <v>98</v>
      </c>
      <c r="T12" s="39" t="s">
        <v>99</v>
      </c>
    </row>
    <row r="13" spans="2:24" ht="32.25" customHeight="1" x14ac:dyDescent="0.25">
      <c r="B13" s="40" t="s">
        <v>118</v>
      </c>
      <c r="C13" s="41" t="s">
        <v>117</v>
      </c>
      <c r="D13" s="41" t="s">
        <v>117</v>
      </c>
      <c r="E13" s="41" t="s">
        <v>117</v>
      </c>
      <c r="F13" s="41" t="s">
        <v>117</v>
      </c>
      <c r="G13" s="41" t="s">
        <v>117</v>
      </c>
      <c r="H13" s="41" t="s">
        <v>117</v>
      </c>
      <c r="I13" s="41" t="s">
        <v>117</v>
      </c>
      <c r="J13" s="41" t="s">
        <v>117</v>
      </c>
      <c r="K13" s="41" t="s">
        <v>117</v>
      </c>
      <c r="L13" s="41" t="s">
        <v>117</v>
      </c>
      <c r="M13" s="41" t="s">
        <v>117</v>
      </c>
      <c r="N13" s="41" t="s">
        <v>117</v>
      </c>
      <c r="O13" s="41" t="s">
        <v>117</v>
      </c>
      <c r="P13" s="41" t="s">
        <v>117</v>
      </c>
      <c r="Q13" s="41" t="s">
        <v>117</v>
      </c>
      <c r="R13" s="41" t="s">
        <v>117</v>
      </c>
      <c r="S13" s="41" t="s">
        <v>117</v>
      </c>
      <c r="T13" s="42" t="s">
        <v>117</v>
      </c>
    </row>
    <row r="14" spans="2:24" ht="20.25" customHeight="1" x14ac:dyDescent="0.25">
      <c r="B14" s="43" t="s">
        <v>55</v>
      </c>
      <c r="D14" s="44">
        <f>+E14</f>
        <v>963243</v>
      </c>
      <c r="E14" s="45">
        <f>(875986+1050500)/2</f>
        <v>963243</v>
      </c>
      <c r="F14" s="44"/>
      <c r="G14" s="44"/>
      <c r="H14" s="44"/>
      <c r="I14" s="44"/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6"/>
    </row>
    <row r="15" spans="2:24" x14ac:dyDescent="0.25">
      <c r="B15" s="47" t="s">
        <v>113</v>
      </c>
      <c r="C15" s="48"/>
      <c r="D15" s="45">
        <f>19757*(1-(1+0.04)^-12)/0.04</f>
        <v>185420.90228616633</v>
      </c>
      <c r="E15" s="45"/>
      <c r="F15" s="44">
        <v>19757</v>
      </c>
      <c r="G15" s="44">
        <v>19757</v>
      </c>
      <c r="H15" s="44">
        <v>19757</v>
      </c>
      <c r="I15" s="44">
        <v>19757</v>
      </c>
      <c r="J15" s="44">
        <v>19757</v>
      </c>
      <c r="K15" s="44">
        <v>19757</v>
      </c>
      <c r="L15" s="44">
        <v>19757</v>
      </c>
      <c r="M15" s="44">
        <v>19757</v>
      </c>
      <c r="N15" s="44">
        <v>19757</v>
      </c>
      <c r="O15" s="44">
        <v>19757</v>
      </c>
      <c r="P15" s="44">
        <v>19757</v>
      </c>
      <c r="Q15" s="44">
        <v>19757</v>
      </c>
      <c r="R15" s="44"/>
      <c r="S15" s="44"/>
      <c r="T15" s="46"/>
    </row>
    <row r="16" spans="2:24" x14ac:dyDescent="0.25">
      <c r="B16" s="43" t="s">
        <v>108</v>
      </c>
      <c r="D16" s="44">
        <v>25373</v>
      </c>
      <c r="E16" s="44"/>
      <c r="F16" s="44"/>
      <c r="G16" s="44"/>
      <c r="H16" s="44"/>
      <c r="I16" s="44"/>
      <c r="J16" s="44"/>
      <c r="K16" s="44"/>
      <c r="L16" s="44"/>
      <c r="M16" s="44">
        <v>7500</v>
      </c>
      <c r="N16" s="44">
        <v>7500</v>
      </c>
      <c r="O16" s="44">
        <v>7500</v>
      </c>
      <c r="P16" s="44">
        <v>7500</v>
      </c>
      <c r="Q16" s="44">
        <v>7500</v>
      </c>
      <c r="R16" s="44"/>
      <c r="S16" s="44"/>
      <c r="T16" s="46"/>
    </row>
    <row r="17" spans="2:20" x14ac:dyDescent="0.25">
      <c r="B17" s="43" t="s">
        <v>101</v>
      </c>
      <c r="D17" s="44">
        <v>21990</v>
      </c>
      <c r="E17" s="44"/>
      <c r="F17" s="44"/>
      <c r="G17" s="44"/>
      <c r="H17" s="44"/>
      <c r="I17" s="44"/>
      <c r="J17" s="44"/>
      <c r="K17" s="44"/>
      <c r="L17" s="44"/>
      <c r="M17" s="44">
        <v>6500</v>
      </c>
      <c r="N17" s="44">
        <v>6500</v>
      </c>
      <c r="O17" s="44">
        <v>6500</v>
      </c>
      <c r="P17" s="44">
        <v>6500</v>
      </c>
      <c r="Q17" s="44">
        <v>6500</v>
      </c>
      <c r="R17" s="44"/>
      <c r="S17" s="44"/>
      <c r="T17" s="46"/>
    </row>
    <row r="18" spans="2:20" x14ac:dyDescent="0.25">
      <c r="B18" s="43" t="s">
        <v>115</v>
      </c>
      <c r="D18" s="44">
        <v>37016</v>
      </c>
      <c r="E18" s="44"/>
      <c r="F18" s="44"/>
      <c r="G18" s="44"/>
      <c r="H18" s="44"/>
      <c r="I18" s="44"/>
      <c r="J18" s="44"/>
      <c r="K18" s="44"/>
      <c r="L18" s="44"/>
      <c r="M18" s="44"/>
      <c r="N18" s="44">
        <v>27375</v>
      </c>
      <c r="O18" s="44"/>
      <c r="P18" s="44">
        <v>27375</v>
      </c>
      <c r="Q18" s="44"/>
      <c r="R18" s="44"/>
      <c r="S18" s="44"/>
      <c r="T18" s="46"/>
    </row>
    <row r="19" spans="2:20" x14ac:dyDescent="0.25">
      <c r="B19" s="43" t="s">
        <v>102</v>
      </c>
      <c r="C19" s="44">
        <f>+D19/12</f>
        <v>102753.57519051386</v>
      </c>
      <c r="D19" s="44">
        <f>SUM(D14:D18)</f>
        <v>1233042.9022861663</v>
      </c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6"/>
    </row>
    <row r="20" spans="2:20" x14ac:dyDescent="0.25">
      <c r="B20" s="43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6"/>
    </row>
    <row r="21" spans="2:20" ht="29.25" customHeight="1" x14ac:dyDescent="0.25">
      <c r="B21" s="40" t="s">
        <v>119</v>
      </c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4"/>
      <c r="P21" s="44"/>
      <c r="Q21" s="44"/>
      <c r="R21" s="44"/>
      <c r="S21" s="44"/>
      <c r="T21" s="46"/>
    </row>
    <row r="22" spans="2:20" x14ac:dyDescent="0.25">
      <c r="B22" s="43" t="s">
        <v>55</v>
      </c>
      <c r="D22" s="44">
        <f>+E22</f>
        <v>963243</v>
      </c>
      <c r="E22" s="45">
        <f>(875986+1050500)/2</f>
        <v>963243</v>
      </c>
      <c r="F22" s="44"/>
      <c r="G22" s="44"/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6"/>
    </row>
    <row r="23" spans="2:20" x14ac:dyDescent="0.25">
      <c r="B23" s="47" t="s">
        <v>114</v>
      </c>
      <c r="C23" s="49"/>
      <c r="D23" s="45">
        <f>(19757*1.2)*(1-(1+0.04)^-15)/0.04</f>
        <v>263599.17659681488</v>
      </c>
      <c r="E23" s="44"/>
      <c r="F23" s="44">
        <f>+F15*1.2</f>
        <v>23708.399999999998</v>
      </c>
      <c r="G23" s="44">
        <f t="shared" ref="G23:Q23" si="0">+G15*1.2</f>
        <v>23708.399999999998</v>
      </c>
      <c r="H23" s="44">
        <f t="shared" si="0"/>
        <v>23708.399999999998</v>
      </c>
      <c r="I23" s="44">
        <f t="shared" si="0"/>
        <v>23708.399999999998</v>
      </c>
      <c r="J23" s="44">
        <f t="shared" si="0"/>
        <v>23708.399999999998</v>
      </c>
      <c r="K23" s="44">
        <f t="shared" si="0"/>
        <v>23708.399999999998</v>
      </c>
      <c r="L23" s="44">
        <f t="shared" si="0"/>
        <v>23708.399999999998</v>
      </c>
      <c r="M23" s="44">
        <f t="shared" si="0"/>
        <v>23708.399999999998</v>
      </c>
      <c r="N23" s="44">
        <f t="shared" si="0"/>
        <v>23708.399999999998</v>
      </c>
      <c r="O23" s="44">
        <f t="shared" si="0"/>
        <v>23708.399999999998</v>
      </c>
      <c r="P23" s="44">
        <f t="shared" si="0"/>
        <v>23708.399999999998</v>
      </c>
      <c r="Q23" s="44">
        <f t="shared" si="0"/>
        <v>23708.399999999998</v>
      </c>
      <c r="R23" s="44">
        <f>+Q23</f>
        <v>23708.399999999998</v>
      </c>
      <c r="S23" s="44">
        <f>+R23</f>
        <v>23708.399999999998</v>
      </c>
      <c r="T23" s="46">
        <f>+S23</f>
        <v>23708.399999999998</v>
      </c>
    </row>
    <row r="24" spans="2:20" x14ac:dyDescent="0.25">
      <c r="B24" s="43"/>
      <c r="C24" s="44">
        <f>+D24/15</f>
        <v>81789.47843978765</v>
      </c>
      <c r="D24" s="44">
        <f>+D22+D23</f>
        <v>1226842.1765968148</v>
      </c>
      <c r="F24" s="44"/>
      <c r="G24" s="44"/>
      <c r="H24" s="44"/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6"/>
    </row>
    <row r="25" spans="2:20" x14ac:dyDescent="0.25">
      <c r="B25" s="43"/>
      <c r="C25" s="44"/>
      <c r="D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6"/>
    </row>
    <row r="26" spans="2:20" x14ac:dyDescent="0.25">
      <c r="B26" s="43" t="s">
        <v>106</v>
      </c>
      <c r="C26" s="50">
        <f>+C19-C24</f>
        <v>20964.09675072621</v>
      </c>
      <c r="D26" s="44"/>
      <c r="T26" s="51"/>
    </row>
    <row r="27" spans="2:20" x14ac:dyDescent="0.25">
      <c r="B27" s="43" t="s">
        <v>107</v>
      </c>
      <c r="C27" s="58">
        <f>+C26/C19</f>
        <v>0.20402303970306623</v>
      </c>
      <c r="D27" s="44"/>
      <c r="T27" s="51"/>
    </row>
    <row r="28" spans="2:20" ht="15.75" thickBot="1" x14ac:dyDescent="0.3">
      <c r="B28" s="52"/>
      <c r="C28" s="53"/>
      <c r="D28" s="53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5"/>
    </row>
    <row r="30" spans="2:20" ht="30.75" customHeight="1" x14ac:dyDescent="0.25"/>
    <row r="31" spans="2:20" x14ac:dyDescent="0.25">
      <c r="B31" s="25" t="s">
        <v>76</v>
      </c>
    </row>
    <row r="32" spans="2:20" x14ac:dyDescent="0.25">
      <c r="B32" s="25" t="s">
        <v>120</v>
      </c>
    </row>
    <row r="33" spans="2:4" x14ac:dyDescent="0.25">
      <c r="B33" s="25" t="s">
        <v>116</v>
      </c>
    </row>
    <row r="34" spans="2:4" x14ac:dyDescent="0.25">
      <c r="B34" s="25" t="s">
        <v>59</v>
      </c>
    </row>
    <row r="35" spans="2:4" x14ac:dyDescent="0.25">
      <c r="B35" s="25" t="s">
        <v>121</v>
      </c>
    </row>
    <row r="37" spans="2:4" x14ac:dyDescent="0.25">
      <c r="B37" s="25" t="s">
        <v>81</v>
      </c>
    </row>
    <row r="38" spans="2:4" x14ac:dyDescent="0.25">
      <c r="B38" s="56" t="s">
        <v>122</v>
      </c>
    </row>
    <row r="40" spans="2:4" x14ac:dyDescent="0.25">
      <c r="B40" s="25" t="s">
        <v>83</v>
      </c>
    </row>
    <row r="41" spans="2:4" x14ac:dyDescent="0.25">
      <c r="B41" s="25" t="s">
        <v>109</v>
      </c>
    </row>
    <row r="42" spans="2:4" x14ac:dyDescent="0.25">
      <c r="B42" s="25" t="s">
        <v>123</v>
      </c>
    </row>
    <row r="43" spans="2:4" x14ac:dyDescent="0.25">
      <c r="B43" s="25" t="s">
        <v>110</v>
      </c>
    </row>
    <row r="45" spans="2:4" s="33" customFormat="1" x14ac:dyDescent="0.25">
      <c r="D45" s="34"/>
    </row>
    <row r="46" spans="2:4" s="33" customFormat="1" x14ac:dyDescent="0.25">
      <c r="B46" s="33" t="s">
        <v>111</v>
      </c>
      <c r="D46" s="34"/>
    </row>
    <row r="47" spans="2:4" s="33" customFormat="1" ht="30" x14ac:dyDescent="0.25">
      <c r="B47" s="33" t="s">
        <v>112</v>
      </c>
      <c r="C47" s="34">
        <f>200*25*1.5</f>
        <v>7500</v>
      </c>
      <c r="D47" s="34"/>
    </row>
    <row r="48" spans="2:4" s="33" customFormat="1" x14ac:dyDescent="0.25">
      <c r="D48" s="34"/>
    </row>
    <row r="49" spans="2:4" s="33" customFormat="1" x14ac:dyDescent="0.25">
      <c r="B49" s="25" t="s">
        <v>110</v>
      </c>
      <c r="C49" s="33">
        <f>200*25*365*0.015</f>
        <v>27375</v>
      </c>
      <c r="D49" s="34"/>
    </row>
    <row r="50" spans="2:4" s="33" customFormat="1" x14ac:dyDescent="0.25">
      <c r="D50" s="34"/>
    </row>
    <row r="51" spans="2:4" s="33" customFormat="1" x14ac:dyDescent="0.25">
      <c r="C51" s="57"/>
      <c r="D51" s="34"/>
    </row>
    <row r="52" spans="2:4" s="33" customFormat="1" x14ac:dyDescent="0.25">
      <c r="D52" s="34"/>
    </row>
    <row r="53" spans="2:4" s="33" customFormat="1" x14ac:dyDescent="0.25">
      <c r="D53" s="34"/>
    </row>
    <row r="54" spans="2:4" s="33" customFormat="1" x14ac:dyDescent="0.25">
      <c r="D54" s="34"/>
    </row>
    <row r="55" spans="2:4" s="33" customFormat="1" x14ac:dyDescent="0.25">
      <c r="D55" s="34"/>
    </row>
    <row r="56" spans="2:4" s="33" customFormat="1" x14ac:dyDescent="0.25">
      <c r="D56" s="34"/>
    </row>
    <row r="57" spans="2:4" s="33" customFormat="1" x14ac:dyDescent="0.25">
      <c r="D57" s="34"/>
    </row>
    <row r="58" spans="2:4" s="33" customFormat="1" x14ac:dyDescent="0.25">
      <c r="D58" s="34"/>
    </row>
    <row r="59" spans="2:4" s="33" customFormat="1" x14ac:dyDescent="0.25">
      <c r="D59" s="34"/>
    </row>
    <row r="60" spans="2:4" s="33" customFormat="1" x14ac:dyDescent="0.25">
      <c r="D60" s="34"/>
    </row>
    <row r="61" spans="2:4" s="33" customFormat="1" x14ac:dyDescent="0.25">
      <c r="D61" s="34"/>
    </row>
    <row r="62" spans="2:4" s="33" customFormat="1" x14ac:dyDescent="0.25">
      <c r="D62" s="34"/>
    </row>
  </sheetData>
  <mergeCells count="11">
    <mergeCell ref="U6:V6"/>
    <mergeCell ref="W6:X6"/>
    <mergeCell ref="B2:T3"/>
    <mergeCell ref="E6:F6"/>
    <mergeCell ref="G6:H6"/>
    <mergeCell ref="I6:J6"/>
    <mergeCell ref="K6:L6"/>
    <mergeCell ref="M6:N6"/>
    <mergeCell ref="O6:P6"/>
    <mergeCell ref="Q6:R6"/>
    <mergeCell ref="S6:T6"/>
  </mergeCells>
  <phoneticPr fontId="4" type="noConversion"/>
  <pageMargins left="0.7" right="0.7" top="0.75" bottom="0.75" header="0.3" footer="0.3"/>
  <pageSetup scale="3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F5183-C6CA-474A-8A7A-5D2604134489}">
  <dimension ref="B2:X63"/>
  <sheetViews>
    <sheetView topLeftCell="A14" workbookViewId="0">
      <selection activeCell="B2" sqref="B2:T36"/>
    </sheetView>
  </sheetViews>
  <sheetFormatPr defaultRowHeight="15" x14ac:dyDescent="0.25"/>
  <cols>
    <col min="1" max="1" width="9.140625" style="25"/>
    <col min="2" max="2" width="46.85546875" style="25" customWidth="1"/>
    <col min="3" max="3" width="9" style="33" customWidth="1"/>
    <col min="4" max="4" width="9" style="34" customWidth="1"/>
    <col min="5" max="5" width="7.28515625" style="33" customWidth="1"/>
    <col min="6" max="19" width="6.5703125" style="33" customWidth="1"/>
    <col min="20" max="20" width="6.42578125" style="33" customWidth="1"/>
    <col min="21" max="16384" width="9.140625" style="25"/>
  </cols>
  <sheetData>
    <row r="2" spans="2:24" x14ac:dyDescent="0.25">
      <c r="B2" s="83" t="s">
        <v>124</v>
      </c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84"/>
      <c r="T2" s="84"/>
    </row>
    <row r="3" spans="2:24" x14ac:dyDescent="0.25">
      <c r="B3" s="84"/>
      <c r="C3" s="84"/>
      <c r="D3" s="84"/>
      <c r="E3" s="84"/>
      <c r="F3" s="84"/>
      <c r="G3" s="84"/>
      <c r="H3" s="84"/>
      <c r="I3" s="84"/>
      <c r="J3" s="84"/>
      <c r="K3" s="84"/>
      <c r="L3" s="84"/>
      <c r="M3" s="84"/>
      <c r="N3" s="84"/>
      <c r="O3" s="84"/>
      <c r="P3" s="84"/>
      <c r="Q3" s="84"/>
      <c r="R3" s="84"/>
      <c r="S3" s="84"/>
      <c r="T3" s="84"/>
    </row>
    <row r="4" spans="2:24" hidden="1" x14ac:dyDescent="0.25"/>
    <row r="5" spans="2:24" hidden="1" x14ac:dyDescent="0.25"/>
    <row r="6" spans="2:24" s="27" customFormat="1" ht="30.75" hidden="1" thickBot="1" x14ac:dyDescent="0.3">
      <c r="B6" s="28"/>
      <c r="C6" s="28" t="s">
        <v>50</v>
      </c>
      <c r="D6" s="29" t="s">
        <v>100</v>
      </c>
      <c r="E6" s="81" t="s">
        <v>84</v>
      </c>
      <c r="F6" s="82"/>
      <c r="G6" s="82" t="s">
        <v>85</v>
      </c>
      <c r="H6" s="82"/>
      <c r="I6" s="82" t="s">
        <v>86</v>
      </c>
      <c r="J6" s="82"/>
      <c r="K6" s="82" t="s">
        <v>87</v>
      </c>
      <c r="L6" s="82"/>
      <c r="M6" s="82" t="s">
        <v>88</v>
      </c>
      <c r="N6" s="82"/>
      <c r="O6" s="82" t="s">
        <v>89</v>
      </c>
      <c r="P6" s="82"/>
      <c r="Q6" s="82" t="s">
        <v>90</v>
      </c>
      <c r="R6" s="82"/>
      <c r="S6" s="82" t="s">
        <v>91</v>
      </c>
      <c r="T6" s="82"/>
      <c r="U6" s="82" t="s">
        <v>92</v>
      </c>
      <c r="V6" s="82"/>
      <c r="W6" s="82" t="s">
        <v>93</v>
      </c>
      <c r="X6" s="82"/>
    </row>
    <row r="7" spans="2:24" hidden="1" x14ac:dyDescent="0.25">
      <c r="E7" s="59"/>
      <c r="F7" s="60"/>
      <c r="H7" s="60"/>
      <c r="J7" s="60"/>
      <c r="L7" s="60"/>
      <c r="N7" s="60"/>
      <c r="P7" s="60"/>
      <c r="R7" s="60"/>
      <c r="T7" s="60"/>
      <c r="V7" s="31"/>
      <c r="X7" s="31"/>
    </row>
    <row r="8" spans="2:24" hidden="1" x14ac:dyDescent="0.25">
      <c r="E8" s="59"/>
      <c r="F8" s="61"/>
      <c r="H8" s="61"/>
      <c r="J8" s="61"/>
      <c r="L8" s="61"/>
      <c r="N8" s="61"/>
      <c r="P8" s="61"/>
      <c r="R8" s="61"/>
      <c r="T8" s="61"/>
      <c r="V8" s="32"/>
      <c r="X8" s="32"/>
    </row>
    <row r="9" spans="2:24" hidden="1" x14ac:dyDescent="0.25">
      <c r="E9" s="59"/>
      <c r="F9" s="61"/>
      <c r="H9" s="61"/>
      <c r="J9" s="61"/>
      <c r="L9" s="61"/>
      <c r="N9" s="61"/>
      <c r="P9" s="61"/>
      <c r="R9" s="61"/>
      <c r="T9" s="61"/>
      <c r="V9" s="32"/>
      <c r="X9" s="32"/>
    </row>
    <row r="10" spans="2:24" hidden="1" x14ac:dyDescent="0.25"/>
    <row r="11" spans="2:24" ht="15.75" thickBot="1" x14ac:dyDescent="0.3"/>
    <row r="12" spans="2:24" ht="68.25" customHeight="1" thickBot="1" x14ac:dyDescent="0.3">
      <c r="B12" s="35"/>
      <c r="C12" s="36" t="s">
        <v>104</v>
      </c>
      <c r="D12" s="37" t="s">
        <v>103</v>
      </c>
      <c r="E12" s="36" t="s">
        <v>134</v>
      </c>
      <c r="F12" s="36" t="s">
        <v>133</v>
      </c>
      <c r="G12" s="36" t="s">
        <v>132</v>
      </c>
      <c r="H12" s="36" t="s">
        <v>131</v>
      </c>
      <c r="I12" s="36" t="s">
        <v>130</v>
      </c>
      <c r="J12" s="36" t="s">
        <v>129</v>
      </c>
      <c r="K12" s="36" t="s">
        <v>128</v>
      </c>
      <c r="L12" s="36" t="s">
        <v>127</v>
      </c>
      <c r="M12" s="36" t="s">
        <v>126</v>
      </c>
      <c r="N12" s="36" t="s">
        <v>125</v>
      </c>
      <c r="O12" s="36" t="s">
        <v>94</v>
      </c>
      <c r="P12" s="36" t="s">
        <v>95</v>
      </c>
      <c r="Q12" s="36" t="s">
        <v>96</v>
      </c>
      <c r="R12" s="36" t="s">
        <v>97</v>
      </c>
      <c r="S12" s="36" t="s">
        <v>98</v>
      </c>
      <c r="T12" s="62" t="s">
        <v>99</v>
      </c>
    </row>
    <row r="13" spans="2:24" ht="32.25" customHeight="1" x14ac:dyDescent="0.25">
      <c r="B13" s="40" t="s">
        <v>118</v>
      </c>
      <c r="C13" s="63"/>
      <c r="D13" s="63"/>
      <c r="E13" s="63"/>
      <c r="F13" s="63"/>
      <c r="G13" s="63"/>
      <c r="H13" s="63"/>
      <c r="I13" s="63"/>
      <c r="J13" s="63"/>
      <c r="K13" s="63"/>
      <c r="L13" s="63"/>
      <c r="M13" s="63"/>
      <c r="N13" s="63"/>
      <c r="O13" s="63"/>
      <c r="P13" s="63"/>
      <c r="Q13" s="63"/>
      <c r="R13" s="63"/>
      <c r="S13" s="63"/>
      <c r="T13" s="64"/>
    </row>
    <row r="14" spans="2:24" ht="20.25" customHeight="1" x14ac:dyDescent="0.25">
      <c r="B14" s="43" t="s">
        <v>55</v>
      </c>
      <c r="C14" s="65"/>
      <c r="D14" s="65">
        <f>+FINAL!D14/1000</f>
        <v>963.24300000000005</v>
      </c>
      <c r="E14" s="66">
        <f>((875986+1050500)/2)/1000</f>
        <v>963.24300000000005</v>
      </c>
      <c r="F14" s="65"/>
      <c r="G14" s="65"/>
      <c r="H14" s="65"/>
      <c r="I14" s="65"/>
      <c r="J14" s="65"/>
      <c r="K14" s="65"/>
      <c r="L14" s="65"/>
      <c r="M14" s="65"/>
      <c r="N14" s="65"/>
      <c r="O14" s="65"/>
      <c r="P14" s="65"/>
      <c r="Q14" s="65"/>
      <c r="R14" s="65"/>
      <c r="S14" s="65"/>
      <c r="T14" s="67"/>
    </row>
    <row r="15" spans="2:24" x14ac:dyDescent="0.25">
      <c r="B15" s="47" t="s">
        <v>113</v>
      </c>
      <c r="C15" s="68"/>
      <c r="D15" s="65">
        <f>+FINAL!D15/1000</f>
        <v>185.42090228616632</v>
      </c>
      <c r="E15" s="66"/>
      <c r="F15" s="65">
        <f>+FINAL!F15/1000</f>
        <v>19.757000000000001</v>
      </c>
      <c r="G15" s="65">
        <f>+FINAL!G15/1000</f>
        <v>19.757000000000001</v>
      </c>
      <c r="H15" s="65">
        <f>+FINAL!H15/1000</f>
        <v>19.757000000000001</v>
      </c>
      <c r="I15" s="65">
        <f>+FINAL!I15/1000</f>
        <v>19.757000000000001</v>
      </c>
      <c r="J15" s="65">
        <f>+FINAL!J15/1000</f>
        <v>19.757000000000001</v>
      </c>
      <c r="K15" s="65">
        <f>+FINAL!K15/1000</f>
        <v>19.757000000000001</v>
      </c>
      <c r="L15" s="65">
        <f>+FINAL!L15/1000</f>
        <v>19.757000000000001</v>
      </c>
      <c r="M15" s="65">
        <f>+FINAL!M15/1000</f>
        <v>19.757000000000001</v>
      </c>
      <c r="N15" s="65">
        <f>+FINAL!N15/1000</f>
        <v>19.757000000000001</v>
      </c>
      <c r="O15" s="65">
        <f>+FINAL!O15/1000</f>
        <v>19.757000000000001</v>
      </c>
      <c r="P15" s="65">
        <f>+FINAL!P15/1000</f>
        <v>19.757000000000001</v>
      </c>
      <c r="Q15" s="65">
        <f>+FINAL!Q15/1000</f>
        <v>19.757000000000001</v>
      </c>
      <c r="R15" s="65"/>
      <c r="S15" s="65"/>
      <c r="T15" s="67"/>
    </row>
    <row r="16" spans="2:24" x14ac:dyDescent="0.25">
      <c r="B16" s="43" t="s">
        <v>108</v>
      </c>
      <c r="C16" s="65"/>
      <c r="D16" s="65">
        <f>+FINAL!D16/1000</f>
        <v>25.373000000000001</v>
      </c>
      <c r="E16" s="65"/>
      <c r="F16" s="65"/>
      <c r="G16" s="65"/>
      <c r="H16" s="65"/>
      <c r="I16" s="65"/>
      <c r="J16" s="65"/>
      <c r="K16" s="65"/>
      <c r="L16" s="65"/>
      <c r="M16" s="65">
        <f>+FINAL!M16/1000</f>
        <v>7.5</v>
      </c>
      <c r="N16" s="65">
        <f>+FINAL!N16/1000</f>
        <v>7.5</v>
      </c>
      <c r="O16" s="65">
        <f>+FINAL!O16/1000</f>
        <v>7.5</v>
      </c>
      <c r="P16" s="65">
        <f>+FINAL!P16/1000</f>
        <v>7.5</v>
      </c>
      <c r="Q16" s="65">
        <f>+FINAL!Q16/1000</f>
        <v>7.5</v>
      </c>
      <c r="R16" s="65"/>
      <c r="S16" s="65"/>
      <c r="T16" s="67"/>
    </row>
    <row r="17" spans="2:20" x14ac:dyDescent="0.25">
      <c r="B17" s="43" t="s">
        <v>101</v>
      </c>
      <c r="C17" s="65"/>
      <c r="D17" s="65">
        <f>+FINAL!D17/1000</f>
        <v>21.99</v>
      </c>
      <c r="E17" s="65"/>
      <c r="F17" s="65"/>
      <c r="G17" s="65"/>
      <c r="H17" s="65"/>
      <c r="I17" s="65"/>
      <c r="J17" s="65"/>
      <c r="K17" s="65"/>
      <c r="L17" s="65"/>
      <c r="M17" s="65">
        <v>6.5</v>
      </c>
      <c r="N17" s="65">
        <v>6.5</v>
      </c>
      <c r="O17" s="65">
        <v>6.5</v>
      </c>
      <c r="P17" s="65">
        <v>6.5</v>
      </c>
      <c r="Q17" s="65">
        <v>6.5</v>
      </c>
      <c r="R17" s="65"/>
      <c r="S17" s="65"/>
      <c r="T17" s="67"/>
    </row>
    <row r="18" spans="2:20" x14ac:dyDescent="0.25">
      <c r="B18" s="43" t="s">
        <v>115</v>
      </c>
      <c r="C18" s="74"/>
      <c r="D18" s="65">
        <f>+FINAL!D18/1000</f>
        <v>37.015999999999998</v>
      </c>
      <c r="E18" s="65"/>
      <c r="F18" s="65"/>
      <c r="G18" s="65"/>
      <c r="H18" s="65"/>
      <c r="I18" s="65"/>
      <c r="J18" s="65"/>
      <c r="K18" s="65"/>
      <c r="L18" s="65"/>
      <c r="M18" s="65"/>
      <c r="N18" s="65">
        <f>27375/1000</f>
        <v>27.375</v>
      </c>
      <c r="O18" s="65"/>
      <c r="P18" s="65">
        <f>27375/1000</f>
        <v>27.375</v>
      </c>
      <c r="Q18" s="65"/>
      <c r="R18" s="65"/>
      <c r="S18" s="65"/>
      <c r="T18" s="67"/>
    </row>
    <row r="19" spans="2:20" x14ac:dyDescent="0.25">
      <c r="B19" s="72" t="s">
        <v>102</v>
      </c>
      <c r="C19" s="75">
        <f>+D19/12</f>
        <v>102.75357519051386</v>
      </c>
      <c r="D19" s="75">
        <f>+FINAL!D19/1000</f>
        <v>1233.0429022861663</v>
      </c>
      <c r="E19" s="75">
        <f>SUM(E14:E18)</f>
        <v>963.24300000000005</v>
      </c>
      <c r="F19" s="75">
        <f>SUM(F15:F18)</f>
        <v>19.757000000000001</v>
      </c>
      <c r="G19" s="75">
        <f t="shared" ref="G19:Q19" si="0">SUM(G15:G18)</f>
        <v>19.757000000000001</v>
      </c>
      <c r="H19" s="75">
        <f t="shared" si="0"/>
        <v>19.757000000000001</v>
      </c>
      <c r="I19" s="75">
        <f t="shared" si="0"/>
        <v>19.757000000000001</v>
      </c>
      <c r="J19" s="75">
        <f t="shared" si="0"/>
        <v>19.757000000000001</v>
      </c>
      <c r="K19" s="75">
        <f t="shared" si="0"/>
        <v>19.757000000000001</v>
      </c>
      <c r="L19" s="75">
        <f t="shared" si="0"/>
        <v>19.757000000000001</v>
      </c>
      <c r="M19" s="75">
        <f t="shared" si="0"/>
        <v>33.757000000000005</v>
      </c>
      <c r="N19" s="75">
        <f t="shared" si="0"/>
        <v>61.132000000000005</v>
      </c>
      <c r="O19" s="75">
        <f t="shared" si="0"/>
        <v>33.757000000000005</v>
      </c>
      <c r="P19" s="75">
        <f t="shared" si="0"/>
        <v>61.132000000000005</v>
      </c>
      <c r="Q19" s="75">
        <f t="shared" si="0"/>
        <v>33.757000000000005</v>
      </c>
      <c r="R19" s="75"/>
      <c r="S19" s="73"/>
      <c r="T19" s="67"/>
    </row>
    <row r="20" spans="2:20" x14ac:dyDescent="0.25">
      <c r="B20" s="43"/>
      <c r="C20" s="74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7"/>
    </row>
    <row r="21" spans="2:20" ht="29.25" customHeight="1" x14ac:dyDescent="0.25">
      <c r="B21" s="40" t="s">
        <v>119</v>
      </c>
      <c r="C21" s="74"/>
      <c r="D21" s="65"/>
      <c r="E21" s="65"/>
      <c r="F21" s="65"/>
      <c r="G21" s="65"/>
      <c r="H21" s="65"/>
      <c r="I21" s="65"/>
      <c r="J21" s="65"/>
      <c r="K21" s="65"/>
      <c r="L21" s="65"/>
      <c r="M21" s="65"/>
      <c r="N21" s="65"/>
      <c r="O21" s="65"/>
      <c r="P21" s="65"/>
      <c r="Q21" s="65"/>
      <c r="R21" s="65"/>
      <c r="S21" s="65"/>
      <c r="T21" s="67"/>
    </row>
    <row r="22" spans="2:20" x14ac:dyDescent="0.25">
      <c r="B22" s="43" t="s">
        <v>55</v>
      </c>
      <c r="C22" s="74"/>
      <c r="D22" s="65">
        <f>+E22</f>
        <v>963.24300000000005</v>
      </c>
      <c r="E22" s="66">
        <f>+FINAL!E22/1000</f>
        <v>963.24300000000005</v>
      </c>
      <c r="F22" s="65"/>
      <c r="G22" s="65"/>
      <c r="H22" s="65"/>
      <c r="I22" s="65"/>
      <c r="J22" s="65"/>
      <c r="K22" s="65"/>
      <c r="L22" s="65"/>
      <c r="M22" s="65"/>
      <c r="N22" s="65"/>
      <c r="O22" s="65"/>
      <c r="P22" s="65"/>
      <c r="Q22" s="65"/>
      <c r="R22" s="65"/>
      <c r="S22" s="65"/>
      <c r="T22" s="67"/>
    </row>
    <row r="23" spans="2:20" x14ac:dyDescent="0.25">
      <c r="B23" s="47" t="s">
        <v>114</v>
      </c>
      <c r="C23" s="76"/>
      <c r="D23" s="66">
        <f>+FINAL!D23/1000</f>
        <v>263.59917659681486</v>
      </c>
      <c r="E23" s="65"/>
      <c r="F23" s="65">
        <f>+F15*1.2</f>
        <v>23.708400000000001</v>
      </c>
      <c r="G23" s="65">
        <f t="shared" ref="G23:Q23" si="1">+G15*1.2</f>
        <v>23.708400000000001</v>
      </c>
      <c r="H23" s="65">
        <f t="shared" si="1"/>
        <v>23.708400000000001</v>
      </c>
      <c r="I23" s="65">
        <f t="shared" si="1"/>
        <v>23.708400000000001</v>
      </c>
      <c r="J23" s="65">
        <f t="shared" si="1"/>
        <v>23.708400000000001</v>
      </c>
      <c r="K23" s="65">
        <f t="shared" si="1"/>
        <v>23.708400000000001</v>
      </c>
      <c r="L23" s="65">
        <f t="shared" si="1"/>
        <v>23.708400000000001</v>
      </c>
      <c r="M23" s="65">
        <f t="shared" si="1"/>
        <v>23.708400000000001</v>
      </c>
      <c r="N23" s="65">
        <f t="shared" si="1"/>
        <v>23.708400000000001</v>
      </c>
      <c r="O23" s="65">
        <f t="shared" si="1"/>
        <v>23.708400000000001</v>
      </c>
      <c r="P23" s="65">
        <f t="shared" si="1"/>
        <v>23.708400000000001</v>
      </c>
      <c r="Q23" s="65">
        <f t="shared" si="1"/>
        <v>23.708400000000001</v>
      </c>
      <c r="R23" s="65">
        <f>+Q23</f>
        <v>23.708400000000001</v>
      </c>
      <c r="S23" s="65">
        <f>+R23</f>
        <v>23.708400000000001</v>
      </c>
      <c r="T23" s="67">
        <f>+S23</f>
        <v>23.708400000000001</v>
      </c>
    </row>
    <row r="24" spans="2:20" x14ac:dyDescent="0.25">
      <c r="B24" s="72" t="s">
        <v>102</v>
      </c>
      <c r="C24" s="75">
        <f>+D24/15</f>
        <v>81.789478439787658</v>
      </c>
      <c r="D24" s="75">
        <f>+D22+D23</f>
        <v>1226.8421765968149</v>
      </c>
      <c r="E24" s="75">
        <f>+E22+E23</f>
        <v>963.24300000000005</v>
      </c>
      <c r="F24" s="75">
        <f t="shared" ref="F24:S24" si="2">+F22+F23</f>
        <v>23.708400000000001</v>
      </c>
      <c r="G24" s="75">
        <f t="shared" si="2"/>
        <v>23.708400000000001</v>
      </c>
      <c r="H24" s="75">
        <f t="shared" si="2"/>
        <v>23.708400000000001</v>
      </c>
      <c r="I24" s="75">
        <f t="shared" si="2"/>
        <v>23.708400000000001</v>
      </c>
      <c r="J24" s="75">
        <f t="shared" si="2"/>
        <v>23.708400000000001</v>
      </c>
      <c r="K24" s="75">
        <f t="shared" si="2"/>
        <v>23.708400000000001</v>
      </c>
      <c r="L24" s="75">
        <f t="shared" si="2"/>
        <v>23.708400000000001</v>
      </c>
      <c r="M24" s="75">
        <f t="shared" si="2"/>
        <v>23.708400000000001</v>
      </c>
      <c r="N24" s="75">
        <f t="shared" si="2"/>
        <v>23.708400000000001</v>
      </c>
      <c r="O24" s="75">
        <f t="shared" si="2"/>
        <v>23.708400000000001</v>
      </c>
      <c r="P24" s="75">
        <f t="shared" si="2"/>
        <v>23.708400000000001</v>
      </c>
      <c r="Q24" s="75">
        <f t="shared" si="2"/>
        <v>23.708400000000001</v>
      </c>
      <c r="R24" s="75">
        <f t="shared" si="2"/>
        <v>23.708400000000001</v>
      </c>
      <c r="S24" s="75">
        <f t="shared" si="2"/>
        <v>23.708400000000001</v>
      </c>
      <c r="T24" s="78">
        <f>+T23</f>
        <v>23.708400000000001</v>
      </c>
    </row>
    <row r="25" spans="2:20" x14ac:dyDescent="0.25">
      <c r="B25" s="43"/>
      <c r="C25" s="74"/>
      <c r="D25" s="65"/>
      <c r="E25" s="65"/>
      <c r="F25" s="65"/>
      <c r="G25" s="65"/>
      <c r="H25" s="65"/>
      <c r="I25" s="65"/>
      <c r="J25" s="65"/>
      <c r="K25" s="65"/>
      <c r="L25" s="65"/>
      <c r="M25" s="65"/>
      <c r="N25" s="65"/>
      <c r="O25" s="65"/>
      <c r="P25" s="65"/>
      <c r="Q25" s="65"/>
      <c r="R25" s="65"/>
      <c r="S25" s="65"/>
      <c r="T25" s="67"/>
    </row>
    <row r="26" spans="2:20" x14ac:dyDescent="0.25">
      <c r="B26" s="43" t="s">
        <v>106</v>
      </c>
      <c r="C26" s="74">
        <f>+C19-C24</f>
        <v>20.964096750726199</v>
      </c>
      <c r="D26" s="65"/>
      <c r="E26" s="65"/>
      <c r="F26" s="65"/>
      <c r="G26" s="65"/>
      <c r="H26" s="65"/>
      <c r="I26" s="65"/>
      <c r="J26" s="65"/>
      <c r="K26" s="65"/>
      <c r="L26" s="65"/>
      <c r="M26" s="65"/>
      <c r="N26" s="65"/>
      <c r="O26" s="65"/>
      <c r="P26" s="65"/>
      <c r="Q26" s="65"/>
      <c r="R26" s="65"/>
      <c r="S26" s="65"/>
      <c r="T26" s="67"/>
    </row>
    <row r="27" spans="2:20" x14ac:dyDescent="0.25">
      <c r="B27" s="43" t="s">
        <v>107</v>
      </c>
      <c r="C27" s="77">
        <f>+C26/C19</f>
        <v>0.20402303970306612</v>
      </c>
      <c r="D27" s="65"/>
      <c r="E27" s="65"/>
      <c r="F27" s="65"/>
      <c r="G27" s="65"/>
      <c r="H27" s="65"/>
      <c r="I27" s="65"/>
      <c r="J27" s="65"/>
      <c r="K27" s="65"/>
      <c r="L27" s="65"/>
      <c r="M27" s="65"/>
      <c r="N27" s="65"/>
      <c r="O27" s="65"/>
      <c r="P27" s="65"/>
      <c r="Q27" s="65"/>
      <c r="R27" s="65"/>
      <c r="S27" s="65"/>
      <c r="T27" s="67"/>
    </row>
    <row r="28" spans="2:20" ht="15.75" thickBot="1" x14ac:dyDescent="0.3">
      <c r="B28" s="52"/>
      <c r="C28" s="69"/>
      <c r="D28" s="69"/>
      <c r="E28" s="70"/>
      <c r="F28" s="70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70"/>
      <c r="R28" s="70"/>
      <c r="S28" s="70"/>
      <c r="T28" s="71"/>
    </row>
    <row r="30" spans="2:20" ht="30.75" customHeight="1" x14ac:dyDescent="0.25"/>
    <row r="31" spans="2:20" x14ac:dyDescent="0.25">
      <c r="B31" s="25" t="s">
        <v>76</v>
      </c>
    </row>
    <row r="32" spans="2:20" x14ac:dyDescent="0.25">
      <c r="B32" s="25" t="s">
        <v>120</v>
      </c>
    </row>
    <row r="33" spans="2:4" x14ac:dyDescent="0.25">
      <c r="B33" s="25" t="s">
        <v>135</v>
      </c>
    </row>
    <row r="34" spans="2:4" x14ac:dyDescent="0.25">
      <c r="B34" s="25" t="s">
        <v>116</v>
      </c>
    </row>
    <row r="35" spans="2:4" x14ac:dyDescent="0.25">
      <c r="B35" s="25" t="s">
        <v>59</v>
      </c>
    </row>
    <row r="36" spans="2:4" x14ac:dyDescent="0.25">
      <c r="B36" s="25" t="s">
        <v>136</v>
      </c>
    </row>
    <row r="38" spans="2:4" x14ac:dyDescent="0.25">
      <c r="B38" s="25" t="s">
        <v>81</v>
      </c>
    </row>
    <row r="39" spans="2:4" x14ac:dyDescent="0.25">
      <c r="B39" s="56" t="s">
        <v>122</v>
      </c>
    </row>
    <row r="41" spans="2:4" x14ac:dyDescent="0.25">
      <c r="B41" s="25" t="s">
        <v>83</v>
      </c>
    </row>
    <row r="42" spans="2:4" x14ac:dyDescent="0.25">
      <c r="B42" s="25" t="s">
        <v>109</v>
      </c>
    </row>
    <row r="43" spans="2:4" x14ac:dyDescent="0.25">
      <c r="B43" s="25" t="s">
        <v>123</v>
      </c>
    </row>
    <row r="44" spans="2:4" x14ac:dyDescent="0.25">
      <c r="B44" s="25" t="s">
        <v>110</v>
      </c>
    </row>
    <row r="46" spans="2:4" s="33" customFormat="1" x14ac:dyDescent="0.25">
      <c r="D46" s="34"/>
    </row>
    <row r="47" spans="2:4" s="33" customFormat="1" x14ac:dyDescent="0.25">
      <c r="B47" s="33" t="s">
        <v>111</v>
      </c>
      <c r="D47" s="34"/>
    </row>
    <row r="48" spans="2:4" s="33" customFormat="1" ht="30" x14ac:dyDescent="0.25">
      <c r="B48" s="33" t="s">
        <v>112</v>
      </c>
      <c r="C48" s="34">
        <f>200*25*1.5</f>
        <v>7500</v>
      </c>
      <c r="D48" s="34"/>
    </row>
    <row r="49" spans="2:4" s="33" customFormat="1" x14ac:dyDescent="0.25">
      <c r="D49" s="34"/>
    </row>
    <row r="50" spans="2:4" s="33" customFormat="1" x14ac:dyDescent="0.25">
      <c r="B50" s="25" t="s">
        <v>110</v>
      </c>
      <c r="C50" s="33">
        <f>200*25*365*0.015</f>
        <v>27375</v>
      </c>
      <c r="D50" s="34"/>
    </row>
    <row r="51" spans="2:4" s="33" customFormat="1" x14ac:dyDescent="0.25">
      <c r="D51" s="34"/>
    </row>
    <row r="52" spans="2:4" s="33" customFormat="1" x14ac:dyDescent="0.25">
      <c r="C52" s="57"/>
      <c r="D52" s="34"/>
    </row>
    <row r="53" spans="2:4" s="33" customFormat="1" x14ac:dyDescent="0.25">
      <c r="D53" s="34"/>
    </row>
    <row r="54" spans="2:4" s="33" customFormat="1" x14ac:dyDescent="0.25">
      <c r="D54" s="34"/>
    </row>
    <row r="55" spans="2:4" s="33" customFormat="1" x14ac:dyDescent="0.25">
      <c r="D55" s="34"/>
    </row>
    <row r="56" spans="2:4" s="33" customFormat="1" x14ac:dyDescent="0.25">
      <c r="D56" s="34"/>
    </row>
    <row r="57" spans="2:4" s="33" customFormat="1" x14ac:dyDescent="0.25">
      <c r="D57" s="34"/>
    </row>
    <row r="58" spans="2:4" s="33" customFormat="1" x14ac:dyDescent="0.25">
      <c r="D58" s="34"/>
    </row>
    <row r="59" spans="2:4" s="33" customFormat="1" x14ac:dyDescent="0.25">
      <c r="D59" s="34"/>
    </row>
    <row r="60" spans="2:4" s="33" customFormat="1" x14ac:dyDescent="0.25">
      <c r="D60" s="34"/>
    </row>
    <row r="61" spans="2:4" s="33" customFormat="1" x14ac:dyDescent="0.25">
      <c r="D61" s="34"/>
    </row>
    <row r="62" spans="2:4" s="33" customFormat="1" x14ac:dyDescent="0.25">
      <c r="D62" s="34"/>
    </row>
    <row r="63" spans="2:4" s="33" customFormat="1" x14ac:dyDescent="0.25">
      <c r="D63" s="34"/>
    </row>
  </sheetData>
  <mergeCells count="11">
    <mergeCell ref="U6:V6"/>
    <mergeCell ref="W6:X6"/>
    <mergeCell ref="B2:T3"/>
    <mergeCell ref="E6:F6"/>
    <mergeCell ref="G6:H6"/>
    <mergeCell ref="I6:J6"/>
    <mergeCell ref="K6:L6"/>
    <mergeCell ref="M6:N6"/>
    <mergeCell ref="O6:P6"/>
    <mergeCell ref="Q6:R6"/>
    <mergeCell ref="S6:T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Final in '000 (2)</vt:lpstr>
      <vt:lpstr>Sheet1</vt:lpstr>
      <vt:lpstr>Sheet2</vt:lpstr>
      <vt:lpstr>Sheet3</vt:lpstr>
      <vt:lpstr>FINAL</vt:lpstr>
      <vt:lpstr>Final in '000</vt:lpstr>
      <vt:lpstr>FINAL!Print_Area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Nilus Rubanathan</dc:creator>
  <cp:lastModifiedBy>Nilus Rubanathan</cp:lastModifiedBy>
  <cp:lastPrinted>2024-11-07T19:50:20Z</cp:lastPrinted>
  <dcterms:created xsi:type="dcterms:W3CDTF">2024-11-04T10:13:47Z</dcterms:created>
  <dcterms:modified xsi:type="dcterms:W3CDTF">2024-11-07T22:45:15Z</dcterms:modified>
</cp:coreProperties>
</file>