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hir\Google Drive\UN Habitat SDG 11 Costing\Report (1)\Bolivia Briefs\"/>
    </mc:Choice>
  </mc:AlternateContent>
  <xr:revisionPtr revIDLastSave="0" documentId="13_ncr:1_{A98B967B-E4D7-47C6-B412-739DC9F6CF8E}" xr6:coauthVersionLast="44" xr6:coauthVersionMax="44" xr10:uidLastSave="{00000000-0000-0000-0000-000000000000}"/>
  <bookViews>
    <workbookView xWindow="57480" yWindow="-120" windowWidth="29040" windowHeight="15840" activeTab="1" xr2:uid="{00000000-000D-0000-FFFF-FFFF00000000}"/>
  </bookViews>
  <sheets>
    <sheet name="Summary Sheet - Open Spaces" sheetId="1" r:id="rId1"/>
    <sheet name="Cost Calculations" sheetId="8" r:id="rId2"/>
    <sheet name="Variables" sheetId="3" r:id="rId3"/>
    <sheet name="Calc Variable Numbers" sheetId="11" state="hidden" r:id="rId4"/>
    <sheet name="Population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H4" i="1"/>
  <c r="H5" i="1"/>
  <c r="H3" i="1"/>
  <c r="I3" i="1" s="1"/>
  <c r="G4" i="1"/>
  <c r="G5" i="1"/>
  <c r="G3" i="1"/>
  <c r="F5" i="1"/>
  <c r="I5" i="1" l="1"/>
  <c r="I4" i="1"/>
  <c r="D4" i="8" l="1"/>
  <c r="D243" i="8" l="1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4" i="8"/>
  <c r="Q4" i="10" l="1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E4" i="10"/>
  <c r="F4" i="10"/>
  <c r="G4" i="10"/>
  <c r="H4" i="10"/>
  <c r="I4" i="10"/>
  <c r="J4" i="10"/>
  <c r="K4" i="10"/>
  <c r="L4" i="10"/>
  <c r="M4" i="10"/>
  <c r="N4" i="10"/>
  <c r="O4" i="10"/>
  <c r="P4" i="10"/>
  <c r="E5" i="10"/>
  <c r="F5" i="10"/>
  <c r="G5" i="10"/>
  <c r="H5" i="10"/>
  <c r="I5" i="10"/>
  <c r="J5" i="10"/>
  <c r="K5" i="10"/>
  <c r="L5" i="10"/>
  <c r="M5" i="10"/>
  <c r="N5" i="10"/>
  <c r="O5" i="10"/>
  <c r="P5" i="10"/>
  <c r="E6" i="10"/>
  <c r="F6" i="10"/>
  <c r="G6" i="10"/>
  <c r="H6" i="10"/>
  <c r="I6" i="10"/>
  <c r="J6" i="10"/>
  <c r="K6" i="10"/>
  <c r="L6" i="10"/>
  <c r="M6" i="10"/>
  <c r="N6" i="10"/>
  <c r="O6" i="10"/>
  <c r="P6" i="10"/>
  <c r="E7" i="10"/>
  <c r="F7" i="10"/>
  <c r="G7" i="10"/>
  <c r="H7" i="10"/>
  <c r="I7" i="10"/>
  <c r="J7" i="10"/>
  <c r="K7" i="10"/>
  <c r="L7" i="10"/>
  <c r="M7" i="10"/>
  <c r="N7" i="10"/>
  <c r="O7" i="10"/>
  <c r="P7" i="10"/>
  <c r="E8" i="10"/>
  <c r="F8" i="10"/>
  <c r="G8" i="10"/>
  <c r="H8" i="10"/>
  <c r="I8" i="10"/>
  <c r="J8" i="10"/>
  <c r="K8" i="10"/>
  <c r="L8" i="10"/>
  <c r="M8" i="10"/>
  <c r="N8" i="10"/>
  <c r="O8" i="10"/>
  <c r="P8" i="10"/>
  <c r="E9" i="10"/>
  <c r="F9" i="10"/>
  <c r="G9" i="10"/>
  <c r="H9" i="10"/>
  <c r="I9" i="10"/>
  <c r="J9" i="10"/>
  <c r="K9" i="10"/>
  <c r="L9" i="10"/>
  <c r="M9" i="10"/>
  <c r="N9" i="10"/>
  <c r="O9" i="10"/>
  <c r="P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4" i="10"/>
  <c r="D5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D21" i="11" l="1"/>
  <c r="E21" i="11" s="1"/>
  <c r="D18" i="11"/>
  <c r="E18" i="11" s="1"/>
  <c r="C29" i="3" s="1"/>
  <c r="C20" i="11"/>
  <c r="D20" i="11" s="1"/>
  <c r="E20" i="11" s="1"/>
  <c r="C19" i="11"/>
  <c r="D19" i="11" s="1"/>
  <c r="E19" i="11" s="1"/>
  <c r="B6" i="11"/>
  <c r="D6" i="11" s="1"/>
  <c r="C26" i="3" s="1"/>
  <c r="B3" i="11"/>
  <c r="D3" i="11" s="1"/>
  <c r="C24" i="3" s="1"/>
  <c r="K10" i="8" l="1"/>
  <c r="K18" i="8"/>
  <c r="K22" i="8"/>
  <c r="K30" i="8"/>
  <c r="K38" i="8"/>
  <c r="K42" i="8"/>
  <c r="K50" i="8"/>
  <c r="K58" i="8"/>
  <c r="K62" i="8"/>
  <c r="K70" i="8"/>
  <c r="K78" i="8"/>
  <c r="K82" i="8"/>
  <c r="K90" i="8"/>
  <c r="K98" i="8"/>
  <c r="K102" i="8"/>
  <c r="K15" i="8"/>
  <c r="K19" i="8"/>
  <c r="K23" i="8"/>
  <c r="K35" i="8"/>
  <c r="K39" i="8"/>
  <c r="K43" i="8"/>
  <c r="K55" i="8"/>
  <c r="K8" i="8"/>
  <c r="K40" i="8"/>
  <c r="K48" i="8"/>
  <c r="K61" i="8"/>
  <c r="K77" i="8"/>
  <c r="K83" i="8"/>
  <c r="K88" i="8"/>
  <c r="K99" i="8"/>
  <c r="K108" i="8"/>
  <c r="K120" i="8"/>
  <c r="K128" i="8"/>
  <c r="K140" i="8"/>
  <c r="K148" i="8"/>
  <c r="K160" i="8"/>
  <c r="K180" i="8"/>
  <c r="K200" i="8"/>
  <c r="K220" i="8"/>
  <c r="K240" i="8"/>
  <c r="K17" i="8"/>
  <c r="K41" i="8"/>
  <c r="K57" i="8"/>
  <c r="K63" i="8"/>
  <c r="K68" i="8"/>
  <c r="K79" i="8"/>
  <c r="K95" i="8"/>
  <c r="K100" i="8"/>
  <c r="K117" i="8"/>
  <c r="K121" i="8"/>
  <c r="K137" i="8"/>
  <c r="K141" i="8"/>
  <c r="K157" i="8"/>
  <c r="K161" i="8"/>
  <c r="K177" i="8"/>
  <c r="K181" i="8"/>
  <c r="K197" i="8"/>
  <c r="K201" i="8"/>
  <c r="K217" i="8"/>
  <c r="K221" i="8"/>
  <c r="K237" i="8"/>
  <c r="K241" i="8"/>
  <c r="K60" i="8"/>
  <c r="K81" i="8"/>
  <c r="K103" i="8"/>
  <c r="K119" i="8"/>
  <c r="K135" i="8"/>
  <c r="K143" i="8"/>
  <c r="K159" i="8"/>
  <c r="K175" i="8"/>
  <c r="K183" i="8"/>
  <c r="K199" i="8"/>
  <c r="K223" i="8"/>
  <c r="K239" i="8"/>
  <c r="K20" i="8"/>
  <c r="K75" i="8"/>
  <c r="K122" i="8"/>
  <c r="K130" i="8"/>
  <c r="K138" i="8"/>
  <c r="K162" i="8"/>
  <c r="K170" i="8"/>
  <c r="K178" i="8"/>
  <c r="K202" i="8"/>
  <c r="K210" i="8"/>
  <c r="K218" i="8"/>
  <c r="K242" i="8"/>
  <c r="K21" i="8"/>
  <c r="K37" i="8"/>
  <c r="K97" i="8"/>
  <c r="K115" i="8"/>
  <c r="K123" i="8"/>
  <c r="K139" i="8"/>
  <c r="K155" i="8"/>
  <c r="K163" i="8"/>
  <c r="K179" i="8"/>
  <c r="K195" i="8"/>
  <c r="K203" i="8"/>
  <c r="K219" i="8"/>
  <c r="K243" i="8"/>
  <c r="K28" i="8"/>
  <c r="K59" i="8"/>
  <c r="K80" i="8"/>
  <c r="K101" i="8"/>
  <c r="K118" i="8"/>
  <c r="K142" i="8"/>
  <c r="K150" i="8"/>
  <c r="K158" i="8"/>
  <c r="K182" i="8"/>
  <c r="K190" i="8"/>
  <c r="K222" i="8"/>
  <c r="K238" i="8"/>
  <c r="K110" i="8"/>
  <c r="K198" i="8"/>
  <c r="K230" i="8"/>
  <c r="C40" i="3" l="1"/>
  <c r="B40" i="3" s="1"/>
  <c r="C39" i="3"/>
  <c r="B39" i="3" s="1"/>
  <c r="C38" i="3"/>
  <c r="B38" i="3" s="1"/>
  <c r="C37" i="3"/>
  <c r="B37" i="3" s="1"/>
  <c r="C36" i="3"/>
  <c r="B36" i="3" s="1"/>
  <c r="C35" i="3"/>
  <c r="B35" i="3" s="1"/>
  <c r="C34" i="3"/>
  <c r="B34" i="3" s="1"/>
  <c r="C33" i="3"/>
  <c r="B33" i="3" s="1"/>
  <c r="H28" i="8"/>
  <c r="H48" i="8" s="1"/>
  <c r="H30" i="8"/>
  <c r="H50" i="8" s="1"/>
  <c r="H35" i="8"/>
  <c r="H55" i="8" s="1"/>
  <c r="H37" i="8"/>
  <c r="H57" i="8" s="1"/>
  <c r="H38" i="8"/>
  <c r="H58" i="8" s="1"/>
  <c r="H39" i="8"/>
  <c r="H59" i="8" s="1"/>
  <c r="H40" i="8"/>
  <c r="H60" i="8" s="1"/>
  <c r="H41" i="8"/>
  <c r="H61" i="8" s="1"/>
  <c r="H42" i="8"/>
  <c r="H62" i="8" s="1"/>
  <c r="H43" i="8"/>
  <c r="H63" i="8" s="1"/>
  <c r="C21" i="3"/>
  <c r="B42" i="3" l="1"/>
  <c r="H82" i="8"/>
  <c r="H81" i="8"/>
  <c r="H83" i="8"/>
  <c r="H75" i="8"/>
  <c r="H78" i="8"/>
  <c r="H77" i="8"/>
  <c r="H80" i="8"/>
  <c r="H70" i="8"/>
  <c r="H68" i="8"/>
  <c r="H79" i="8"/>
  <c r="G226" i="8"/>
  <c r="L226" i="8" s="1"/>
  <c r="G242" i="8"/>
  <c r="L242" i="8" s="1"/>
  <c r="H100" i="8" l="1"/>
  <c r="H97" i="8"/>
  <c r="H101" i="8"/>
  <c r="H98" i="8"/>
  <c r="H102" i="8"/>
  <c r="H99" i="8"/>
  <c r="H88" i="8"/>
  <c r="H103" i="8"/>
  <c r="H90" i="8"/>
  <c r="H95" i="8"/>
  <c r="G36" i="8"/>
  <c r="L36" i="8" s="1"/>
  <c r="G20" i="8"/>
  <c r="L20" i="8" s="1"/>
  <c r="G34" i="8"/>
  <c r="L34" i="8" s="1"/>
  <c r="G8" i="8"/>
  <c r="L8" i="8" s="1"/>
  <c r="G23" i="8"/>
  <c r="L23" i="8" s="1"/>
  <c r="G15" i="8"/>
  <c r="L15" i="8" s="1"/>
  <c r="G7" i="8"/>
  <c r="L7" i="8" s="1"/>
  <c r="G4" i="8"/>
  <c r="L4" i="8" s="1"/>
  <c r="G13" i="8"/>
  <c r="L13" i="8" s="1"/>
  <c r="G12" i="8"/>
  <c r="L12" i="8" s="1"/>
  <c r="G17" i="8"/>
  <c r="L17" i="8" s="1"/>
  <c r="G5" i="8"/>
  <c r="L5" i="8" s="1"/>
  <c r="G19" i="8"/>
  <c r="L19" i="8" s="1"/>
  <c r="G11" i="8"/>
  <c r="L11" i="8" s="1"/>
  <c r="G21" i="8"/>
  <c r="L21" i="8" s="1"/>
  <c r="G10" i="8"/>
  <c r="L10" i="8" s="1"/>
  <c r="G9" i="8"/>
  <c r="L9" i="8" s="1"/>
  <c r="G18" i="8"/>
  <c r="L18" i="8" s="1"/>
  <c r="G82" i="8"/>
  <c r="L82" i="8" s="1"/>
  <c r="G26" i="8"/>
  <c r="L26" i="8" s="1"/>
  <c r="G162" i="8"/>
  <c r="L162" i="8" s="1"/>
  <c r="G16" i="8"/>
  <c r="L16" i="8" s="1"/>
  <c r="G22" i="8"/>
  <c r="L22" i="8" s="1"/>
  <c r="G14" i="8"/>
  <c r="L14" i="8" s="1"/>
  <c r="G6" i="8"/>
  <c r="L6" i="8" s="1"/>
  <c r="G62" i="8"/>
  <c r="L62" i="8" s="1"/>
  <c r="G54" i="8"/>
  <c r="L54" i="8" s="1"/>
  <c r="G46" i="8"/>
  <c r="L46" i="8" s="1"/>
  <c r="G102" i="8"/>
  <c r="L102" i="8" s="1"/>
  <c r="G86" i="8"/>
  <c r="L86" i="8" s="1"/>
  <c r="G142" i="8"/>
  <c r="L142" i="8" s="1"/>
  <c r="G126" i="8"/>
  <c r="L126" i="8" s="1"/>
  <c r="G182" i="8"/>
  <c r="L182" i="8" s="1"/>
  <c r="G166" i="8"/>
  <c r="L166" i="8" s="1"/>
  <c r="G222" i="8"/>
  <c r="L222" i="8" s="1"/>
  <c r="G206" i="8"/>
  <c r="L206" i="8" s="1"/>
  <c r="G42" i="8"/>
  <c r="L42" i="8" s="1"/>
  <c r="G66" i="8"/>
  <c r="L66" i="8" s="1"/>
  <c r="G122" i="8"/>
  <c r="L122" i="8" s="1"/>
  <c r="G146" i="8"/>
  <c r="L146" i="8" s="1"/>
  <c r="G106" i="8"/>
  <c r="L106" i="8" s="1"/>
  <c r="G202" i="8"/>
  <c r="L202" i="8" s="1"/>
  <c r="G186" i="8"/>
  <c r="L186" i="8" s="1"/>
  <c r="I16" i="8" l="1"/>
  <c r="K16" i="8" s="1"/>
  <c r="I11" i="8"/>
  <c r="K11" i="8" s="1"/>
  <c r="I14" i="8"/>
  <c r="K14" i="8" s="1"/>
  <c r="I5" i="8"/>
  <c r="K5" i="8" s="1"/>
  <c r="I4" i="8"/>
  <c r="K4" i="8" s="1"/>
  <c r="I12" i="8"/>
  <c r="K12" i="8" s="1"/>
  <c r="I6" i="8"/>
  <c r="K6" i="8" s="1"/>
  <c r="I9" i="8"/>
  <c r="K9" i="8" s="1"/>
  <c r="I13" i="8"/>
  <c r="K13" i="8" s="1"/>
  <c r="I7" i="8"/>
  <c r="K7" i="8" s="1"/>
  <c r="H117" i="8"/>
  <c r="H115" i="8"/>
  <c r="H108" i="8"/>
  <c r="H110" i="8"/>
  <c r="H120" i="8"/>
  <c r="H123" i="8"/>
  <c r="H122" i="8"/>
  <c r="H118" i="8"/>
  <c r="H119" i="8"/>
  <c r="H121" i="8"/>
  <c r="G56" i="8"/>
  <c r="L56" i="8" s="1"/>
  <c r="G76" i="8"/>
  <c r="L76" i="8" s="1"/>
  <c r="G74" i="8"/>
  <c r="L74" i="8" s="1"/>
  <c r="G40" i="8"/>
  <c r="L40" i="8" s="1"/>
  <c r="G29" i="8"/>
  <c r="L29" i="8" s="1"/>
  <c r="G43" i="8"/>
  <c r="L43" i="8" s="1"/>
  <c r="G30" i="8"/>
  <c r="L30" i="8" s="1"/>
  <c r="G28" i="8"/>
  <c r="L28" i="8" s="1"/>
  <c r="G41" i="8"/>
  <c r="L41" i="8" s="1"/>
  <c r="G37" i="8"/>
  <c r="L37" i="8" s="1"/>
  <c r="G27" i="8"/>
  <c r="L27" i="8" s="1"/>
  <c r="G39" i="8"/>
  <c r="L39" i="8" s="1"/>
  <c r="G25" i="8"/>
  <c r="L25" i="8" s="1"/>
  <c r="G33" i="8"/>
  <c r="L33" i="8" s="1"/>
  <c r="G24" i="8"/>
  <c r="L24" i="8" s="1"/>
  <c r="G38" i="8"/>
  <c r="L38" i="8" s="1"/>
  <c r="G31" i="8"/>
  <c r="L31" i="8" s="1"/>
  <c r="G32" i="8"/>
  <c r="L32" i="8" s="1"/>
  <c r="G35" i="8"/>
  <c r="L35" i="8" s="1"/>
  <c r="H27" i="8" l="1"/>
  <c r="I27" i="8" s="1"/>
  <c r="K27" i="8" s="1"/>
  <c r="H32" i="8"/>
  <c r="I32" i="8" s="1"/>
  <c r="K32" i="8" s="1"/>
  <c r="H31" i="8"/>
  <c r="I31" i="8" s="1"/>
  <c r="K31" i="8" s="1"/>
  <c r="H29" i="8"/>
  <c r="H25" i="8"/>
  <c r="I25" i="8" s="1"/>
  <c r="K25" i="8" s="1"/>
  <c r="H33" i="8"/>
  <c r="I33" i="8" s="1"/>
  <c r="K33" i="8" s="1"/>
  <c r="H26" i="8"/>
  <c r="I26" i="8" s="1"/>
  <c r="K26" i="8" s="1"/>
  <c r="H24" i="8"/>
  <c r="I24" i="8" s="1"/>
  <c r="K24" i="8" s="1"/>
  <c r="H34" i="8"/>
  <c r="I34" i="8" s="1"/>
  <c r="K34" i="8" s="1"/>
  <c r="H36" i="8"/>
  <c r="H142" i="8"/>
  <c r="H135" i="8"/>
  <c r="H143" i="8"/>
  <c r="H140" i="8"/>
  <c r="H139" i="8"/>
  <c r="H137" i="8"/>
  <c r="H128" i="8"/>
  <c r="H141" i="8"/>
  <c r="H138" i="8"/>
  <c r="H130" i="8"/>
  <c r="G94" i="8"/>
  <c r="L94" i="8" s="1"/>
  <c r="G60" i="8"/>
  <c r="L60" i="8" s="1"/>
  <c r="G96" i="8"/>
  <c r="L96" i="8" s="1"/>
  <c r="G48" i="8"/>
  <c r="L48" i="8" s="1"/>
  <c r="G59" i="8"/>
  <c r="L59" i="8" s="1"/>
  <c r="G55" i="8"/>
  <c r="L55" i="8" s="1"/>
  <c r="G47" i="8"/>
  <c r="L47" i="8" s="1"/>
  <c r="G52" i="8"/>
  <c r="L52" i="8" s="1"/>
  <c r="G53" i="8"/>
  <c r="L53" i="8" s="1"/>
  <c r="G57" i="8"/>
  <c r="L57" i="8" s="1"/>
  <c r="G50" i="8"/>
  <c r="L50" i="8" s="1"/>
  <c r="G44" i="8"/>
  <c r="L44" i="8" s="1"/>
  <c r="G51" i="8"/>
  <c r="L51" i="8" s="1"/>
  <c r="G45" i="8"/>
  <c r="L45" i="8" s="1"/>
  <c r="G61" i="8"/>
  <c r="L61" i="8" s="1"/>
  <c r="G63" i="8"/>
  <c r="L63" i="8" s="1"/>
  <c r="G58" i="8"/>
  <c r="L58" i="8" s="1"/>
  <c r="G49" i="8"/>
  <c r="L49" i="8" s="1"/>
  <c r="H45" i="8" l="1"/>
  <c r="I45" i="8" s="1"/>
  <c r="K45" i="8" s="1"/>
  <c r="H51" i="8"/>
  <c r="I51" i="8" s="1"/>
  <c r="K51" i="8" s="1"/>
  <c r="H44" i="8"/>
  <c r="I44" i="8" s="1"/>
  <c r="K44" i="8" s="1"/>
  <c r="H46" i="8"/>
  <c r="I46" i="8" s="1"/>
  <c r="K46" i="8" s="1"/>
  <c r="H47" i="8"/>
  <c r="I47" i="8" s="1"/>
  <c r="K47" i="8" s="1"/>
  <c r="I36" i="8"/>
  <c r="K36" i="8" s="1"/>
  <c r="H52" i="8"/>
  <c r="I52" i="8" s="1"/>
  <c r="K52" i="8" s="1"/>
  <c r="H54" i="8"/>
  <c r="I54" i="8" s="1"/>
  <c r="K54" i="8" s="1"/>
  <c r="H53" i="8"/>
  <c r="I53" i="8" s="1"/>
  <c r="K53" i="8" s="1"/>
  <c r="I29" i="8"/>
  <c r="K29" i="8" s="1"/>
  <c r="H163" i="8"/>
  <c r="H162" i="8"/>
  <c r="H148" i="8"/>
  <c r="H157" i="8"/>
  <c r="H150" i="8"/>
  <c r="H158" i="8"/>
  <c r="H161" i="8"/>
  <c r="H159" i="8"/>
  <c r="H160" i="8"/>
  <c r="H155" i="8"/>
  <c r="G116" i="8"/>
  <c r="L116" i="8" s="1"/>
  <c r="G114" i="8"/>
  <c r="L114" i="8" s="1"/>
  <c r="G80" i="8"/>
  <c r="L80" i="8" s="1"/>
  <c r="G69" i="8"/>
  <c r="L69" i="8" s="1"/>
  <c r="G65" i="8"/>
  <c r="L65" i="8" s="1"/>
  <c r="G77" i="8"/>
  <c r="L77" i="8" s="1"/>
  <c r="G75" i="8"/>
  <c r="L75" i="8" s="1"/>
  <c r="G70" i="8"/>
  <c r="L70" i="8" s="1"/>
  <c r="G78" i="8"/>
  <c r="L78" i="8" s="1"/>
  <c r="G71" i="8"/>
  <c r="L71" i="8" s="1"/>
  <c r="G73" i="8"/>
  <c r="L73" i="8" s="1"/>
  <c r="G79" i="8"/>
  <c r="L79" i="8" s="1"/>
  <c r="G81" i="8"/>
  <c r="L81" i="8" s="1"/>
  <c r="G67" i="8"/>
  <c r="L67" i="8" s="1"/>
  <c r="G83" i="8"/>
  <c r="L83" i="8" s="1"/>
  <c r="G64" i="8"/>
  <c r="L64" i="8" s="1"/>
  <c r="G72" i="8"/>
  <c r="L72" i="8" s="1"/>
  <c r="G68" i="8"/>
  <c r="L68" i="8" s="1"/>
  <c r="H56" i="8" l="1"/>
  <c r="I56" i="8" s="1"/>
  <c r="K56" i="8" s="1"/>
  <c r="H73" i="8"/>
  <c r="I73" i="8" s="1"/>
  <c r="K73" i="8" s="1"/>
  <c r="H71" i="8"/>
  <c r="I71" i="8" s="1"/>
  <c r="K71" i="8" s="1"/>
  <c r="H65" i="8"/>
  <c r="I65" i="8" s="1"/>
  <c r="K65" i="8" s="1"/>
  <c r="H67" i="8"/>
  <c r="I67" i="8" s="1"/>
  <c r="K67" i="8" s="1"/>
  <c r="H49" i="8"/>
  <c r="I49" i="8" s="1"/>
  <c r="K49" i="8" s="1"/>
  <c r="H72" i="8"/>
  <c r="I72" i="8" s="1"/>
  <c r="K72" i="8" s="1"/>
  <c r="H74" i="8"/>
  <c r="I74" i="8" s="1"/>
  <c r="K74" i="8" s="1"/>
  <c r="H64" i="8"/>
  <c r="I64" i="8" s="1"/>
  <c r="K64" i="8" s="1"/>
  <c r="H66" i="8"/>
  <c r="I66" i="8" s="1"/>
  <c r="K66" i="8" s="1"/>
  <c r="H175" i="8"/>
  <c r="H183" i="8"/>
  <c r="H182" i="8"/>
  <c r="H181" i="8"/>
  <c r="H179" i="8"/>
  <c r="H168" i="8"/>
  <c r="H170" i="8"/>
  <c r="H180" i="8"/>
  <c r="H178" i="8"/>
  <c r="H177" i="8"/>
  <c r="G134" i="8"/>
  <c r="L134" i="8" s="1"/>
  <c r="G136" i="8"/>
  <c r="L136" i="8" s="1"/>
  <c r="G100" i="8"/>
  <c r="L100" i="8" s="1"/>
  <c r="G93" i="8"/>
  <c r="L93" i="8" s="1"/>
  <c r="G84" i="8"/>
  <c r="L84" i="8" s="1"/>
  <c r="G99" i="8"/>
  <c r="L99" i="8" s="1"/>
  <c r="G90" i="8"/>
  <c r="L90" i="8" s="1"/>
  <c r="G89" i="8"/>
  <c r="L89" i="8" s="1"/>
  <c r="G103" i="8"/>
  <c r="L103" i="8" s="1"/>
  <c r="G91" i="8"/>
  <c r="L91" i="8" s="1"/>
  <c r="G95" i="8"/>
  <c r="L95" i="8" s="1"/>
  <c r="G88" i="8"/>
  <c r="L88" i="8" s="1"/>
  <c r="G87" i="8"/>
  <c r="L87" i="8" s="1"/>
  <c r="G97" i="8"/>
  <c r="L97" i="8" s="1"/>
  <c r="G92" i="8"/>
  <c r="L92" i="8" s="1"/>
  <c r="G101" i="8"/>
  <c r="L101" i="8" s="1"/>
  <c r="G98" i="8"/>
  <c r="L98" i="8" s="1"/>
  <c r="G85" i="8"/>
  <c r="L85" i="8" s="1"/>
  <c r="H76" i="8" l="1"/>
  <c r="I76" i="8" s="1"/>
  <c r="K76" i="8" s="1"/>
  <c r="H92" i="8"/>
  <c r="I92" i="8" s="1"/>
  <c r="K92" i="8" s="1"/>
  <c r="H91" i="8"/>
  <c r="I91" i="8" s="1"/>
  <c r="K91" i="8" s="1"/>
  <c r="H84" i="8"/>
  <c r="I84" i="8" s="1"/>
  <c r="K84" i="8" s="1"/>
  <c r="H94" i="8"/>
  <c r="I94" i="8" s="1"/>
  <c r="K94" i="8" s="1"/>
  <c r="H87" i="8"/>
  <c r="I87" i="8" s="1"/>
  <c r="K87" i="8" s="1"/>
  <c r="H93" i="8"/>
  <c r="I93" i="8" s="1"/>
  <c r="K93" i="8" s="1"/>
  <c r="H86" i="8"/>
  <c r="I86" i="8" s="1"/>
  <c r="K86" i="8" s="1"/>
  <c r="H85" i="8"/>
  <c r="I85" i="8" s="1"/>
  <c r="K85" i="8" s="1"/>
  <c r="H69" i="8"/>
  <c r="I69" i="8" s="1"/>
  <c r="K69" i="8" s="1"/>
  <c r="H195" i="8"/>
  <c r="H201" i="8"/>
  <c r="H203" i="8"/>
  <c r="H198" i="8"/>
  <c r="H200" i="8"/>
  <c r="H202" i="8"/>
  <c r="H197" i="8"/>
  <c r="H190" i="8"/>
  <c r="H199" i="8"/>
  <c r="G156" i="8"/>
  <c r="L156" i="8" s="1"/>
  <c r="G154" i="8"/>
  <c r="L154" i="8" s="1"/>
  <c r="G120" i="8"/>
  <c r="L120" i="8" s="1"/>
  <c r="G121" i="8"/>
  <c r="L121" i="8" s="1"/>
  <c r="G108" i="8"/>
  <c r="L108" i="8" s="1"/>
  <c r="G109" i="8"/>
  <c r="L109" i="8" s="1"/>
  <c r="G113" i="8"/>
  <c r="L113" i="8" s="1"/>
  <c r="G112" i="8"/>
  <c r="L112" i="8" s="1"/>
  <c r="G110" i="8"/>
  <c r="L110" i="8" s="1"/>
  <c r="G111" i="8"/>
  <c r="L111" i="8" s="1"/>
  <c r="G115" i="8"/>
  <c r="L115" i="8" s="1"/>
  <c r="G117" i="8"/>
  <c r="L117" i="8" s="1"/>
  <c r="G119" i="8"/>
  <c r="L119" i="8" s="1"/>
  <c r="G118" i="8"/>
  <c r="L118" i="8" s="1"/>
  <c r="G107" i="8"/>
  <c r="L107" i="8" s="1"/>
  <c r="G123" i="8"/>
  <c r="L123" i="8" s="1"/>
  <c r="G104" i="8"/>
  <c r="L104" i="8" s="1"/>
  <c r="G105" i="8"/>
  <c r="L105" i="8" s="1"/>
  <c r="H96" i="8" l="1"/>
  <c r="I96" i="8" s="1"/>
  <c r="K96" i="8" s="1"/>
  <c r="H105" i="8"/>
  <c r="I105" i="8" s="1"/>
  <c r="K105" i="8" s="1"/>
  <c r="H111" i="8"/>
  <c r="I111" i="8" s="1"/>
  <c r="K111" i="8" s="1"/>
  <c r="H107" i="8"/>
  <c r="I107" i="8" s="1"/>
  <c r="K107" i="8" s="1"/>
  <c r="H89" i="8"/>
  <c r="I89" i="8" s="1"/>
  <c r="K89" i="8" s="1"/>
  <c r="H106" i="8"/>
  <c r="I106" i="8" s="1"/>
  <c r="K106" i="8" s="1"/>
  <c r="H114" i="8"/>
  <c r="I114" i="8" s="1"/>
  <c r="K114" i="8" s="1"/>
  <c r="H112" i="8"/>
  <c r="I112" i="8" s="1"/>
  <c r="K112" i="8" s="1"/>
  <c r="H113" i="8"/>
  <c r="I113" i="8" s="1"/>
  <c r="K113" i="8" s="1"/>
  <c r="H104" i="8"/>
  <c r="I104" i="8" s="1"/>
  <c r="K104" i="8" s="1"/>
  <c r="H223" i="8"/>
  <c r="H218" i="8"/>
  <c r="H219" i="8"/>
  <c r="H222" i="8"/>
  <c r="H220" i="8"/>
  <c r="H217" i="8"/>
  <c r="H215" i="8"/>
  <c r="H210" i="8"/>
  <c r="H221" i="8"/>
  <c r="G174" i="8"/>
  <c r="L174" i="8" s="1"/>
  <c r="G140" i="8"/>
  <c r="L140" i="8" s="1"/>
  <c r="G176" i="8"/>
  <c r="L176" i="8" s="1"/>
  <c r="G143" i="8"/>
  <c r="L143" i="8" s="1"/>
  <c r="G137" i="8"/>
  <c r="L137" i="8" s="1"/>
  <c r="G132" i="8"/>
  <c r="L132" i="8" s="1"/>
  <c r="G141" i="8"/>
  <c r="L141" i="8" s="1"/>
  <c r="G127" i="8"/>
  <c r="L127" i="8" s="1"/>
  <c r="G135" i="8"/>
  <c r="L135" i="8" s="1"/>
  <c r="G133" i="8"/>
  <c r="L133" i="8" s="1"/>
  <c r="G131" i="8"/>
  <c r="L131" i="8" s="1"/>
  <c r="G125" i="8"/>
  <c r="L125" i="8" s="1"/>
  <c r="G138" i="8"/>
  <c r="L138" i="8" s="1"/>
  <c r="G129" i="8"/>
  <c r="L129" i="8" s="1"/>
  <c r="G124" i="8"/>
  <c r="L124" i="8" s="1"/>
  <c r="G139" i="8"/>
  <c r="L139" i="8" s="1"/>
  <c r="G130" i="8"/>
  <c r="L130" i="8" s="1"/>
  <c r="G128" i="8"/>
  <c r="L128" i="8" s="1"/>
  <c r="H116" i="8" l="1"/>
  <c r="I116" i="8" s="1"/>
  <c r="K116" i="8" s="1"/>
  <c r="H124" i="8"/>
  <c r="I124" i="8" s="1"/>
  <c r="K124" i="8" s="1"/>
  <c r="H133" i="8"/>
  <c r="I133" i="8" s="1"/>
  <c r="K133" i="8" s="1"/>
  <c r="H131" i="8"/>
  <c r="I131" i="8" s="1"/>
  <c r="K131" i="8" s="1"/>
  <c r="H132" i="8"/>
  <c r="I132" i="8" s="1"/>
  <c r="K132" i="8" s="1"/>
  <c r="H125" i="8"/>
  <c r="I125" i="8" s="1"/>
  <c r="K125" i="8" s="1"/>
  <c r="H126" i="8"/>
  <c r="I126" i="8" s="1"/>
  <c r="K126" i="8" s="1"/>
  <c r="H136" i="8"/>
  <c r="I136" i="8" s="1"/>
  <c r="K136" i="8" s="1"/>
  <c r="H134" i="8"/>
  <c r="I134" i="8" s="1"/>
  <c r="K134" i="8" s="1"/>
  <c r="H109" i="8"/>
  <c r="I109" i="8" s="1"/>
  <c r="K109" i="8" s="1"/>
  <c r="H127" i="8"/>
  <c r="I127" i="8" s="1"/>
  <c r="K127" i="8" s="1"/>
  <c r="H237" i="8"/>
  <c r="H243" i="8"/>
  <c r="H240" i="8"/>
  <c r="H241" i="8"/>
  <c r="H239" i="8"/>
  <c r="H238" i="8"/>
  <c r="H230" i="8"/>
  <c r="H242" i="8"/>
  <c r="G196" i="8"/>
  <c r="L196" i="8" s="1"/>
  <c r="G160" i="8"/>
  <c r="L160" i="8" s="1"/>
  <c r="G194" i="8"/>
  <c r="L194" i="8" s="1"/>
  <c r="G144" i="8"/>
  <c r="L144" i="8" s="1"/>
  <c r="G151" i="8"/>
  <c r="L151" i="8" s="1"/>
  <c r="G161" i="8"/>
  <c r="L161" i="8" s="1"/>
  <c r="G148" i="8"/>
  <c r="L148" i="8" s="1"/>
  <c r="G149" i="8"/>
  <c r="L149" i="8" s="1"/>
  <c r="G153" i="8"/>
  <c r="L153" i="8" s="1"/>
  <c r="G152" i="8"/>
  <c r="L152" i="8" s="1"/>
  <c r="G150" i="8"/>
  <c r="L150" i="8" s="1"/>
  <c r="G158" i="8"/>
  <c r="L158" i="8" s="1"/>
  <c r="G155" i="8"/>
  <c r="L155" i="8" s="1"/>
  <c r="G157" i="8"/>
  <c r="L157" i="8" s="1"/>
  <c r="G159" i="8"/>
  <c r="L159" i="8" s="1"/>
  <c r="G145" i="8"/>
  <c r="L145" i="8" s="1"/>
  <c r="G147" i="8"/>
  <c r="L147" i="8" s="1"/>
  <c r="G163" i="8"/>
  <c r="L163" i="8" s="1"/>
  <c r="H147" i="8" l="1"/>
  <c r="I147" i="8" s="1"/>
  <c r="K147" i="8" s="1"/>
  <c r="H129" i="8"/>
  <c r="I129" i="8" s="1"/>
  <c r="K129" i="8" s="1"/>
  <c r="H156" i="8"/>
  <c r="I156" i="8" s="1"/>
  <c r="K156" i="8" s="1"/>
  <c r="H145" i="8"/>
  <c r="I145" i="8" s="1"/>
  <c r="K145" i="8" s="1"/>
  <c r="H153" i="8"/>
  <c r="I153" i="8" s="1"/>
  <c r="K153" i="8" s="1"/>
  <c r="H152" i="8"/>
  <c r="I152" i="8" s="1"/>
  <c r="K152" i="8" s="1"/>
  <c r="H154" i="8"/>
  <c r="I154" i="8" s="1"/>
  <c r="K154" i="8" s="1"/>
  <c r="H146" i="8"/>
  <c r="I146" i="8" s="1"/>
  <c r="K146" i="8" s="1"/>
  <c r="H151" i="8"/>
  <c r="I151" i="8" s="1"/>
  <c r="K151" i="8" s="1"/>
  <c r="H144" i="8"/>
  <c r="I144" i="8" s="1"/>
  <c r="K144" i="8" s="1"/>
  <c r="G234" i="8"/>
  <c r="L234" i="8" s="1"/>
  <c r="G214" i="8"/>
  <c r="L214" i="8" s="1"/>
  <c r="G180" i="8"/>
  <c r="L180" i="8" s="1"/>
  <c r="G236" i="8"/>
  <c r="L236" i="8" s="1"/>
  <c r="G216" i="8"/>
  <c r="L216" i="8" s="1"/>
  <c r="G179" i="8"/>
  <c r="L179" i="8" s="1"/>
  <c r="G170" i="8"/>
  <c r="L170" i="8" s="1"/>
  <c r="G183" i="8"/>
  <c r="L183" i="8" s="1"/>
  <c r="G177" i="8"/>
  <c r="L177" i="8" s="1"/>
  <c r="G172" i="8"/>
  <c r="L172" i="8" s="1"/>
  <c r="G181" i="8"/>
  <c r="L181" i="8" s="1"/>
  <c r="G167" i="8"/>
  <c r="L167" i="8" s="1"/>
  <c r="G175" i="8"/>
  <c r="L175" i="8" s="1"/>
  <c r="G173" i="8"/>
  <c r="L173" i="8" s="1"/>
  <c r="G171" i="8"/>
  <c r="L171" i="8" s="1"/>
  <c r="G168" i="8"/>
  <c r="L168" i="8" s="1"/>
  <c r="G165" i="8"/>
  <c r="L165" i="8" s="1"/>
  <c r="G178" i="8"/>
  <c r="L178" i="8" s="1"/>
  <c r="G169" i="8"/>
  <c r="L169" i="8" s="1"/>
  <c r="G164" i="8"/>
  <c r="L164" i="8" s="1"/>
  <c r="H164" i="8" l="1"/>
  <c r="I164" i="8" s="1"/>
  <c r="K164" i="8" s="1"/>
  <c r="H165" i="8"/>
  <c r="I165" i="8" s="1"/>
  <c r="K165" i="8" s="1"/>
  <c r="H171" i="8"/>
  <c r="I171" i="8" s="1"/>
  <c r="K171" i="8" s="1"/>
  <c r="H173" i="8"/>
  <c r="I173" i="8" s="1"/>
  <c r="K173" i="8" s="1"/>
  <c r="H149" i="8"/>
  <c r="I149" i="8" s="1"/>
  <c r="K149" i="8" s="1"/>
  <c r="I168" i="8"/>
  <c r="K168" i="8" s="1"/>
  <c r="H174" i="8"/>
  <c r="I174" i="8" s="1"/>
  <c r="K174" i="8" s="1"/>
  <c r="H172" i="8"/>
  <c r="I172" i="8" s="1"/>
  <c r="K172" i="8" s="1"/>
  <c r="H166" i="8"/>
  <c r="I166" i="8" s="1"/>
  <c r="K166" i="8" s="1"/>
  <c r="H167" i="8"/>
  <c r="I167" i="8" s="1"/>
  <c r="K167" i="8" s="1"/>
  <c r="H176" i="8"/>
  <c r="I176" i="8" s="1"/>
  <c r="K176" i="8" s="1"/>
  <c r="G200" i="8"/>
  <c r="L200" i="8" s="1"/>
  <c r="G197" i="8"/>
  <c r="L197" i="8" s="1"/>
  <c r="G184" i="8"/>
  <c r="L184" i="8" s="1"/>
  <c r="G188" i="8"/>
  <c r="L188" i="8" s="1"/>
  <c r="G187" i="8"/>
  <c r="L187" i="8" s="1"/>
  <c r="G203" i="8"/>
  <c r="L203" i="8" s="1"/>
  <c r="G185" i="8"/>
  <c r="L185" i="8" s="1"/>
  <c r="G189" i="8"/>
  <c r="L189" i="8" s="1"/>
  <c r="G191" i="8"/>
  <c r="L191" i="8" s="1"/>
  <c r="G201" i="8"/>
  <c r="L201" i="8" s="1"/>
  <c r="G190" i="8"/>
  <c r="L190" i="8" s="1"/>
  <c r="G195" i="8"/>
  <c r="L195" i="8" s="1"/>
  <c r="G198" i="8"/>
  <c r="L198" i="8" s="1"/>
  <c r="G193" i="8"/>
  <c r="L193" i="8" s="1"/>
  <c r="G192" i="8"/>
  <c r="L192" i="8" s="1"/>
  <c r="G199" i="8"/>
  <c r="L199" i="8" s="1"/>
  <c r="H187" i="8" l="1"/>
  <c r="I187" i="8" s="1"/>
  <c r="K187" i="8" s="1"/>
  <c r="H193" i="8"/>
  <c r="I193" i="8" s="1"/>
  <c r="K193" i="8" s="1"/>
  <c r="H196" i="8"/>
  <c r="I196" i="8" s="1"/>
  <c r="K196" i="8" s="1"/>
  <c r="H194" i="8"/>
  <c r="I194" i="8" s="1"/>
  <c r="K194" i="8" s="1"/>
  <c r="H188" i="8"/>
  <c r="I188" i="8" s="1"/>
  <c r="K188" i="8" s="1"/>
  <c r="H186" i="8"/>
  <c r="I186" i="8" s="1"/>
  <c r="K186" i="8" s="1"/>
  <c r="H184" i="8"/>
  <c r="I184" i="8" s="1"/>
  <c r="K184" i="8" s="1"/>
  <c r="H185" i="8"/>
  <c r="I185" i="8" s="1"/>
  <c r="K185" i="8" s="1"/>
  <c r="H192" i="8"/>
  <c r="I192" i="8" s="1"/>
  <c r="K192" i="8" s="1"/>
  <c r="H191" i="8"/>
  <c r="I191" i="8" s="1"/>
  <c r="K191" i="8" s="1"/>
  <c r="H169" i="8"/>
  <c r="I169" i="8" s="1"/>
  <c r="K169" i="8" s="1"/>
  <c r="G240" i="8"/>
  <c r="L240" i="8" s="1"/>
  <c r="G220" i="8"/>
  <c r="L220" i="8" s="1"/>
  <c r="G229" i="8"/>
  <c r="L229" i="8" s="1"/>
  <c r="G209" i="8"/>
  <c r="L209" i="8" s="1"/>
  <c r="G228" i="8"/>
  <c r="L228" i="8" s="1"/>
  <c r="G208" i="8"/>
  <c r="L208" i="8" s="1"/>
  <c r="G231" i="8"/>
  <c r="L231" i="8" s="1"/>
  <c r="G211" i="8"/>
  <c r="L211" i="8" s="1"/>
  <c r="G235" i="8"/>
  <c r="L235" i="8" s="1"/>
  <c r="G215" i="8"/>
  <c r="L215" i="8" s="1"/>
  <c r="G230" i="8"/>
  <c r="L230" i="8" s="1"/>
  <c r="G210" i="8"/>
  <c r="L210" i="8" s="1"/>
  <c r="G224" i="8"/>
  <c r="L224" i="8" s="1"/>
  <c r="G204" i="8"/>
  <c r="L204" i="8" s="1"/>
  <c r="G238" i="8"/>
  <c r="L238" i="8" s="1"/>
  <c r="G218" i="8"/>
  <c r="L218" i="8" s="1"/>
  <c r="G232" i="8"/>
  <c r="L232" i="8" s="1"/>
  <c r="G212" i="8"/>
  <c r="L212" i="8" s="1"/>
  <c r="G227" i="8"/>
  <c r="L227" i="8" s="1"/>
  <c r="G207" i="8"/>
  <c r="L207" i="8" s="1"/>
  <c r="G239" i="8"/>
  <c r="L239" i="8" s="1"/>
  <c r="G219" i="8"/>
  <c r="L219" i="8" s="1"/>
  <c r="G225" i="8"/>
  <c r="L225" i="8" s="1"/>
  <c r="G205" i="8"/>
  <c r="L205" i="8" s="1"/>
  <c r="G233" i="8"/>
  <c r="L233" i="8" s="1"/>
  <c r="G213" i="8"/>
  <c r="L213" i="8" s="1"/>
  <c r="G241" i="8"/>
  <c r="L241" i="8" s="1"/>
  <c r="G221" i="8"/>
  <c r="L221" i="8" s="1"/>
  <c r="G243" i="8"/>
  <c r="L243" i="8" s="1"/>
  <c r="G223" i="8"/>
  <c r="L223" i="8" s="1"/>
  <c r="G237" i="8"/>
  <c r="L237" i="8" s="1"/>
  <c r="G217" i="8"/>
  <c r="L217" i="8" s="1"/>
  <c r="H211" i="8" l="1"/>
  <c r="I211" i="8" s="1"/>
  <c r="K211" i="8" s="1"/>
  <c r="H205" i="8"/>
  <c r="I205" i="8" s="1"/>
  <c r="K205" i="8" s="1"/>
  <c r="H213" i="8"/>
  <c r="H212" i="8"/>
  <c r="I212" i="8" s="1"/>
  <c r="K212" i="8" s="1"/>
  <c r="H204" i="8"/>
  <c r="I204" i="8" s="1"/>
  <c r="K204" i="8" s="1"/>
  <c r="H208" i="8"/>
  <c r="I208" i="8" s="1"/>
  <c r="K208" i="8" s="1"/>
  <c r="H216" i="8"/>
  <c r="I216" i="8" s="1"/>
  <c r="K216" i="8" s="1"/>
  <c r="I213" i="8"/>
  <c r="K213" i="8" s="1"/>
  <c r="I215" i="8"/>
  <c r="K215" i="8" s="1"/>
  <c r="H189" i="8"/>
  <c r="I189" i="8" s="1"/>
  <c r="K189" i="8" s="1"/>
  <c r="H207" i="8"/>
  <c r="I207" i="8" s="1"/>
  <c r="K207" i="8" s="1"/>
  <c r="H206" i="8"/>
  <c r="I206" i="8" s="1"/>
  <c r="K206" i="8" s="1"/>
  <c r="H214" i="8"/>
  <c r="I214" i="8" s="1"/>
  <c r="K214" i="8" s="1"/>
  <c r="L244" i="8" l="1"/>
  <c r="C3" i="1" s="1"/>
  <c r="H227" i="8"/>
  <c r="I227" i="8" s="1"/>
  <c r="K227" i="8" s="1"/>
  <c r="H228" i="8"/>
  <c r="I228" i="8" s="1"/>
  <c r="K228" i="8" s="1"/>
  <c r="H234" i="8"/>
  <c r="I234" i="8" s="1"/>
  <c r="K234" i="8" s="1"/>
  <c r="H232" i="8"/>
  <c r="I232" i="8" s="1"/>
  <c r="K232" i="8" s="1"/>
  <c r="H226" i="8"/>
  <c r="I226" i="8" s="1"/>
  <c r="K226" i="8" s="1"/>
  <c r="H209" i="8"/>
  <c r="I209" i="8" s="1"/>
  <c r="K209" i="8" s="1"/>
  <c r="H235" i="8"/>
  <c r="I235" i="8" s="1"/>
  <c r="K235" i="8" s="1"/>
  <c r="H233" i="8"/>
  <c r="I233" i="8" s="1"/>
  <c r="K233" i="8" s="1"/>
  <c r="H231" i="8"/>
  <c r="I231" i="8" s="1"/>
  <c r="K231" i="8" s="1"/>
  <c r="H236" i="8"/>
  <c r="I236" i="8" s="1"/>
  <c r="K236" i="8" s="1"/>
  <c r="H225" i="8"/>
  <c r="I225" i="8" s="1"/>
  <c r="K225" i="8" s="1"/>
  <c r="H224" i="8"/>
  <c r="I224" i="8" s="1"/>
  <c r="K224" i="8" s="1"/>
  <c r="H229" i="8" l="1"/>
  <c r="I229" i="8" s="1"/>
  <c r="K229" i="8" s="1"/>
  <c r="K244" i="8"/>
  <c r="C2" i="1" s="1"/>
  <c r="C4" i="1" s="1"/>
</calcChain>
</file>

<file path=xl/sharedStrings.xml><?xml version="1.0" encoding="utf-8"?>
<sst xmlns="http://schemas.openxmlformats.org/spreadsheetml/2006/main" count="418" uniqueCount="137">
  <si>
    <t>Year</t>
  </si>
  <si>
    <t>City</t>
  </si>
  <si>
    <t>Variable</t>
  </si>
  <si>
    <t>Category</t>
  </si>
  <si>
    <t>Source</t>
  </si>
  <si>
    <t>Date</t>
  </si>
  <si>
    <t>Notes</t>
  </si>
  <si>
    <t>Demand</t>
  </si>
  <si>
    <t>gen</t>
  </si>
  <si>
    <t>WDI</t>
  </si>
  <si>
    <t>Inflation rate, USD 2019 = ______ USD 2016</t>
  </si>
  <si>
    <t>Inflation rate, USD 2019 = ______ 2015:</t>
  </si>
  <si>
    <t>Inflation rate, USD 2019 = ______ 2014:</t>
  </si>
  <si>
    <t>Inflation rate, USD 2019 = ______ 2012:</t>
  </si>
  <si>
    <t>Inflation rate, USD 2019 = ______ 2005:</t>
  </si>
  <si>
    <t>Inflation rate, USD 2019 = ______ 1997:</t>
  </si>
  <si>
    <t>Inflation rate, USD 2019 = ______ 1996:</t>
  </si>
  <si>
    <t>Price level ratio of PPP conversion factor (GDP) to market exchange rate in 2005</t>
  </si>
  <si>
    <t>https://data.worldbank.org/indicator/PA.NUS.PPPC.RF?locations=BO</t>
  </si>
  <si>
    <t>PPP of Colombia in 2015</t>
  </si>
  <si>
    <t>PPP of Bolivia in 2015</t>
  </si>
  <si>
    <t>PPP of Bolivia in 2016</t>
  </si>
  <si>
    <t>PPP of India in 2016</t>
  </si>
  <si>
    <t>https://data.worldbank.org/indicator/PA.NUS.PPPC.RF?locations=IN</t>
  </si>
  <si>
    <t>https://data.worldbank.org/indicator/PA.NUS.FCRF?locations=IN</t>
  </si>
  <si>
    <t>S.No.</t>
  </si>
  <si>
    <t>Item</t>
  </si>
  <si>
    <t>Maintenance</t>
  </si>
  <si>
    <t xml:space="preserve"> Sucre</t>
  </si>
  <si>
    <t xml:space="preserve"> La Paz</t>
  </si>
  <si>
    <t xml:space="preserve"> El Alto</t>
  </si>
  <si>
    <t xml:space="preserve"> Viacha</t>
  </si>
  <si>
    <t xml:space="preserve"> Cochabamba</t>
  </si>
  <si>
    <t xml:space="preserve"> Quillacollo</t>
  </si>
  <si>
    <t xml:space="preserve"> Tiquipaya</t>
  </si>
  <si>
    <t xml:space="preserve"> Colcapirhua</t>
  </si>
  <si>
    <t xml:space="preserve"> Sacaba</t>
  </si>
  <si>
    <t xml:space="preserve"> Oruro</t>
  </si>
  <si>
    <t xml:space="preserve"> Potosí</t>
  </si>
  <si>
    <t xml:space="preserve"> Tarija</t>
  </si>
  <si>
    <t xml:space="preserve"> Yacuiba</t>
  </si>
  <si>
    <t xml:space="preserve"> Santa Cruz de la Sierra</t>
  </si>
  <si>
    <t xml:space="preserve"> La Guardia</t>
  </si>
  <si>
    <t xml:space="preserve"> Warnes</t>
  </si>
  <si>
    <t xml:space="preserve"> Montero</t>
  </si>
  <si>
    <t xml:space="preserve"> Trinidad</t>
  </si>
  <si>
    <t xml:space="preserve"> Riberalta</t>
  </si>
  <si>
    <t xml:space="preserve"> Cobija</t>
  </si>
  <si>
    <t>No</t>
  </si>
  <si>
    <t>COST (USD 2019)</t>
  </si>
  <si>
    <t>Cost (USD 2019)</t>
  </si>
  <si>
    <t>Comment</t>
  </si>
  <si>
    <t>Population (2019)</t>
  </si>
  <si>
    <t>Operation &amp; Maintenance and Admin</t>
  </si>
  <si>
    <t>Operation &amp; Maintenance and Administration</t>
  </si>
  <si>
    <t>RECREATION/PUBLIC/OPEN SPACE</t>
  </si>
  <si>
    <t>PPP of Bolivia in 2003</t>
  </si>
  <si>
    <t>PPP of Bolivia in 2018</t>
  </si>
  <si>
    <t>Most likely in lower income areas</t>
  </si>
  <si>
    <t>Amount of Public Open Space (POS) required per capita (km^2)</t>
  </si>
  <si>
    <t>https://www.ncbi.nlm.nih.gov/pmc/articles/PMC6209905/</t>
  </si>
  <si>
    <t>Simplified to only be "Urban Green Space"</t>
  </si>
  <si>
    <t>Amount of Public Open Space (POS) required as % of total urban area</t>
  </si>
  <si>
    <t>Capital Costs</t>
  </si>
  <si>
    <t>As it is only applying to UGS such as parks, it may be more expensive if other types of POS are already used in the city NOTE: http://www.chescoplanning.org/MuniCorner/Tools/UrbanPark.cfm</t>
  </si>
  <si>
    <t>Operating and Admin expenses per capita</t>
  </si>
  <si>
    <t>O&amp;A</t>
  </si>
  <si>
    <t>https://www.idu.gov.co/Archivos_Portal/2019/Transparencia/Presupuesto/Ejecuciones%20Presupuestales/01_Enero/PRESUPUESTO_IDU_VIGENCIA_2019.pdf</t>
  </si>
  <si>
    <t>Development</t>
  </si>
  <si>
    <t>Open Space Required (Sq. Km)</t>
  </si>
  <si>
    <t>Existing Open Space (Sq. Km)</t>
  </si>
  <si>
    <t>Additional Open Space to be Added (Sq. Km)</t>
  </si>
  <si>
    <t>Unit cost of 1 km^2 of vacant land (USD 2019)</t>
  </si>
  <si>
    <t>Cost of vacant land per m^2 (USD 2019)</t>
  </si>
  <si>
    <t>Source of unit cost of vacant land</t>
  </si>
  <si>
    <t>Sucre</t>
  </si>
  <si>
    <t>https://www.infocasas.com.bo/vendo-lote-de-150mt2-a-us-16900-en-zona-alto-senac-cerca-a-la-nueva-terminal/185824452?v</t>
  </si>
  <si>
    <t>Cochabamba</t>
  </si>
  <si>
    <t>https://toqueeltimbre.com/buscar/Terrenos-en-Venta-en-Cochabamba/58500-dolares-bonito-lote-con-salida-a-3-calles-en-la-zona-de-gaudalupe-km7-a-sacaba---ref-01984</t>
  </si>
  <si>
    <t>La Paz</t>
  </si>
  <si>
    <t>https://toqueeltimbre.com/buscar/Terrenos-en-Venta-en-Bolivia/terreno-irpavi-calle-10</t>
  </si>
  <si>
    <t>Oruro</t>
  </si>
  <si>
    <t>Santa Cruz</t>
  </si>
  <si>
    <t>https://toqueeltimbre.com/buscar/terrenos-en-venta-en-santa-cruz/en-venta-terreno-en-zona-oeste-radial-175</t>
  </si>
  <si>
    <t>Tarija</t>
  </si>
  <si>
    <t>https://toqueeltimbre.com/buscar/Terrenos-en-Venta-en-Tarija/lotes-en-venta-9</t>
  </si>
  <si>
    <t>Quillacollo</t>
  </si>
  <si>
    <t>https://toqueeltimbre.com/buscar/Terrenos-en-Venta-en-Bolivia/54500us-cerca-dorbigny-km-6-bonito-terreno---ref-01448</t>
  </si>
  <si>
    <t>Montero</t>
  </si>
  <si>
    <t>https://www.infocasas.com.bo/25-has-cerca-a-mancha-urbana-ideal-para-urbanizar/235866?v</t>
  </si>
  <si>
    <t>Average Cost of 1Sq.Km vacant land (USD 2019)</t>
  </si>
  <si>
    <t>Cost of Vacant Land and its Improvement for Recreation/Public/Open Space Uses</t>
  </si>
  <si>
    <t>TOTAL</t>
  </si>
  <si>
    <t>Calculate costs to create a "General Park"</t>
  </si>
  <si>
    <t>Unit cost per acre (USD 2003)</t>
  </si>
  <si>
    <t>Unit cost per km^2 (USD 2003)</t>
  </si>
  <si>
    <t>Unit cost per km^2 (USD 2019)</t>
  </si>
  <si>
    <t>Calculate costs to maintain a "General Park" annually</t>
  </si>
  <si>
    <t>Calculate Admin Costs Required to Run Operations and Maintenance Work</t>
  </si>
  <si>
    <t>Using IDU, institute of urban development, Bogota, Colombia. It's work involves preserving transportation and public space systems, reinforce institutional management, build/maintain bike paths, pavements, pedsetrian bridges, squares, plazas.</t>
  </si>
  <si>
    <t>https://unhabitat.org/wp-content/uploads/2015/10/Global%20Public%20Space%20Toolkit.pdf</t>
  </si>
  <si>
    <t>From their document "Presupuestos de rentas e ingresos 2018 - instituto de desarrollo urbano - IDU" or basically their expected income/expenses for 2018</t>
  </si>
  <si>
    <t>Contains</t>
  </si>
  <si>
    <t>Cost (COL Peso 2018)</t>
  </si>
  <si>
    <t>Unit cost per capita (USD 2019)</t>
  </si>
  <si>
    <t>Operating Expenses</t>
  </si>
  <si>
    <t>Personnel expenses, acquisition of goods and services, misc. expenses</t>
  </si>
  <si>
    <t>Investment* planning</t>
  </si>
  <si>
    <t>*Did not include plans related to public transportation, nor bikes or sidewalks, nor the general master plan investments
*excluded construction costs for roads, maintenance expenses</t>
  </si>
  <si>
    <t>*is investments for their general master plan "Bogota Mejor Para Todos and also their "Pilar Democracia Urbana" plan</t>
  </si>
  <si>
    <t>Investment modernization/capacity building</t>
  </si>
  <si>
    <t>Includes "institutional modernization"
"optimization of institutional capacity"
"physical modernization"</t>
  </si>
  <si>
    <t>**investment in bikes and pedestrian infrastructure, not included rn</t>
  </si>
  <si>
    <t>"infrastructure for pedestrian and bicycles</t>
  </si>
  <si>
    <t>Population of Bogota:</t>
  </si>
  <si>
    <t>from 2018 Census</t>
  </si>
  <si>
    <t>*Includes actively landscaped parkland, with irrigation, lighting, 3 trash cans, 5 park benches, 10 picnic tables, 10 stationary barbecue units, bike rack, restroom, and drinking fountain</t>
  </si>
  <si>
    <t>USD (2018)</t>
  </si>
  <si>
    <t>Inflation rate, USD 2019 = ______ 2003:</t>
  </si>
  <si>
    <t>Inflation rate, USD 2019 = ______ USD 2018</t>
  </si>
  <si>
    <t>Avereage exchange rate of Colombia to USD in 2018</t>
  </si>
  <si>
    <r>
      <t>Value USD 2019 (</t>
    </r>
    <r>
      <rPr>
        <b/>
        <i/>
        <u/>
        <sz val="11"/>
        <color rgb="FF000000"/>
        <rFont val="Calibri"/>
        <family val="2"/>
      </rPr>
      <t>not</t>
    </r>
    <r>
      <rPr>
        <b/>
        <sz val="11"/>
        <color rgb="FF000000"/>
        <rFont val="Calibri"/>
        <family val="2"/>
      </rPr>
      <t xml:space="preserve"> adjusted to PPP)</t>
    </r>
  </si>
  <si>
    <t>From the state of colorado, U.S.A.</t>
  </si>
  <si>
    <t>http://www.civilresources.com/dacono/PDFs/Plan/Upload21508/appendixD.pdf</t>
  </si>
  <si>
    <t>Average cost of developing 1 km2 of vacant land into POS - small UGS park</t>
  </si>
  <si>
    <t xml:space="preserve">Average yearly maintenance costs of 1 km2 of public space </t>
  </si>
  <si>
    <t>Cost of Vacant Land (Sq. Km)</t>
  </si>
  <si>
    <t>Average population growth rate</t>
  </si>
  <si>
    <t>City Size</t>
  </si>
  <si>
    <t>Average Annual Cost by City Type</t>
  </si>
  <si>
    <t>Sample Size</t>
  </si>
  <si>
    <t>Total</t>
  </si>
  <si>
    <t>Small</t>
  </si>
  <si>
    <t>Medium</t>
  </si>
  <si>
    <t>Large</t>
  </si>
  <si>
    <t>Ops &amp; Adm</t>
  </si>
  <si>
    <t>Land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</si>
</sst>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#,##0.000"/>
    <numFmt numFmtId="167" formatCode="#,##0.000000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b/>
      <i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4"/>
      <name val="Calibri"/>
      <family val="2"/>
    </font>
    <font>
      <i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FF00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165" fontId="4" fillId="0" borderId="0" xfId="0" applyNumberFormat="1" applyFont="1"/>
    <xf numFmtId="44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44" fontId="0" fillId="3" borderId="1" xfId="0" applyNumberFormat="1" applyFill="1" applyBorder="1" applyAlignment="1">
      <alignment vertical="center"/>
    </xf>
    <xf numFmtId="164" fontId="4" fillId="0" borderId="0" xfId="0" applyNumberFormat="1" applyFont="1"/>
    <xf numFmtId="44" fontId="7" fillId="0" borderId="2" xfId="0" applyNumberFormat="1" applyFont="1" applyBorder="1"/>
    <xf numFmtId="0" fontId="0" fillId="0" borderId="0" xfId="2" applyNumberFormat="1" applyFont="1"/>
    <xf numFmtId="164" fontId="4" fillId="0" borderId="0" xfId="1" applyNumberFormat="1" applyFont="1"/>
    <xf numFmtId="0" fontId="8" fillId="0" borderId="0" xfId="0" applyFont="1"/>
    <xf numFmtId="0" fontId="9" fillId="0" borderId="0" xfId="0" applyFont="1"/>
    <xf numFmtId="0" fontId="0" fillId="0" borderId="0" xfId="0" applyFont="1" applyAlignment="1"/>
    <xf numFmtId="0" fontId="10" fillId="0" borderId="0" xfId="0" applyFont="1"/>
    <xf numFmtId="0" fontId="0" fillId="0" borderId="0" xfId="0" applyFont="1"/>
    <xf numFmtId="0" fontId="11" fillId="0" borderId="0" xfId="0" applyFont="1"/>
    <xf numFmtId="44" fontId="0" fillId="0" borderId="0" xfId="0" applyNumberFormat="1" applyFont="1"/>
    <xf numFmtId="3" fontId="10" fillId="0" borderId="0" xfId="0" applyNumberFormat="1" applyFont="1"/>
    <xf numFmtId="4" fontId="10" fillId="0" borderId="0" xfId="0" applyNumberFormat="1" applyFont="1"/>
    <xf numFmtId="0" fontId="10" fillId="0" borderId="0" xfId="0" applyFont="1" applyAlignment="1"/>
    <xf numFmtId="3" fontId="10" fillId="0" borderId="0" xfId="0" applyNumberFormat="1" applyFont="1" applyAlignment="1"/>
    <xf numFmtId="166" fontId="10" fillId="0" borderId="0" xfId="0" applyNumberFormat="1" applyFont="1"/>
    <xf numFmtId="0" fontId="12" fillId="0" borderId="0" xfId="0" applyFont="1" applyAlignment="1">
      <alignment horizontal="right"/>
    </xf>
    <xf numFmtId="167" fontId="10" fillId="0" borderId="0" xfId="0" applyNumberFormat="1" applyFont="1" applyBorder="1"/>
    <xf numFmtId="3" fontId="10" fillId="0" borderId="0" xfId="0" applyNumberFormat="1" applyFont="1" applyBorder="1"/>
    <xf numFmtId="168" fontId="10" fillId="0" borderId="0" xfId="0" applyNumberFormat="1" applyFont="1"/>
    <xf numFmtId="0" fontId="13" fillId="0" borderId="0" xfId="0" applyFont="1"/>
    <xf numFmtId="0" fontId="14" fillId="0" borderId="0" xfId="0" applyFont="1"/>
    <xf numFmtId="168" fontId="0" fillId="0" borderId="0" xfId="0" applyNumberFormat="1" applyFont="1"/>
    <xf numFmtId="9" fontId="0" fillId="0" borderId="0" xfId="0" applyNumberFormat="1" applyFont="1"/>
    <xf numFmtId="0" fontId="15" fillId="0" borderId="0" xfId="0" applyFont="1"/>
    <xf numFmtId="4" fontId="0" fillId="0" borderId="0" xfId="0" applyNumberFormat="1" applyFont="1" applyAlignment="1"/>
    <xf numFmtId="0" fontId="15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NumberFormat="1"/>
    <xf numFmtId="0" fontId="1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2" fontId="16" fillId="4" borderId="0" xfId="2" applyNumberFormat="1" applyFont="1" applyFill="1" applyAlignment="1">
      <alignment horizontal="center"/>
    </xf>
    <xf numFmtId="2" fontId="16" fillId="4" borderId="0" xfId="0" applyNumberFormat="1" applyFont="1" applyFill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/>
    <xf numFmtId="44" fontId="0" fillId="0" borderId="0" xfId="2" applyFont="1" applyFill="1" applyAlignment="1"/>
    <xf numFmtId="0" fontId="5" fillId="0" borderId="0" xfId="3" applyAlignment="1"/>
    <xf numFmtId="0" fontId="19" fillId="0" borderId="0" xfId="0" applyFont="1" applyAlignment="1"/>
    <xf numFmtId="44" fontId="0" fillId="0" borderId="0" xfId="0" applyNumberFormat="1"/>
    <xf numFmtId="0" fontId="0" fillId="0" borderId="0" xfId="0" applyFont="1" applyAlignment="1">
      <alignment horizontal="center"/>
    </xf>
    <xf numFmtId="44" fontId="6" fillId="4" borderId="0" xfId="0" applyNumberFormat="1" applyFont="1" applyFill="1"/>
    <xf numFmtId="0" fontId="20" fillId="0" borderId="3" xfId="0" applyFont="1" applyBorder="1"/>
    <xf numFmtId="0" fontId="10" fillId="0" borderId="4" xfId="0" applyFont="1" applyBorder="1"/>
    <xf numFmtId="0" fontId="0" fillId="0" borderId="4" xfId="0" applyFont="1" applyBorder="1"/>
    <xf numFmtId="0" fontId="0" fillId="0" borderId="5" xfId="0" applyFont="1" applyBorder="1"/>
    <xf numFmtId="0" fontId="10" fillId="0" borderId="6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168" fontId="10" fillId="0" borderId="6" xfId="0" applyNumberFormat="1" applyFont="1" applyBorder="1"/>
    <xf numFmtId="168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center"/>
    </xf>
    <xf numFmtId="168" fontId="10" fillId="5" borderId="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0" fillId="0" borderId="6" xfId="0" applyFont="1" applyBorder="1"/>
    <xf numFmtId="0" fontId="10" fillId="0" borderId="0" xfId="0" applyFont="1" applyAlignment="1">
      <alignment horizontal="right"/>
    </xf>
    <xf numFmtId="4" fontId="9" fillId="0" borderId="0" xfId="0" applyNumberFormat="1" applyFont="1" applyAlignment="1">
      <alignment horizontal="center"/>
    </xf>
    <xf numFmtId="4" fontId="9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8" fontId="0" fillId="0" borderId="6" xfId="0" applyNumberFormat="1" applyFont="1" applyBorder="1"/>
    <xf numFmtId="0" fontId="10" fillId="0" borderId="6" xfId="0" applyFont="1" applyBorder="1"/>
    <xf numFmtId="0" fontId="0" fillId="0" borderId="7" xfId="0" applyFont="1" applyBorder="1"/>
    <xf numFmtId="0" fontId="9" fillId="0" borderId="6" xfId="0" applyFont="1" applyBorder="1"/>
    <xf numFmtId="0" fontId="21" fillId="0" borderId="0" xfId="0" applyFont="1"/>
    <xf numFmtId="0" fontId="9" fillId="0" borderId="3" xfId="0" applyFont="1" applyBorder="1"/>
    <xf numFmtId="0" fontId="19" fillId="0" borderId="0" xfId="0" applyFont="1"/>
    <xf numFmtId="168" fontId="8" fillId="0" borderId="0" xfId="0" applyNumberFormat="1" applyFont="1" applyAlignment="1"/>
    <xf numFmtId="0" fontId="8" fillId="0" borderId="0" xfId="0" applyFont="1" applyAlignment="1"/>
    <xf numFmtId="168" fontId="0" fillId="0" borderId="0" xfId="0" applyNumberFormat="1" applyFont="1" applyAlignment="1"/>
    <xf numFmtId="168" fontId="0" fillId="5" borderId="0" xfId="0" applyNumberFormat="1" applyFont="1" applyFill="1"/>
    <xf numFmtId="0" fontId="0" fillId="6" borderId="0" xfId="0" applyFont="1" applyFill="1" applyAlignment="1"/>
    <xf numFmtId="0" fontId="0" fillId="6" borderId="0" xfId="0" applyFont="1" applyFill="1" applyAlignment="1">
      <alignment wrapText="1"/>
    </xf>
    <xf numFmtId="168" fontId="0" fillId="6" borderId="0" xfId="0" applyNumberFormat="1" applyFont="1" applyFill="1"/>
    <xf numFmtId="0" fontId="10" fillId="6" borderId="0" xfId="0" applyFont="1" applyFill="1" applyAlignment="1"/>
    <xf numFmtId="0" fontId="0" fillId="6" borderId="0" xfId="0" applyFont="1" applyFill="1"/>
    <xf numFmtId="168" fontId="0" fillId="6" borderId="0" xfId="0" applyNumberFormat="1" applyFont="1" applyFill="1" applyAlignment="1"/>
    <xf numFmtId="0" fontId="10" fillId="6" borderId="0" xfId="0" applyFont="1" applyFill="1"/>
    <xf numFmtId="0" fontId="17" fillId="0" borderId="0" xfId="0" applyFont="1"/>
    <xf numFmtId="43" fontId="0" fillId="0" borderId="0" xfId="0" applyNumberFormat="1" applyFont="1"/>
    <xf numFmtId="3" fontId="0" fillId="0" borderId="0" xfId="0" applyNumberFormat="1" applyFont="1"/>
    <xf numFmtId="168" fontId="16" fillId="7" borderId="0" xfId="0" applyNumberFormat="1" applyFont="1" applyFill="1"/>
    <xf numFmtId="168" fontId="0" fillId="8" borderId="0" xfId="0" applyNumberFormat="1" applyFont="1" applyFill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7" borderId="0" xfId="0" applyFont="1" applyFill="1" applyAlignment="1">
      <alignment wrapText="1"/>
    </xf>
    <xf numFmtId="168" fontId="0" fillId="7" borderId="0" xfId="0" applyNumberFormat="1" applyFont="1" applyFill="1"/>
    <xf numFmtId="0" fontId="0" fillId="7" borderId="0" xfId="0" applyFont="1" applyFill="1" applyAlignment="1"/>
    <xf numFmtId="0" fontId="0" fillId="7" borderId="0" xfId="0" applyFont="1" applyFill="1"/>
    <xf numFmtId="0" fontId="5" fillId="0" borderId="0" xfId="3"/>
    <xf numFmtId="0" fontId="16" fillId="9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 wrapText="1"/>
    </xf>
    <xf numFmtId="44" fontId="6" fillId="9" borderId="0" xfId="0" applyNumberFormat="1" applyFont="1" applyFill="1"/>
    <xf numFmtId="44" fontId="16" fillId="4" borderId="0" xfId="0" applyNumberFormat="1" applyFont="1" applyFill="1"/>
    <xf numFmtId="44" fontId="22" fillId="4" borderId="0" xfId="0" applyNumberFormat="1" applyFont="1" applyFill="1"/>
    <xf numFmtId="164" fontId="23" fillId="0" borderId="0" xfId="0" applyNumberFormat="1" applyFont="1"/>
    <xf numFmtId="0" fontId="25" fillId="2" borderId="0" xfId="0" applyFont="1" applyFill="1" applyAlignment="1">
      <alignment horizontal="center"/>
    </xf>
    <xf numFmtId="0" fontId="24" fillId="0" borderId="0" xfId="0" applyFont="1"/>
    <xf numFmtId="0" fontId="0" fillId="3" borderId="1" xfId="0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queeltimbre.com/buscar/Terrenos-en-Venta-en-Tarija/lotes-en-venta-9" TargetMode="External"/><Relationship Id="rId13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3" Type="http://schemas.openxmlformats.org/officeDocument/2006/relationships/hyperlink" Target="https://data.worldbank.org/indicator/PA.NUS.PPPC.RF?locations=IN" TargetMode="External"/><Relationship Id="rId7" Type="http://schemas.openxmlformats.org/officeDocument/2006/relationships/hyperlink" Target="https://toqueeltimbre.com/buscar/Terrenos-en-Venta-en-Cochabamba/58500-dolares-bonito-lote-con-salida-a-3-calles-en-la-zona-de-gaudalupe-km7-a-sacaba---ref-01984" TargetMode="External"/><Relationship Id="rId12" Type="http://schemas.openxmlformats.org/officeDocument/2006/relationships/hyperlink" Target="https://www.infocasas.com.bo/25-has-cerca-a-mancha-urbana-ideal-para-urbanizar/235866?v" TargetMode="External"/><Relationship Id="rId2" Type="http://schemas.openxmlformats.org/officeDocument/2006/relationships/hyperlink" Target="https://data.worldbank.org/indicator/PA.NUS.PPPC.RF?locations=BO" TargetMode="External"/><Relationship Id="rId1" Type="http://schemas.openxmlformats.org/officeDocument/2006/relationships/hyperlink" Target="https://data.worldbank.org/indicator/PA.NUS.PPPC.RF?locations=BO" TargetMode="External"/><Relationship Id="rId6" Type="http://schemas.openxmlformats.org/officeDocument/2006/relationships/hyperlink" Target="https://toqueeltimbre.com/buscar/terrenos-en-venta-en-santa-cruz/en-venta-terreno-en-zona-oeste-radial-175" TargetMode="External"/><Relationship Id="rId11" Type="http://schemas.openxmlformats.org/officeDocument/2006/relationships/hyperlink" Target="https://www.infocasas.com.bo/vendo-lote-de-150mt2-a-us-16900-en-zona-alto-senac-cerca-a-la-nueva-terminal/185824452?v" TargetMode="External"/><Relationship Id="rId5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15" Type="http://schemas.openxmlformats.org/officeDocument/2006/relationships/hyperlink" Target="http://www.civilresources.com/dacono/PDFs/Plan/Upload21508/appendixD.pdf" TargetMode="External"/><Relationship Id="rId10" Type="http://schemas.openxmlformats.org/officeDocument/2006/relationships/hyperlink" Target="https://toqueeltimbre.com/buscar/Terrenos-en-Venta-en-Bolivia/54500us-cerca-dorbigny-km-6-bonito-terreno---ref-01448" TargetMode="External"/><Relationship Id="rId4" Type="http://schemas.openxmlformats.org/officeDocument/2006/relationships/hyperlink" Target="https://data.worldbank.org/indicator/PA.NUS.FCRF?locations=IN" TargetMode="External"/><Relationship Id="rId9" Type="http://schemas.openxmlformats.org/officeDocument/2006/relationships/hyperlink" Target="https://toqueeltimbre.com/buscar/Terrenos-en-Venta-en-Bolivia/terreno-irpavi-calle-10" TargetMode="External"/><Relationship Id="rId14" Type="http://schemas.openxmlformats.org/officeDocument/2006/relationships/hyperlink" Target="http://www.civilresources.com/dacono/PDFs/Plan/Upload21508/appendixD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du.gov.co/Archivos_Portal/2019/Transparencia/Presupuesto/Ejecuciones%20Presupuestales/01_Enero/PRESUPUESTO_IDU_VIGENCIA_2019.pdf" TargetMode="External"/><Relationship Id="rId1" Type="http://schemas.openxmlformats.org/officeDocument/2006/relationships/hyperlink" Target="https://unhabitat.org/wp-content/uploads/2015/10/Global%20Public%20Space%20Toolk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"/>
  <sheetViews>
    <sheetView workbookViewId="0">
      <selection activeCell="H14" sqref="H14"/>
    </sheetView>
  </sheetViews>
  <sheetFormatPr defaultColWidth="8.85546875" defaultRowHeight="15" x14ac:dyDescent="0.25"/>
  <cols>
    <col min="1" max="1" width="5.7109375" style="4" bestFit="1" customWidth="1"/>
    <col min="2" max="2" width="74.28515625" bestFit="1" customWidth="1"/>
    <col min="3" max="3" width="25.7109375" customWidth="1"/>
    <col min="4" max="4" width="15.7109375" customWidth="1"/>
    <col min="7" max="7" width="21.85546875" customWidth="1"/>
    <col min="8" max="8" width="18.85546875" customWidth="1"/>
    <col min="9" max="9" width="15.28515625" bestFit="1" customWidth="1"/>
  </cols>
  <sheetData>
    <row r="1" spans="1:9" s="3" customFormat="1" x14ac:dyDescent="0.25">
      <c r="A1" s="6" t="s">
        <v>25</v>
      </c>
      <c r="B1" s="7" t="s">
        <v>26</v>
      </c>
      <c r="C1" s="7" t="s">
        <v>50</v>
      </c>
      <c r="D1" s="3" t="s">
        <v>51</v>
      </c>
      <c r="E1" s="112" t="s">
        <v>129</v>
      </c>
      <c r="F1" s="112"/>
      <c r="G1" s="112"/>
      <c r="H1" s="112"/>
      <c r="I1" s="112"/>
    </row>
    <row r="2" spans="1:9" x14ac:dyDescent="0.25">
      <c r="A2" s="4">
        <v>1</v>
      </c>
      <c r="B2" t="s">
        <v>91</v>
      </c>
      <c r="C2" s="2">
        <f>'Cost Calculations'!K244</f>
        <v>4390838490.5468416</v>
      </c>
      <c r="E2" s="109" t="s">
        <v>128</v>
      </c>
      <c r="F2" s="109" t="s">
        <v>130</v>
      </c>
      <c r="G2" s="109" t="s">
        <v>136</v>
      </c>
      <c r="H2" s="109" t="s">
        <v>135</v>
      </c>
      <c r="I2" s="109" t="s">
        <v>131</v>
      </c>
    </row>
    <row r="3" spans="1:9" x14ac:dyDescent="0.25">
      <c r="A3" s="4">
        <v>2</v>
      </c>
      <c r="B3" t="s">
        <v>54</v>
      </c>
      <c r="C3" s="2">
        <f>'Cost Calculations'!L244</f>
        <v>2129317678.490725</v>
      </c>
      <c r="E3" s="110" t="s">
        <v>132</v>
      </c>
      <c r="F3">
        <f>COUNTIF('Cost Calculations'!$E$4:$E$23,E3)</f>
        <v>8</v>
      </c>
      <c r="G3" s="2">
        <f>SUMIF('Cost Calculations'!$E$4:$E$243,$E3,'Cost Calculations'!$K$4:$K$243)/COUNTIF('Cost Calculations'!$E$4:$E$243,$E3)</f>
        <v>2369982.15074242</v>
      </c>
      <c r="H3" s="2">
        <f>SUMIF('Cost Calculations'!$E$4:$E$243,$E3,'Cost Calculations'!$L$4:$L$243)/COUNTIF('Cost Calculations'!$E$4:$E$243,$E3)</f>
        <v>1986527.2418336307</v>
      </c>
      <c r="I3" s="51">
        <f>SUM(G3:H3)</f>
        <v>4356509.3925760509</v>
      </c>
    </row>
    <row r="4" spans="1:9" ht="15.75" thickBot="1" x14ac:dyDescent="0.3">
      <c r="A4" s="111" t="s">
        <v>92</v>
      </c>
      <c r="B4" s="111"/>
      <c r="C4" s="12">
        <f>SUM(C2,C3)</f>
        <v>6520156169.0375671</v>
      </c>
      <c r="E4" s="110" t="s">
        <v>133</v>
      </c>
      <c r="F4">
        <f>COUNTIF('Cost Calculations'!$E$4:$E$23,E4)</f>
        <v>11</v>
      </c>
      <c r="G4" s="2">
        <f>SUMIF('Cost Calculations'!$E$4:$E$243,$E4,'Cost Calculations'!$K$4:$K$243)/COUNTIF('Cost Calculations'!$E$4:$E$243,$E4)</f>
        <v>31152731.664207824</v>
      </c>
      <c r="H4" s="2">
        <f>SUMIF('Cost Calculations'!$E$4:$E$243,$E4,'Cost Calculations'!$L$4:$L$243)/COUNTIF('Cost Calculations'!$E$4:$E$243,$E4)</f>
        <v>9242464.5151318945</v>
      </c>
      <c r="I4" s="51">
        <f t="shared" ref="I4:I5" si="0">SUM(G4:H4)</f>
        <v>40395196.179339722</v>
      </c>
    </row>
    <row r="5" spans="1:9" ht="15.75" thickTop="1" x14ac:dyDescent="0.25">
      <c r="E5" s="110" t="s">
        <v>134</v>
      </c>
      <c r="F5">
        <f>COUNTIF('Cost Calculations'!$E$4:$E$23,E5)</f>
        <v>1</v>
      </c>
      <c r="G5" s="2">
        <f>SUMIF('Cost Calculations'!$E$4:$E$243,$E5,'Cost Calculations'!$K$4:$K$243)/COUNTIF('Cost Calculations'!$E$4:$E$243,$E5)</f>
        <v>8110407.789248962</v>
      </c>
      <c r="H5" s="2">
        <f>SUMIF('Cost Calculations'!$E$4:$E$243,$E5,'Cost Calculations'!$L$4:$L$243)/COUNTIF('Cost Calculations'!$E$4:$E$243,$E5)</f>
        <v>39698907.883685127</v>
      </c>
      <c r="I5" s="51">
        <f t="shared" si="0"/>
        <v>47809315.672934085</v>
      </c>
    </row>
  </sheetData>
  <mergeCells count="2">
    <mergeCell ref="A4:B4"/>
    <mergeCell ref="E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L245"/>
  <sheetViews>
    <sheetView tabSelected="1" zoomScale="120" zoomScaleNormal="120" workbookViewId="0">
      <pane ySplit="3" topLeftCell="A4" activePane="bottomLeft" state="frozen"/>
      <selection activeCell="B1" sqref="B1"/>
      <selection pane="bottomLeft" activeCell="K247" sqref="K247"/>
    </sheetView>
  </sheetViews>
  <sheetFormatPr defaultColWidth="8.85546875" defaultRowHeight="15" x14ac:dyDescent="0.25"/>
  <cols>
    <col min="1" max="1" width="3.42578125" bestFit="1" customWidth="1"/>
    <col min="2" max="2" width="21.140625" bestFit="1" customWidth="1"/>
    <col min="3" max="3" width="21.140625" customWidth="1"/>
    <col min="4" max="4" width="16.7109375" bestFit="1" customWidth="1"/>
    <col min="5" max="5" width="13.28515625" customWidth="1"/>
    <col min="6" max="6" width="3" customWidth="1"/>
    <col min="7" max="10" width="19.42578125" customWidth="1"/>
    <col min="11" max="11" width="27.42578125" customWidth="1"/>
    <col min="12" max="12" width="36.85546875" bestFit="1" customWidth="1"/>
    <col min="15" max="15" width="18.85546875" bestFit="1" customWidth="1"/>
    <col min="17" max="17" width="14.28515625" bestFit="1" customWidth="1"/>
    <col min="18" max="18" width="14.85546875" bestFit="1" customWidth="1"/>
  </cols>
  <sheetData>
    <row r="1" spans="1:12" x14ac:dyDescent="0.25">
      <c r="G1" s="113" t="s">
        <v>55</v>
      </c>
      <c r="H1" s="113"/>
      <c r="I1" s="113"/>
      <c r="J1" s="113"/>
      <c r="K1" s="113"/>
      <c r="L1" s="113"/>
    </row>
    <row r="2" spans="1:12" s="5" customFormat="1" ht="34.5" customHeight="1" x14ac:dyDescent="0.25">
      <c r="G2" s="114" t="s">
        <v>68</v>
      </c>
      <c r="H2" s="114"/>
      <c r="I2" s="114"/>
      <c r="J2" s="114"/>
      <c r="K2" s="114"/>
      <c r="L2" s="103" t="s">
        <v>53</v>
      </c>
    </row>
    <row r="3" spans="1:12" s="11" customFormat="1" ht="60" customHeight="1" x14ac:dyDescent="0.25">
      <c r="A3" s="11" t="s">
        <v>48</v>
      </c>
      <c r="B3" s="11" t="s">
        <v>1</v>
      </c>
      <c r="C3" s="11" t="s">
        <v>0</v>
      </c>
      <c r="D3" s="11" t="s">
        <v>52</v>
      </c>
      <c r="E3" s="11" t="s">
        <v>128</v>
      </c>
      <c r="G3" s="42" t="s">
        <v>69</v>
      </c>
      <c r="H3" s="42" t="s">
        <v>70</v>
      </c>
      <c r="I3" s="42" t="s">
        <v>71</v>
      </c>
      <c r="J3" s="42" t="s">
        <v>126</v>
      </c>
      <c r="K3" s="43" t="s">
        <v>49</v>
      </c>
      <c r="L3" s="104" t="s">
        <v>49</v>
      </c>
    </row>
    <row r="4" spans="1:12" x14ac:dyDescent="0.25">
      <c r="A4" s="8">
        <v>1</v>
      </c>
      <c r="B4" t="s">
        <v>28</v>
      </c>
      <c r="C4">
        <v>2019</v>
      </c>
      <c r="D4" s="13">
        <f>INDEX(Population!$C$3:$U$22,MATCH('Cost Calculations'!B4,Population!$B$3:$B$22,0),MATCH(C4,Population!$C$2:$U$2,0))</f>
        <v>265028.74551111902</v>
      </c>
      <c r="E4" s="108" t="str">
        <f>IF(D4&lt;100000,"Small",IF(D4&lt;1000000,"Medium","Large"))</f>
        <v>Medium</v>
      </c>
      <c r="F4" s="1"/>
      <c r="G4" s="44">
        <f>D4*Variables!$C$21</f>
        <v>2.3852587096000715</v>
      </c>
      <c r="H4" s="44">
        <v>0.48152480669100001</v>
      </c>
      <c r="I4" s="45">
        <f>G4-H4</f>
        <v>1.9037339029090714</v>
      </c>
      <c r="J4" s="106">
        <v>112666666.66666667</v>
      </c>
      <c r="K4" s="53">
        <f>I4*(J4+Variables!$C$24*Variables!$C$16)</f>
        <v>229265204.73522264</v>
      </c>
      <c r="L4" s="105">
        <f>(G4*Variables!$C$26+D4*Variables!$C$29)*Variables!$C$16</f>
        <v>7065877.1476252554</v>
      </c>
    </row>
    <row r="5" spans="1:12" x14ac:dyDescent="0.25">
      <c r="A5" s="8">
        <v>2</v>
      </c>
      <c r="B5" t="s">
        <v>29</v>
      </c>
      <c r="C5">
        <v>2019</v>
      </c>
      <c r="D5" s="13">
        <f>INDEX(Population!$C$3:$U$22,MATCH('Cost Calculations'!B5,Population!$B$3:$B$22,0),MATCH(C5,Population!$C$2:$U$2,0))</f>
        <v>842200.26293095062</v>
      </c>
      <c r="E5" s="108" t="str">
        <f t="shared" ref="E5:E68" si="0">IF(D5&lt;100000,"Small",IF(D5&lt;1000000,"Medium","Large"))</f>
        <v>Medium</v>
      </c>
      <c r="F5" s="1"/>
      <c r="G5" s="44">
        <f>D5*Variables!$C$21</f>
        <v>7.5798023663785559</v>
      </c>
      <c r="H5" s="44">
        <v>4.3641126541710005</v>
      </c>
      <c r="I5" s="45">
        <f t="shared" ref="I5:I16" si="1">G5-H5</f>
        <v>3.2156897122075554</v>
      </c>
      <c r="J5" s="106">
        <v>250000000</v>
      </c>
      <c r="K5" s="53">
        <f>I5*(J5+Variables!$C$24*Variables!$C$16)</f>
        <v>828884417.50032246</v>
      </c>
      <c r="L5" s="105">
        <f>(G5*Variables!$C$26+D5*Variables!$C$29)*Variables!$C$16</f>
        <v>22453728.859076232</v>
      </c>
    </row>
    <row r="6" spans="1:12" x14ac:dyDescent="0.25">
      <c r="A6" s="8">
        <v>3</v>
      </c>
      <c r="B6" t="s">
        <v>30</v>
      </c>
      <c r="C6">
        <v>2019</v>
      </c>
      <c r="D6" s="13">
        <f>INDEX(Population!$C$3:$U$22,MATCH('Cost Calculations'!B6,Population!$B$3:$B$22,0),MATCH(C6,Population!$C$2:$U$2,0))</f>
        <v>939905.45983825868</v>
      </c>
      <c r="E6" s="108" t="str">
        <f t="shared" si="0"/>
        <v>Medium</v>
      </c>
      <c r="F6" s="1"/>
      <c r="G6" s="44">
        <f>D6*Variables!$C$21</f>
        <v>8.459149138544328</v>
      </c>
      <c r="H6" s="44">
        <v>0.52077137448099997</v>
      </c>
      <c r="I6" s="45">
        <f t="shared" si="1"/>
        <v>7.9383777640633282</v>
      </c>
      <c r="J6" s="107">
        <v>148489405.06416112</v>
      </c>
      <c r="K6" s="53">
        <f>I6*(J6+Variables!$C$24*Variables!$C$16)</f>
        <v>1240387137.686193</v>
      </c>
      <c r="L6" s="105">
        <f>(G6*Variables!$C$26+D6*Variables!$C$29)*Variables!$C$16</f>
        <v>25058627.119075019</v>
      </c>
    </row>
    <row r="7" spans="1:12" x14ac:dyDescent="0.25">
      <c r="A7" s="8">
        <v>4</v>
      </c>
      <c r="B7" t="s">
        <v>31</v>
      </c>
      <c r="C7">
        <v>2019</v>
      </c>
      <c r="D7" s="13">
        <f>INDEX(Population!$C$3:$U$22,MATCH('Cost Calculations'!B7,Population!$B$3:$B$22,0),MATCH(C7,Population!$C$2:$U$2,0))</f>
        <v>69896.92276964114</v>
      </c>
      <c r="E7" s="108" t="str">
        <f t="shared" si="0"/>
        <v>Small</v>
      </c>
      <c r="F7" s="1"/>
      <c r="G7" s="44">
        <f>D7*Variables!$C$21</f>
        <v>0.62907230492677024</v>
      </c>
      <c r="H7" s="44">
        <v>4.4427618498999996E-2</v>
      </c>
      <c r="I7" s="45">
        <f t="shared" si="1"/>
        <v>0.58464468642777023</v>
      </c>
      <c r="J7" s="107">
        <v>148489405.06416112</v>
      </c>
      <c r="K7" s="53">
        <f>I7*(J7+Variables!$C$24*Variables!$C$16)</f>
        <v>91351882.048806801</v>
      </c>
      <c r="L7" s="105">
        <f>(G7*Variables!$C$26+D7*Variables!$C$29)*Variables!$C$16</f>
        <v>1863507.5540008326</v>
      </c>
    </row>
    <row r="8" spans="1:12" x14ac:dyDescent="0.25">
      <c r="A8" s="8">
        <v>5</v>
      </c>
      <c r="B8" t="s">
        <v>32</v>
      </c>
      <c r="C8">
        <v>2019</v>
      </c>
      <c r="D8" s="13">
        <f>INDEX(Population!$C$3:$U$22,MATCH('Cost Calculations'!B8,Population!$B$3:$B$22,0),MATCH(C8,Population!$C$2:$U$2,0))</f>
        <v>701436.41293779213</v>
      </c>
      <c r="E8" s="108" t="str">
        <f t="shared" si="0"/>
        <v>Medium</v>
      </c>
      <c r="F8" s="1"/>
      <c r="G8" s="44">
        <f>D8*Variables!$C$21</f>
        <v>6.3129277164401296</v>
      </c>
      <c r="H8" s="44">
        <v>7.1776520242890003</v>
      </c>
      <c r="I8" s="45">
        <v>0</v>
      </c>
      <c r="J8" s="106">
        <v>119387755.10204081</v>
      </c>
      <c r="K8" s="53">
        <f>I8*(J8+Variables!$C$24*Variables!$C$16)</f>
        <v>0</v>
      </c>
      <c r="L8" s="105">
        <f>(G8*Variables!$C$26+D8*Variables!$C$29)*Variables!$C$16</f>
        <v>18700852.660835013</v>
      </c>
    </row>
    <row r="9" spans="1:12" x14ac:dyDescent="0.25">
      <c r="A9" s="8">
        <v>6</v>
      </c>
      <c r="B9" t="s">
        <v>33</v>
      </c>
      <c r="C9">
        <v>2019</v>
      </c>
      <c r="D9" s="13">
        <f>INDEX(Population!$C$3:$U$22,MATCH('Cost Calculations'!B9,Population!$B$3:$B$22,0),MATCH(C9,Population!$C$2:$U$2,0))</f>
        <v>130805.21158969078</v>
      </c>
      <c r="E9" s="108" t="str">
        <f t="shared" si="0"/>
        <v>Medium</v>
      </c>
      <c r="F9" s="1"/>
      <c r="G9" s="44">
        <f>D9*Variables!$C$21</f>
        <v>1.1772469043072171</v>
      </c>
      <c r="H9" s="44">
        <v>0.81946120920999999</v>
      </c>
      <c r="I9" s="45">
        <f t="shared" si="1"/>
        <v>0.35778569509721714</v>
      </c>
      <c r="J9" s="106">
        <v>196043165.46762589</v>
      </c>
      <c r="K9" s="53">
        <f>I9*(J9+Variables!$C$24*Variables!$C$16)</f>
        <v>72918773.720450535</v>
      </c>
      <c r="L9" s="105">
        <f>(G9*Variables!$C$26+D9*Variables!$C$29)*Variables!$C$16</f>
        <v>3487370.9777383599</v>
      </c>
    </row>
    <row r="10" spans="1:12" x14ac:dyDescent="0.25">
      <c r="A10" s="8">
        <v>7</v>
      </c>
      <c r="B10" t="s">
        <v>34</v>
      </c>
      <c r="C10">
        <v>2019</v>
      </c>
      <c r="D10" s="13">
        <f>INDEX(Population!$C$3:$U$22,MATCH('Cost Calculations'!B10,Population!$B$3:$B$22,0),MATCH(C10,Population!$C$2:$U$2,0))</f>
        <v>54907.357375989719</v>
      </c>
      <c r="E10" s="108" t="str">
        <f t="shared" si="0"/>
        <v>Small</v>
      </c>
      <c r="F10" s="1"/>
      <c r="G10" s="44">
        <f>D10*Variables!$C$21</f>
        <v>0.49416621638390751</v>
      </c>
      <c r="H10" s="44">
        <v>0.76316986217600002</v>
      </c>
      <c r="I10" s="45">
        <v>0</v>
      </c>
      <c r="J10" s="107">
        <v>148489405.06416112</v>
      </c>
      <c r="K10" s="53">
        <f>I10*(J10+Variables!$C$24*Variables!$C$16)</f>
        <v>0</v>
      </c>
      <c r="L10" s="105">
        <f>(G10*Variables!$C$26+D10*Variables!$C$29)*Variables!$C$16</f>
        <v>1463873.8185598885</v>
      </c>
    </row>
    <row r="11" spans="1:12" x14ac:dyDescent="0.25">
      <c r="A11" s="8">
        <v>8</v>
      </c>
      <c r="B11" t="s">
        <v>35</v>
      </c>
      <c r="C11">
        <v>2019</v>
      </c>
      <c r="D11" s="13">
        <f>INDEX(Population!$C$3:$U$22,MATCH('Cost Calculations'!B11,Population!$B$3:$B$22,0),MATCH(C11,Population!$C$2:$U$2,0))</f>
        <v>57700.837021763495</v>
      </c>
      <c r="E11" s="108" t="str">
        <f t="shared" si="0"/>
        <v>Small</v>
      </c>
      <c r="F11" s="1"/>
      <c r="G11" s="44">
        <f>D11*Variables!$C$21</f>
        <v>0.51930753319587142</v>
      </c>
      <c r="H11" s="44">
        <v>0.31195647948600003</v>
      </c>
      <c r="I11" s="45">
        <f t="shared" si="1"/>
        <v>0.20735105370987139</v>
      </c>
      <c r="J11" s="107">
        <v>148489405.06416112</v>
      </c>
      <c r="K11" s="53">
        <f>I11*(J11+Variables!$C$24*Variables!$C$16)</f>
        <v>32399009.930179443</v>
      </c>
      <c r="L11" s="105">
        <f>(G11*Variables!$C$26+D11*Variables!$C$29)*Variables!$C$16</f>
        <v>1538350.2077280253</v>
      </c>
    </row>
    <row r="12" spans="1:12" x14ac:dyDescent="0.25">
      <c r="A12" s="8">
        <v>9</v>
      </c>
      <c r="B12" t="s">
        <v>36</v>
      </c>
      <c r="C12">
        <v>2019</v>
      </c>
      <c r="D12" s="13">
        <f>INDEX(Population!$C$3:$U$22,MATCH('Cost Calculations'!B12,Population!$B$3:$B$22,0),MATCH(C12,Population!$C$2:$U$2,0))</f>
        <v>166598.81987568605</v>
      </c>
      <c r="E12" s="108" t="str">
        <f t="shared" si="0"/>
        <v>Medium</v>
      </c>
      <c r="F12" s="1"/>
      <c r="G12" s="44">
        <f>D12*Variables!$C$21</f>
        <v>1.4993893788811745</v>
      </c>
      <c r="H12" s="44">
        <v>1.0562045041570001</v>
      </c>
      <c r="I12" s="45">
        <f t="shared" si="1"/>
        <v>0.44318487472417445</v>
      </c>
      <c r="J12" s="107">
        <v>148489405.06416112</v>
      </c>
      <c r="K12" s="53">
        <f>I12*(J12+Variables!$C$24*Variables!$C$16)</f>
        <v>69248508.267456561</v>
      </c>
      <c r="L12" s="105">
        <f>(G12*Variables!$C$26+D12*Variables!$C$29)*Variables!$C$16</f>
        <v>4441657.0433170591</v>
      </c>
    </row>
    <row r="13" spans="1:12" x14ac:dyDescent="0.25">
      <c r="A13" s="8">
        <v>10</v>
      </c>
      <c r="B13" t="s">
        <v>37</v>
      </c>
      <c r="C13">
        <v>2019</v>
      </c>
      <c r="D13" s="13">
        <f>INDEX(Population!$C$3:$U$22,MATCH('Cost Calculations'!B13,Population!$B$3:$B$22,0),MATCH(C13,Population!$C$2:$U$2,0))</f>
        <v>294045.64075893606</v>
      </c>
      <c r="E13" s="108" t="str">
        <f t="shared" si="0"/>
        <v>Medium</v>
      </c>
      <c r="F13" s="1"/>
      <c r="G13" s="44">
        <f>D13*Variables!$C$21</f>
        <v>2.6464107668304244</v>
      </c>
      <c r="H13" s="44">
        <v>0.41417988553899998</v>
      </c>
      <c r="I13" s="45">
        <f t="shared" si="1"/>
        <v>2.2322308812914242</v>
      </c>
      <c r="J13" s="106">
        <v>242734319.94362226</v>
      </c>
      <c r="K13" s="53">
        <f>I13*(J13+Variables!$C$24*Variables!$C$16)</f>
        <v>559166874.62869823</v>
      </c>
      <c r="L13" s="105">
        <f>(G13*Variables!$C$26+D13*Variables!$C$29)*Variables!$C$16</f>
        <v>7839490.653704294</v>
      </c>
    </row>
    <row r="14" spans="1:12" x14ac:dyDescent="0.25">
      <c r="A14" s="8">
        <v>11</v>
      </c>
      <c r="B14" t="s">
        <v>38</v>
      </c>
      <c r="C14">
        <v>2019</v>
      </c>
      <c r="D14" s="13">
        <f>INDEX(Population!$C$3:$U$22,MATCH('Cost Calculations'!B14,Population!$B$3:$B$22,0),MATCH(C14,Population!$C$2:$U$2,0))</f>
        <v>195357.12125879695</v>
      </c>
      <c r="E14" s="108" t="str">
        <f t="shared" si="0"/>
        <v>Medium</v>
      </c>
      <c r="F14" s="1"/>
      <c r="G14" s="44">
        <f>D14*Variables!$C$21</f>
        <v>1.7582140913291726</v>
      </c>
      <c r="H14" s="44">
        <v>0.13483227084899999</v>
      </c>
      <c r="I14" s="45">
        <f t="shared" si="1"/>
        <v>1.6233818204801727</v>
      </c>
      <c r="J14" s="107">
        <v>148489405.06416112</v>
      </c>
      <c r="K14" s="53">
        <f>I14*(J14+Variables!$C$24*Variables!$C$16)</f>
        <v>253656602.0822008</v>
      </c>
      <c r="L14" s="105">
        <f>(G14*Variables!$C$26+D14*Variables!$C$29)*Variables!$C$16</f>
        <v>5208376.2312887562</v>
      </c>
    </row>
    <row r="15" spans="1:12" x14ac:dyDescent="0.25">
      <c r="A15" s="8">
        <v>12</v>
      </c>
      <c r="B15" t="s">
        <v>39</v>
      </c>
      <c r="C15">
        <v>2019</v>
      </c>
      <c r="D15" s="13">
        <f>INDEX(Population!$C$3:$U$22,MATCH('Cost Calculations'!B15,Population!$B$3:$B$22,0),MATCH(C15,Population!$C$2:$U$2,0))</f>
        <v>199284.86240555637</v>
      </c>
      <c r="E15" s="108" t="str">
        <f t="shared" si="0"/>
        <v>Medium</v>
      </c>
      <c r="F15" s="1"/>
      <c r="G15" s="44">
        <f>D15*Variables!$C$21</f>
        <v>1.7935637616500073</v>
      </c>
      <c r="H15" s="44">
        <v>2.0838130428269999</v>
      </c>
      <c r="I15" s="45">
        <v>0</v>
      </c>
      <c r="J15" s="106">
        <v>32000000</v>
      </c>
      <c r="K15" s="53">
        <f>I15*(J15+Variables!$C$24*Variables!$C$16)</f>
        <v>0</v>
      </c>
      <c r="L15" s="105">
        <f>(G15*Variables!$C$26+D15*Variables!$C$29)*Variables!$C$16</f>
        <v>5313092.9342152718</v>
      </c>
    </row>
    <row r="16" spans="1:12" x14ac:dyDescent="0.25">
      <c r="A16" s="8">
        <v>13</v>
      </c>
      <c r="B16" t="s">
        <v>40</v>
      </c>
      <c r="C16">
        <v>2019</v>
      </c>
      <c r="D16" s="13">
        <f>INDEX(Population!$C$3:$U$22,MATCH('Cost Calculations'!B16,Population!$B$3:$B$22,0),MATCH(C16,Population!$C$2:$U$2,0))</f>
        <v>68718.267472139458</v>
      </c>
      <c r="E16" s="108" t="str">
        <f t="shared" si="0"/>
        <v>Small</v>
      </c>
      <c r="F16" s="1"/>
      <c r="G16" s="44">
        <f>D16*Variables!$C$21</f>
        <v>0.61846440724925511</v>
      </c>
      <c r="H16" s="44">
        <v>0.32944027672899995</v>
      </c>
      <c r="I16" s="45">
        <f t="shared" si="1"/>
        <v>0.28902413052025516</v>
      </c>
      <c r="J16" s="107">
        <v>148489405.06416112</v>
      </c>
      <c r="K16" s="53">
        <f>I16*(J16+Variables!$C$24*Variables!$C$16)</f>
        <v>45160588.804576829</v>
      </c>
      <c r="L16" s="105">
        <f>(G16*Variables!$C$26+D16*Variables!$C$29)*Variables!$C$16</f>
        <v>1832083.6663184487</v>
      </c>
    </row>
    <row r="17" spans="1:12" x14ac:dyDescent="0.25">
      <c r="A17" s="8">
        <v>14</v>
      </c>
      <c r="B17" t="s">
        <v>41</v>
      </c>
      <c r="C17">
        <v>2019</v>
      </c>
      <c r="D17" s="13">
        <f>INDEX(Population!$C$3:$U$22,MATCH('Cost Calculations'!B17,Population!$B$3:$B$22,0),MATCH(C17,Population!$C$2:$U$2,0))</f>
        <v>1600835.8629898746</v>
      </c>
      <c r="E17" s="108" t="str">
        <f t="shared" si="0"/>
        <v>Large</v>
      </c>
      <c r="F17" s="1"/>
      <c r="G17" s="44">
        <f>D17*Variables!$C$21</f>
        <v>14.407522766908871</v>
      </c>
      <c r="H17" s="44">
        <v>20.624841791765</v>
      </c>
      <c r="I17" s="45">
        <v>0</v>
      </c>
      <c r="J17" s="106">
        <v>108333333.33333333</v>
      </c>
      <c r="K17" s="53">
        <f>I17*(J17+Variables!$C$24*Variables!$C$16)</f>
        <v>0</v>
      </c>
      <c r="L17" s="105">
        <f>(G17*Variables!$C$26+D17*Variables!$C$29)*Variables!$C$16</f>
        <v>42679557.342297994</v>
      </c>
    </row>
    <row r="18" spans="1:12" x14ac:dyDescent="0.25">
      <c r="A18" s="8">
        <v>15</v>
      </c>
      <c r="B18" t="s">
        <v>42</v>
      </c>
      <c r="C18">
        <v>2019</v>
      </c>
      <c r="D18" s="13">
        <f>INDEX(Population!$C$3:$U$22,MATCH('Cost Calculations'!B18,Population!$B$3:$B$22,0),MATCH(C18,Population!$C$2:$U$2,0))</f>
        <v>82734.498877176025</v>
      </c>
      <c r="E18" s="108" t="str">
        <f t="shared" si="0"/>
        <v>Small</v>
      </c>
      <c r="F18" s="1"/>
      <c r="G18" s="44">
        <f>D18*Variables!$C$21</f>
        <v>0.74461048989458423</v>
      </c>
      <c r="H18" s="44">
        <v>1.688396291294</v>
      </c>
      <c r="I18" s="45">
        <v>0</v>
      </c>
      <c r="J18" s="107">
        <v>148489405.06416112</v>
      </c>
      <c r="K18" s="53">
        <f>I18*(J18+Variables!$C$24*Variables!$C$16)</f>
        <v>0</v>
      </c>
      <c r="L18" s="105">
        <f>(G18*Variables!$C$26+D18*Variables!$C$29)*Variables!$C$16</f>
        <v>2205767.5434755408</v>
      </c>
    </row>
    <row r="19" spans="1:12" x14ac:dyDescent="0.25">
      <c r="A19" s="8">
        <v>16</v>
      </c>
      <c r="B19" t="s">
        <v>43</v>
      </c>
      <c r="C19">
        <v>2019</v>
      </c>
      <c r="D19" s="13">
        <f>INDEX(Population!$C$3:$U$22,MATCH('Cost Calculations'!B19,Population!$B$3:$B$22,0),MATCH(C19,Population!$C$2:$U$2,0))</f>
        <v>86476.895923480828</v>
      </c>
      <c r="E19" s="108" t="str">
        <f t="shared" si="0"/>
        <v>Small</v>
      </c>
      <c r="F19" s="1"/>
      <c r="G19" s="44">
        <f>D19*Variables!$C$21</f>
        <v>0.7782920633113275</v>
      </c>
      <c r="H19" s="44">
        <v>3.838561813059</v>
      </c>
      <c r="I19" s="45">
        <v>0</v>
      </c>
      <c r="J19" s="107">
        <v>148489405.06416112</v>
      </c>
      <c r="K19" s="53">
        <f>I19*(J19+Variables!$C$24*Variables!$C$16)</f>
        <v>0</v>
      </c>
      <c r="L19" s="105">
        <f>(G19*Variables!$C$26+D19*Variables!$C$29)*Variables!$C$16</f>
        <v>2305542.825269327</v>
      </c>
    </row>
    <row r="20" spans="1:12" x14ac:dyDescent="0.25">
      <c r="A20" s="8">
        <v>17</v>
      </c>
      <c r="B20" t="s">
        <v>44</v>
      </c>
      <c r="C20">
        <v>2019</v>
      </c>
      <c r="D20" s="13">
        <f>INDEX(Population!$C$3:$U$22,MATCH('Cost Calculations'!B20,Population!$B$3:$B$22,0),MATCH(C20,Population!$C$2:$U$2,0))</f>
        <v>119084.1394645351</v>
      </c>
      <c r="E20" s="108" t="str">
        <f t="shared" si="0"/>
        <v>Medium</v>
      </c>
      <c r="F20" s="1"/>
      <c r="G20" s="44">
        <f>D20*Variables!$C$21</f>
        <v>1.0717572551808159</v>
      </c>
      <c r="H20" s="44">
        <v>1.866970792936</v>
      </c>
      <c r="I20" s="45">
        <v>0</v>
      </c>
      <c r="J20" s="106">
        <v>126750000</v>
      </c>
      <c r="K20" s="53">
        <f>I20*(J20+Variables!$C$24*Variables!$C$16)</f>
        <v>0</v>
      </c>
      <c r="L20" s="105">
        <f>(G20*Variables!$C$26+D20*Variables!$C$29)*Variables!$C$16</f>
        <v>3174877.8724524267</v>
      </c>
    </row>
    <row r="21" spans="1:12" x14ac:dyDescent="0.25">
      <c r="A21" s="8">
        <v>18</v>
      </c>
      <c r="B21" t="s">
        <v>45</v>
      </c>
      <c r="C21">
        <v>2019</v>
      </c>
      <c r="D21" s="13">
        <f>INDEX(Population!$C$3:$U$22,MATCH('Cost Calculations'!B21,Population!$B$3:$B$22,0),MATCH(C21,Population!$C$2:$U$2,0))</f>
        <v>112791.31880838201</v>
      </c>
      <c r="E21" s="108" t="str">
        <f t="shared" si="0"/>
        <v>Medium</v>
      </c>
      <c r="F21" s="1"/>
      <c r="G21" s="44">
        <f>D21*Variables!$C$21</f>
        <v>1.0151218692754382</v>
      </c>
      <c r="H21" s="44">
        <v>2.4912131370320001</v>
      </c>
      <c r="I21" s="45">
        <v>0</v>
      </c>
      <c r="J21" s="107">
        <v>148489405.06416112</v>
      </c>
      <c r="K21" s="53">
        <f>I21*(J21+Variables!$C$24*Variables!$C$16)</f>
        <v>0</v>
      </c>
      <c r="L21" s="105">
        <f>(G21*Variables!$C$26+D21*Variables!$C$29)*Variables!$C$16</f>
        <v>3007106.2687244429</v>
      </c>
    </row>
    <row r="22" spans="1:12" x14ac:dyDescent="0.25">
      <c r="A22" s="8">
        <v>19</v>
      </c>
      <c r="B22" t="s">
        <v>46</v>
      </c>
      <c r="C22">
        <v>2019</v>
      </c>
      <c r="D22" s="13">
        <f>INDEX(Population!$C$3:$U$22,MATCH('Cost Calculations'!B22,Population!$B$3:$B$22,0),MATCH(C22,Population!$C$2:$U$2,0))</f>
        <v>87425.813324011848</v>
      </c>
      <c r="E22" s="108" t="str">
        <f t="shared" si="0"/>
        <v>Small</v>
      </c>
      <c r="F22" s="1"/>
      <c r="G22" s="44">
        <f>D22*Variables!$C$21</f>
        <v>0.78683231991610669</v>
      </c>
      <c r="H22" s="44">
        <v>1.69330868166</v>
      </c>
      <c r="I22" s="45">
        <v>0</v>
      </c>
      <c r="J22" s="107">
        <v>148489405.06416112</v>
      </c>
      <c r="K22" s="53">
        <f>I22*(J22+Variables!$C$24*Variables!$C$16)</f>
        <v>0</v>
      </c>
      <c r="L22" s="105">
        <f>(G22*Variables!$C$26+D22*Variables!$C$29)*Variables!$C$16</f>
        <v>2330841.7178949751</v>
      </c>
    </row>
    <row r="23" spans="1:12" x14ac:dyDescent="0.25">
      <c r="A23" s="8">
        <v>20</v>
      </c>
      <c r="B23" t="s">
        <v>47</v>
      </c>
      <c r="C23">
        <v>2019</v>
      </c>
      <c r="D23" s="13">
        <f>INDEX(Population!$C$3:$U$22,MATCH('Cost Calculations'!B23,Population!$B$3:$B$22,0),MATCH(C23,Population!$C$2:$U$2,0))</f>
        <v>48966.357557226496</v>
      </c>
      <c r="E23" s="108" t="str">
        <f t="shared" si="0"/>
        <v>Small</v>
      </c>
      <c r="F23" s="1"/>
      <c r="G23" s="44">
        <f>D23*Variables!$C$21</f>
        <v>0.44069721801503847</v>
      </c>
      <c r="H23" s="44">
        <v>1.403877150594</v>
      </c>
      <c r="I23" s="45">
        <v>0</v>
      </c>
      <c r="J23" s="107">
        <v>148489405.06416112</v>
      </c>
      <c r="K23" s="53">
        <f>I23*(J23+Variables!$C$24*Variables!$C$16)</f>
        <v>0</v>
      </c>
      <c r="L23" s="105">
        <f>(G23*Variables!$C$26+D23*Variables!$C$29)*Variables!$C$16</f>
        <v>1305482.0381796593</v>
      </c>
    </row>
    <row r="24" spans="1:12" x14ac:dyDescent="0.25">
      <c r="A24" s="8">
        <v>1</v>
      </c>
      <c r="B24" t="s">
        <v>28</v>
      </c>
      <c r="C24">
        <v>2020</v>
      </c>
      <c r="D24" s="13">
        <f>INDEX(Population!$C$3:$U$22,MATCH('Cost Calculations'!B24,Population!$B$3:$B$22,0),MATCH(C24,Population!$C$2:$U$2,0))</f>
        <v>269004.17669378582</v>
      </c>
      <c r="E24" s="108" t="str">
        <f t="shared" si="0"/>
        <v>Medium</v>
      </c>
      <c r="F24" s="1"/>
      <c r="G24" s="44">
        <f>D24*Variables!$C$21</f>
        <v>2.4210375902440724</v>
      </c>
      <c r="H24" s="45">
        <f>H4+I4</f>
        <v>2.3852587096000715</v>
      </c>
      <c r="I24" s="45">
        <f>G24-H24</f>
        <v>3.5778880644000921E-2</v>
      </c>
      <c r="J24" s="106">
        <v>112666666.66666667</v>
      </c>
      <c r="K24" s="53">
        <f>I24*(J24+Variables!$C$24*Variables!$C$16)</f>
        <v>4308822.9838788351</v>
      </c>
      <c r="L24" s="105">
        <f>(G24*Variables!$C$26+D24*Variables!$C$29)*Variables!$C$16</f>
        <v>7171865.3048396334</v>
      </c>
    </row>
    <row r="25" spans="1:12" x14ac:dyDescent="0.25">
      <c r="A25" s="8">
        <v>2</v>
      </c>
      <c r="B25" t="s">
        <v>29</v>
      </c>
      <c r="C25">
        <v>2020</v>
      </c>
      <c r="D25" s="13">
        <f>INDEX(Population!$C$3:$U$22,MATCH('Cost Calculations'!B25,Population!$B$3:$B$22,0),MATCH(C25,Population!$C$2:$U$2,0))</f>
        <v>854833.26687491476</v>
      </c>
      <c r="E25" s="108" t="str">
        <f t="shared" si="0"/>
        <v>Medium</v>
      </c>
      <c r="F25" s="1"/>
      <c r="G25" s="44">
        <f>D25*Variables!$C$21</f>
        <v>7.6934994018742326</v>
      </c>
      <c r="H25" s="45">
        <f t="shared" ref="H25:H88" si="2">H5+I5</f>
        <v>7.5798023663785559</v>
      </c>
      <c r="I25" s="45">
        <f t="shared" ref="I25:I87" si="3">G25-H25</f>
        <v>0.11369703549567678</v>
      </c>
      <c r="J25" s="106">
        <v>250000000</v>
      </c>
      <c r="K25" s="53">
        <f>I25*(J25+Variables!$C$24*Variables!$C$16)</f>
        <v>29306839.114664163</v>
      </c>
      <c r="L25" s="105">
        <f>(G25*Variables!$C$26+D25*Variables!$C$29)*Variables!$C$16</f>
        <v>22790534.791962374</v>
      </c>
    </row>
    <row r="26" spans="1:12" x14ac:dyDescent="0.25">
      <c r="A26" s="8">
        <v>3</v>
      </c>
      <c r="B26" t="s">
        <v>30</v>
      </c>
      <c r="C26">
        <v>2020</v>
      </c>
      <c r="D26" s="13">
        <f>INDEX(Population!$C$3:$U$22,MATCH('Cost Calculations'!B26,Population!$B$3:$B$22,0),MATCH(C26,Population!$C$2:$U$2,0))</f>
        <v>954004.04173583246</v>
      </c>
      <c r="E26" s="108" t="str">
        <f t="shared" si="0"/>
        <v>Medium</v>
      </c>
      <c r="F26" s="1"/>
      <c r="G26" s="44">
        <f>D26*Variables!$C$21</f>
        <v>8.5860363756224931</v>
      </c>
      <c r="H26" s="45">
        <f t="shared" si="2"/>
        <v>8.459149138544328</v>
      </c>
      <c r="I26" s="45">
        <f t="shared" si="3"/>
        <v>0.12688723707816507</v>
      </c>
      <c r="J26" s="107">
        <v>148489405.06416112</v>
      </c>
      <c r="K26" s="53">
        <f>I26*(J26+Variables!$C$24*Variables!$C$16)</f>
        <v>19826380.336898133</v>
      </c>
      <c r="L26" s="105">
        <f>(G26*Variables!$C$26+D26*Variables!$C$29)*Variables!$C$16</f>
        <v>25434506.52586114</v>
      </c>
    </row>
    <row r="27" spans="1:12" x14ac:dyDescent="0.25">
      <c r="A27" s="8">
        <v>4</v>
      </c>
      <c r="B27" t="s">
        <v>31</v>
      </c>
      <c r="C27">
        <v>2020</v>
      </c>
      <c r="D27" s="13">
        <f>INDEX(Population!$C$3:$U$22,MATCH('Cost Calculations'!B27,Population!$B$3:$B$22,0),MATCH(C27,Population!$C$2:$U$2,0))</f>
        <v>70945.376611185755</v>
      </c>
      <c r="E27" s="108" t="str">
        <f t="shared" si="0"/>
        <v>Small</v>
      </c>
      <c r="F27" s="1"/>
      <c r="G27" s="44">
        <f>D27*Variables!$C$21</f>
        <v>0.63850838950067179</v>
      </c>
      <c r="H27" s="45">
        <f t="shared" si="2"/>
        <v>0.62907230492677024</v>
      </c>
      <c r="I27" s="45">
        <f t="shared" si="3"/>
        <v>9.4360845739015486E-3</v>
      </c>
      <c r="J27" s="107">
        <v>148489405.06416112</v>
      </c>
      <c r="K27" s="53">
        <f>I27*(J27+Variables!$C$24*Variables!$C$16)</f>
        <v>1474406.7721961853</v>
      </c>
      <c r="L27" s="105">
        <f>(G27*Variables!$C$26+D27*Variables!$C$29)*Variables!$C$16</f>
        <v>1891460.1673108451</v>
      </c>
    </row>
    <row r="28" spans="1:12" x14ac:dyDescent="0.25">
      <c r="A28" s="8">
        <v>5</v>
      </c>
      <c r="B28" t="s">
        <v>32</v>
      </c>
      <c r="C28">
        <v>2020</v>
      </c>
      <c r="D28" s="13">
        <f>INDEX(Population!$C$3:$U$22,MATCH('Cost Calculations'!B28,Population!$B$3:$B$22,0),MATCH(C28,Population!$C$2:$U$2,0))</f>
        <v>711957.95913185889</v>
      </c>
      <c r="E28" s="108" t="str">
        <f t="shared" si="0"/>
        <v>Medium</v>
      </c>
      <c r="F28" s="1"/>
      <c r="G28" s="44">
        <f>D28*Variables!$C$21</f>
        <v>6.4076216321867303</v>
      </c>
      <c r="H28" s="45">
        <f t="shared" si="2"/>
        <v>7.1776520242890003</v>
      </c>
      <c r="I28" s="45">
        <v>0</v>
      </c>
      <c r="J28" s="106">
        <v>119387755.10204081</v>
      </c>
      <c r="K28" s="53">
        <f>I28*(J28+Variables!$C$24*Variables!$C$16)</f>
        <v>0</v>
      </c>
      <c r="L28" s="105">
        <f>(G28*Variables!$C$26+D28*Variables!$C$29)*Variables!$C$16</f>
        <v>18981365.450747538</v>
      </c>
    </row>
    <row r="29" spans="1:12" x14ac:dyDescent="0.25">
      <c r="A29" s="8">
        <v>6</v>
      </c>
      <c r="B29" t="s">
        <v>33</v>
      </c>
      <c r="C29">
        <v>2020</v>
      </c>
      <c r="D29" s="13">
        <f>INDEX(Population!$C$3:$U$22,MATCH('Cost Calculations'!B29,Population!$B$3:$B$22,0),MATCH(C29,Population!$C$2:$U$2,0))</f>
        <v>132767.28976353613</v>
      </c>
      <c r="E29" s="108" t="str">
        <f t="shared" si="0"/>
        <v>Medium</v>
      </c>
      <c r="F29" s="1"/>
      <c r="G29" s="44">
        <f>D29*Variables!$C$21</f>
        <v>1.1949056078718252</v>
      </c>
      <c r="H29" s="45">
        <f t="shared" si="2"/>
        <v>1.1772469043072171</v>
      </c>
      <c r="I29" s="45">
        <f t="shared" si="3"/>
        <v>1.765870356460808E-2</v>
      </c>
      <c r="J29" s="106">
        <v>196043165.46762589</v>
      </c>
      <c r="K29" s="53">
        <f>I29*(J29+Variables!$C$24*Variables!$C$16)</f>
        <v>3598944.9188970253</v>
      </c>
      <c r="L29" s="105">
        <f>(G29*Variables!$C$26+D29*Variables!$C$29)*Variables!$C$16</f>
        <v>3539681.5424044346</v>
      </c>
    </row>
    <row r="30" spans="1:12" x14ac:dyDescent="0.25">
      <c r="A30" s="8">
        <v>7</v>
      </c>
      <c r="B30" t="s">
        <v>34</v>
      </c>
      <c r="C30">
        <v>2020</v>
      </c>
      <c r="D30" s="13">
        <f>INDEX(Population!$C$3:$U$22,MATCH('Cost Calculations'!B30,Population!$B$3:$B$22,0),MATCH(C30,Population!$C$2:$U$2,0))</f>
        <v>55730.967736629558</v>
      </c>
      <c r="E30" s="108" t="str">
        <f t="shared" si="0"/>
        <v>Small</v>
      </c>
      <c r="F30" s="1"/>
      <c r="G30" s="44">
        <f>D30*Variables!$C$21</f>
        <v>0.501578709629666</v>
      </c>
      <c r="H30" s="45">
        <f t="shared" si="2"/>
        <v>0.76316986217600002</v>
      </c>
      <c r="I30" s="45">
        <v>0</v>
      </c>
      <c r="J30" s="107">
        <v>148489405.06416112</v>
      </c>
      <c r="K30" s="53">
        <f>I30*(J30+Variables!$C$24*Variables!$C$16)</f>
        <v>0</v>
      </c>
      <c r="L30" s="105">
        <f>(G30*Variables!$C$26+D30*Variables!$C$29)*Variables!$C$16</f>
        <v>1485831.9258382865</v>
      </c>
    </row>
    <row r="31" spans="1:12" x14ac:dyDescent="0.25">
      <c r="A31" s="8">
        <v>8</v>
      </c>
      <c r="B31" t="s">
        <v>35</v>
      </c>
      <c r="C31">
        <v>2020</v>
      </c>
      <c r="D31" s="13">
        <f>INDEX(Population!$C$3:$U$22,MATCH('Cost Calculations'!B31,Population!$B$3:$B$22,0),MATCH(C31,Population!$C$2:$U$2,0))</f>
        <v>58566.349577089946</v>
      </c>
      <c r="E31" s="108" t="str">
        <f t="shared" si="0"/>
        <v>Small</v>
      </c>
      <c r="F31" s="1"/>
      <c r="G31" s="44">
        <f>D31*Variables!$C$21</f>
        <v>0.52709714619380954</v>
      </c>
      <c r="H31" s="45">
        <f t="shared" si="2"/>
        <v>0.51930753319587142</v>
      </c>
      <c r="I31" s="45">
        <f t="shared" si="3"/>
        <v>7.7896129979381223E-3</v>
      </c>
      <c r="J31" s="107">
        <v>148489405.06416112</v>
      </c>
      <c r="K31" s="53">
        <f>I31*(J31+Variables!$C$24*Variables!$C$16)</f>
        <v>1217142.3504101401</v>
      </c>
      <c r="L31" s="105">
        <f>(G31*Variables!$C$26+D31*Variables!$C$29)*Variables!$C$16</f>
        <v>1561425.4608439459</v>
      </c>
    </row>
    <row r="32" spans="1:12" x14ac:dyDescent="0.25">
      <c r="A32" s="8">
        <v>9</v>
      </c>
      <c r="B32" t="s">
        <v>36</v>
      </c>
      <c r="C32">
        <v>2020</v>
      </c>
      <c r="D32" s="13">
        <f>INDEX(Population!$C$3:$U$22,MATCH('Cost Calculations'!B32,Population!$B$3:$B$22,0),MATCH(C32,Population!$C$2:$U$2,0))</f>
        <v>169097.80217382134</v>
      </c>
      <c r="E32" s="108" t="str">
        <f t="shared" si="0"/>
        <v>Medium</v>
      </c>
      <c r="F32" s="1"/>
      <c r="G32" s="44">
        <f>D32*Variables!$C$21</f>
        <v>1.5218802195643921</v>
      </c>
      <c r="H32" s="45">
        <f t="shared" si="2"/>
        <v>1.4993893788811745</v>
      </c>
      <c r="I32" s="45">
        <f t="shared" si="3"/>
        <v>2.2490840683217606E-2</v>
      </c>
      <c r="J32" s="107">
        <v>148489405.06416112</v>
      </c>
      <c r="K32" s="53">
        <f>I32*(J32+Variables!$C$24*Variables!$C$16)</f>
        <v>3514238.0884798011</v>
      </c>
      <c r="L32" s="105">
        <f>(G32*Variables!$C$26+D32*Variables!$C$29)*Variables!$C$16</f>
        <v>4508281.8989668144</v>
      </c>
    </row>
    <row r="33" spans="1:12" x14ac:dyDescent="0.25">
      <c r="A33" s="8">
        <v>10</v>
      </c>
      <c r="B33" t="s">
        <v>37</v>
      </c>
      <c r="C33">
        <v>2020</v>
      </c>
      <c r="D33" s="13">
        <f>INDEX(Population!$C$3:$U$22,MATCH('Cost Calculations'!B33,Population!$B$3:$B$22,0),MATCH(C33,Population!$C$2:$U$2,0))</f>
        <v>298456.32537032006</v>
      </c>
      <c r="E33" s="108" t="str">
        <f t="shared" si="0"/>
        <v>Medium</v>
      </c>
      <c r="F33" s="1"/>
      <c r="G33" s="44">
        <f>D33*Variables!$C$21</f>
        <v>2.6861069283328805</v>
      </c>
      <c r="H33" s="45">
        <f t="shared" si="2"/>
        <v>2.6464107668304244</v>
      </c>
      <c r="I33" s="45">
        <f t="shared" si="3"/>
        <v>3.9696161502456029E-2</v>
      </c>
      <c r="J33" s="106">
        <v>242734319.94362226</v>
      </c>
      <c r="K33" s="53">
        <f>I33*(J33+Variables!$C$24*Variables!$C$16)</f>
        <v>9943764.6652584467</v>
      </c>
      <c r="L33" s="105">
        <f>(G33*Variables!$C$26+D33*Variables!$C$29)*Variables!$C$16</f>
        <v>7957083.0135098565</v>
      </c>
    </row>
    <row r="34" spans="1:12" x14ac:dyDescent="0.25">
      <c r="A34" s="8">
        <v>11</v>
      </c>
      <c r="B34" t="s">
        <v>38</v>
      </c>
      <c r="C34">
        <v>2020</v>
      </c>
      <c r="D34" s="13">
        <f>INDEX(Population!$C$3:$U$22,MATCH('Cost Calculations'!B34,Population!$B$3:$B$22,0),MATCH(C34,Population!$C$2:$U$2,0))</f>
        <v>198287.47807767891</v>
      </c>
      <c r="E34" s="108" t="str">
        <f t="shared" si="0"/>
        <v>Medium</v>
      </c>
      <c r="F34" s="1"/>
      <c r="G34" s="44">
        <f>D34*Variables!$C$21</f>
        <v>1.7845873026991101</v>
      </c>
      <c r="H34" s="45">
        <f t="shared" si="2"/>
        <v>1.7582140913291726</v>
      </c>
      <c r="I34" s="45">
        <f t="shared" si="3"/>
        <v>2.6373211369937533E-2</v>
      </c>
      <c r="J34" s="107">
        <v>148489405.06416112</v>
      </c>
      <c r="K34" s="53">
        <f>I34*(J34+Variables!$C$24*Variables!$C$16)</f>
        <v>4120866.14356399</v>
      </c>
      <c r="L34" s="105">
        <f>(G34*Variables!$C$26+D34*Variables!$C$29)*Variables!$C$16</f>
        <v>5286501.874758089</v>
      </c>
    </row>
    <row r="35" spans="1:12" x14ac:dyDescent="0.25">
      <c r="A35" s="8">
        <v>12</v>
      </c>
      <c r="B35" t="s">
        <v>39</v>
      </c>
      <c r="C35">
        <v>2020</v>
      </c>
      <c r="D35" s="13">
        <f>INDEX(Population!$C$3:$U$22,MATCH('Cost Calculations'!B35,Population!$B$3:$B$22,0),MATCH(C35,Population!$C$2:$U$2,0))</f>
        <v>202274.13534163969</v>
      </c>
      <c r="E35" s="108" t="str">
        <f t="shared" si="0"/>
        <v>Medium</v>
      </c>
      <c r="F35" s="1"/>
      <c r="G35" s="44">
        <f>D35*Variables!$C$21</f>
        <v>1.8204672180747572</v>
      </c>
      <c r="H35" s="45">
        <f t="shared" si="2"/>
        <v>2.0838130428269999</v>
      </c>
      <c r="I35" s="45">
        <v>0</v>
      </c>
      <c r="J35" s="106">
        <v>32000000</v>
      </c>
      <c r="K35" s="53">
        <f>I35*(J35+Variables!$C$24*Variables!$C$16)</f>
        <v>0</v>
      </c>
      <c r="L35" s="105">
        <f>(G35*Variables!$C$26+D35*Variables!$C$29)*Variables!$C$16</f>
        <v>5392789.3282284997</v>
      </c>
    </row>
    <row r="36" spans="1:12" x14ac:dyDescent="0.25">
      <c r="A36" s="8">
        <v>13</v>
      </c>
      <c r="B36" t="s">
        <v>40</v>
      </c>
      <c r="C36">
        <v>2020</v>
      </c>
      <c r="D36" s="13">
        <f>INDEX(Population!$C$3:$U$22,MATCH('Cost Calculations'!B36,Population!$B$3:$B$22,0),MATCH(C36,Population!$C$2:$U$2,0))</f>
        <v>69749.04148422154</v>
      </c>
      <c r="E36" s="108" t="str">
        <f t="shared" si="0"/>
        <v>Small</v>
      </c>
      <c r="F36" s="1"/>
      <c r="G36" s="44">
        <f>D36*Variables!$C$21</f>
        <v>0.62774137335799385</v>
      </c>
      <c r="H36" s="45">
        <f t="shared" si="2"/>
        <v>0.61846440724925511</v>
      </c>
      <c r="I36" s="45">
        <f t="shared" si="3"/>
        <v>9.2769661087387378E-3</v>
      </c>
      <c r="J36" s="107">
        <v>148489405.06416112</v>
      </c>
      <c r="K36" s="53">
        <f>I36*(J36+Variables!$C$24*Variables!$C$16)</f>
        <v>1449544.1990833513</v>
      </c>
      <c r="L36" s="105">
        <f>(G36*Variables!$C$26+D36*Variables!$C$29)*Variables!$C$16</f>
        <v>1859564.9213132251</v>
      </c>
    </row>
    <row r="37" spans="1:12" x14ac:dyDescent="0.25">
      <c r="A37" s="8">
        <v>14</v>
      </c>
      <c r="B37" t="s">
        <v>41</v>
      </c>
      <c r="C37">
        <v>2020</v>
      </c>
      <c r="D37" s="13">
        <f>INDEX(Population!$C$3:$U$22,MATCH('Cost Calculations'!B37,Population!$B$3:$B$22,0),MATCH(C37,Population!$C$2:$U$2,0))</f>
        <v>1624848.4009347225</v>
      </c>
      <c r="E37" s="108" t="str">
        <f t="shared" si="0"/>
        <v>Large</v>
      </c>
      <c r="F37" s="1"/>
      <c r="G37" s="44">
        <f>D37*Variables!$C$21</f>
        <v>14.623635608412503</v>
      </c>
      <c r="H37" s="45">
        <f t="shared" si="2"/>
        <v>20.624841791765</v>
      </c>
      <c r="I37" s="45">
        <v>0</v>
      </c>
      <c r="J37" s="106">
        <v>108333333.33333333</v>
      </c>
      <c r="K37" s="53">
        <f>I37*(J37+Variables!$C$24*Variables!$C$16)</f>
        <v>0</v>
      </c>
      <c r="L37" s="105">
        <f>(G37*Variables!$C$26+D37*Variables!$C$29)*Variables!$C$16</f>
        <v>43319750.702432461</v>
      </c>
    </row>
    <row r="38" spans="1:12" x14ac:dyDescent="0.25">
      <c r="A38" s="8">
        <v>15</v>
      </c>
      <c r="B38" t="s">
        <v>42</v>
      </c>
      <c r="C38">
        <v>2020</v>
      </c>
      <c r="D38" s="13">
        <f>INDEX(Population!$C$3:$U$22,MATCH('Cost Calculations'!B38,Population!$B$3:$B$22,0),MATCH(C38,Population!$C$2:$U$2,0))</f>
        <v>83975.516360333655</v>
      </c>
      <c r="E38" s="108" t="str">
        <f t="shared" si="0"/>
        <v>Small</v>
      </c>
      <c r="F38" s="1"/>
      <c r="G38" s="44">
        <f>D38*Variables!$C$21</f>
        <v>0.75577964724300295</v>
      </c>
      <c r="H38" s="45">
        <f t="shared" si="2"/>
        <v>1.688396291294</v>
      </c>
      <c r="I38" s="45">
        <v>0</v>
      </c>
      <c r="J38" s="107">
        <v>148489405.06416112</v>
      </c>
      <c r="K38" s="53">
        <f>I38*(J38+Variables!$C$24*Variables!$C$16)</f>
        <v>0</v>
      </c>
      <c r="L38" s="105">
        <f>(G38*Variables!$C$26+D38*Variables!$C$29)*Variables!$C$16</f>
        <v>2238854.056627674</v>
      </c>
    </row>
    <row r="39" spans="1:12" x14ac:dyDescent="0.25">
      <c r="A39" s="8">
        <v>16</v>
      </c>
      <c r="B39" t="s">
        <v>43</v>
      </c>
      <c r="C39">
        <v>2020</v>
      </c>
      <c r="D39" s="13">
        <f>INDEX(Population!$C$3:$U$22,MATCH('Cost Calculations'!B39,Population!$B$3:$B$22,0),MATCH(C39,Population!$C$2:$U$2,0))</f>
        <v>87774.049362333026</v>
      </c>
      <c r="E39" s="108" t="str">
        <f t="shared" si="0"/>
        <v>Small</v>
      </c>
      <c r="F39" s="1"/>
      <c r="G39" s="44">
        <f>D39*Variables!$C$21</f>
        <v>0.78996644426099727</v>
      </c>
      <c r="H39" s="45">
        <f t="shared" si="2"/>
        <v>3.838561813059</v>
      </c>
      <c r="I39" s="45">
        <v>0</v>
      </c>
      <c r="J39" s="107">
        <v>148489405.06416112</v>
      </c>
      <c r="K39" s="53">
        <f>I39*(J39+Variables!$C$24*Variables!$C$16)</f>
        <v>0</v>
      </c>
      <c r="L39" s="105">
        <f>(G39*Variables!$C$26+D39*Variables!$C$29)*Variables!$C$16</f>
        <v>2340125.9676483665</v>
      </c>
    </row>
    <row r="40" spans="1:12" x14ac:dyDescent="0.25">
      <c r="A40" s="8">
        <v>17</v>
      </c>
      <c r="B40" t="s">
        <v>44</v>
      </c>
      <c r="C40">
        <v>2020</v>
      </c>
      <c r="D40" s="13">
        <f>INDEX(Population!$C$3:$U$22,MATCH('Cost Calculations'!B40,Population!$B$3:$B$22,0),MATCH(C40,Population!$C$2:$U$2,0))</f>
        <v>120870.40155650311</v>
      </c>
      <c r="E40" s="108" t="str">
        <f t="shared" si="0"/>
        <v>Medium</v>
      </c>
      <c r="F40" s="1"/>
      <c r="G40" s="44">
        <f>D40*Variables!$C$21</f>
        <v>1.0878336140085281</v>
      </c>
      <c r="H40" s="45">
        <f t="shared" si="2"/>
        <v>1.866970792936</v>
      </c>
      <c r="I40" s="45">
        <v>0</v>
      </c>
      <c r="J40" s="106">
        <v>126750000</v>
      </c>
      <c r="K40" s="53">
        <f>I40*(J40+Variables!$C$24*Variables!$C$16)</f>
        <v>0</v>
      </c>
      <c r="L40" s="105">
        <f>(G40*Variables!$C$26+D40*Variables!$C$29)*Variables!$C$16</f>
        <v>3222501.0405392135</v>
      </c>
    </row>
    <row r="41" spans="1:12" x14ac:dyDescent="0.25">
      <c r="A41" s="8">
        <v>18</v>
      </c>
      <c r="B41" t="s">
        <v>45</v>
      </c>
      <c r="C41">
        <v>2020</v>
      </c>
      <c r="D41" s="13">
        <f>INDEX(Population!$C$3:$U$22,MATCH('Cost Calculations'!B41,Population!$B$3:$B$22,0),MATCH(C41,Population!$C$2:$U$2,0))</f>
        <v>114483.18859050774</v>
      </c>
      <c r="E41" s="108" t="str">
        <f t="shared" si="0"/>
        <v>Medium</v>
      </c>
      <c r="F41" s="1"/>
      <c r="G41" s="44">
        <f>D41*Variables!$C$21</f>
        <v>1.0303486973145697</v>
      </c>
      <c r="H41" s="45">
        <f t="shared" si="2"/>
        <v>2.4912131370320001</v>
      </c>
      <c r="I41" s="45">
        <v>0</v>
      </c>
      <c r="J41" s="107">
        <v>148489405.06416112</v>
      </c>
      <c r="K41" s="53">
        <f>I41*(J41+Variables!$C$24*Variables!$C$16)</f>
        <v>0</v>
      </c>
      <c r="L41" s="105">
        <f>(G41*Variables!$C$26+D41*Variables!$C$29)*Variables!$C$16</f>
        <v>3052212.8627553089</v>
      </c>
    </row>
    <row r="42" spans="1:12" x14ac:dyDescent="0.25">
      <c r="A42" s="8">
        <v>19</v>
      </c>
      <c r="B42" t="s">
        <v>46</v>
      </c>
      <c r="C42">
        <v>2020</v>
      </c>
      <c r="D42" s="13">
        <f>INDEX(Population!$C$3:$U$22,MATCH('Cost Calculations'!B42,Population!$B$3:$B$22,0),MATCH(C42,Population!$C$2:$U$2,0))</f>
        <v>88737.200523872016</v>
      </c>
      <c r="E42" s="108" t="str">
        <f t="shared" si="0"/>
        <v>Small</v>
      </c>
      <c r="F42" s="1"/>
      <c r="G42" s="44">
        <f>D42*Variables!$C$21</f>
        <v>0.79863480471484816</v>
      </c>
      <c r="H42" s="45">
        <f t="shared" si="2"/>
        <v>1.69330868166</v>
      </c>
      <c r="I42" s="45">
        <v>0</v>
      </c>
      <c r="J42" s="107">
        <v>148489405.06416112</v>
      </c>
      <c r="K42" s="53">
        <f>I42*(J42+Variables!$C$24*Variables!$C$16)</f>
        <v>0</v>
      </c>
      <c r="L42" s="105">
        <f>(G42*Variables!$C$26+D42*Variables!$C$29)*Variables!$C$16</f>
        <v>2365804.3436633991</v>
      </c>
    </row>
    <row r="43" spans="1:12" x14ac:dyDescent="0.25">
      <c r="A43" s="8">
        <v>20</v>
      </c>
      <c r="B43" t="s">
        <v>47</v>
      </c>
      <c r="C43">
        <v>2020</v>
      </c>
      <c r="D43" s="13">
        <f>INDEX(Population!$C$3:$U$22,MATCH('Cost Calculations'!B43,Population!$B$3:$B$22,0),MATCH(C43,Population!$C$2:$U$2,0))</f>
        <v>49700.85292058489</v>
      </c>
      <c r="E43" s="108" t="str">
        <f t="shared" si="0"/>
        <v>Small</v>
      </c>
      <c r="F43" s="1"/>
      <c r="G43" s="44">
        <f>D43*Variables!$C$21</f>
        <v>0.44730767628526402</v>
      </c>
      <c r="H43" s="45">
        <f t="shared" si="2"/>
        <v>1.403877150594</v>
      </c>
      <c r="I43" s="45">
        <v>0</v>
      </c>
      <c r="J43" s="107">
        <v>148489405.06416112</v>
      </c>
      <c r="K43" s="53">
        <f>I43*(J43+Variables!$C$24*Variables!$C$16)</f>
        <v>0</v>
      </c>
      <c r="L43" s="105">
        <f>(G43*Variables!$C$26+D43*Variables!$C$29)*Variables!$C$16</f>
        <v>1325064.268752354</v>
      </c>
    </row>
    <row r="44" spans="1:12" x14ac:dyDescent="0.25">
      <c r="A44" s="8">
        <v>1</v>
      </c>
      <c r="B44" t="s">
        <v>28</v>
      </c>
      <c r="C44">
        <v>2021</v>
      </c>
      <c r="D44" s="13">
        <f>INDEX(Population!$C$3:$U$22,MATCH('Cost Calculations'!B44,Population!$B$3:$B$22,0),MATCH(C44,Population!$C$2:$U$2,0))</f>
        <v>273039.23934419255</v>
      </c>
      <c r="E44" s="108" t="str">
        <f t="shared" si="0"/>
        <v>Medium</v>
      </c>
      <c r="F44" s="1"/>
      <c r="G44" s="44">
        <f>D44*Variables!$C$21</f>
        <v>2.4573531540977331</v>
      </c>
      <c r="H44" s="45">
        <f t="shared" si="2"/>
        <v>2.4210375902440724</v>
      </c>
      <c r="I44" s="45">
        <f t="shared" si="3"/>
        <v>3.6315563853660748E-2</v>
      </c>
      <c r="J44" s="106">
        <v>112666666.66666667</v>
      </c>
      <c r="K44" s="53">
        <f>I44*(J44+Variables!$C$24*Variables!$C$16)</f>
        <v>4373455.3286369955</v>
      </c>
      <c r="L44" s="105">
        <f>(G44*Variables!$C$26+D44*Variables!$C$29)*Variables!$C$16</f>
        <v>7279443.2844122266</v>
      </c>
    </row>
    <row r="45" spans="1:12" x14ac:dyDescent="0.25">
      <c r="A45" s="8">
        <v>2</v>
      </c>
      <c r="B45" t="s">
        <v>29</v>
      </c>
      <c r="C45">
        <v>2021</v>
      </c>
      <c r="D45" s="13">
        <f>INDEX(Population!$C$3:$U$22,MATCH('Cost Calculations'!B45,Population!$B$3:$B$22,0),MATCH(C45,Population!$C$2:$U$2,0))</f>
        <v>867655.76587803836</v>
      </c>
      <c r="E45" s="108" t="str">
        <f t="shared" si="0"/>
        <v>Medium</v>
      </c>
      <c r="F45" s="1"/>
      <c r="G45" s="44">
        <f>D45*Variables!$C$21</f>
        <v>7.8089018929023455</v>
      </c>
      <c r="H45" s="45">
        <f t="shared" si="2"/>
        <v>7.6934994018742326</v>
      </c>
      <c r="I45" s="45">
        <f t="shared" si="3"/>
        <v>0.11540249102811284</v>
      </c>
      <c r="J45" s="106">
        <v>250000000</v>
      </c>
      <c r="K45" s="53">
        <f>I45*(J45+Variables!$C$24*Variables!$C$16)</f>
        <v>29746441.701384362</v>
      </c>
      <c r="L45" s="105">
        <f>(G45*Variables!$C$26+D45*Variables!$C$29)*Variables!$C$16</f>
        <v>23132392.813841809</v>
      </c>
    </row>
    <row r="46" spans="1:12" x14ac:dyDescent="0.25">
      <c r="A46" s="8">
        <v>3</v>
      </c>
      <c r="B46" t="s">
        <v>30</v>
      </c>
      <c r="C46">
        <v>2021</v>
      </c>
      <c r="D46" s="13">
        <f>INDEX(Population!$C$3:$U$22,MATCH('Cost Calculations'!B46,Population!$B$3:$B$22,0),MATCH(C46,Population!$C$2:$U$2,0))</f>
        <v>968314.10236186988</v>
      </c>
      <c r="E46" s="108" t="str">
        <f t="shared" si="0"/>
        <v>Medium</v>
      </c>
      <c r="F46" s="1"/>
      <c r="G46" s="44">
        <f>D46*Variables!$C$21</f>
        <v>8.7148269212568295</v>
      </c>
      <c r="H46" s="45">
        <f t="shared" si="2"/>
        <v>8.5860363756224931</v>
      </c>
      <c r="I46" s="45">
        <f t="shared" si="3"/>
        <v>0.12879054563433634</v>
      </c>
      <c r="J46" s="107">
        <v>148489405.06416112</v>
      </c>
      <c r="K46" s="53">
        <f>I46*(J46+Variables!$C$24*Variables!$C$16)</f>
        <v>20123776.041951418</v>
      </c>
      <c r="L46" s="105">
        <f>(G46*Variables!$C$26+D46*Variables!$C$29)*Variables!$C$16</f>
        <v>25816024.123749055</v>
      </c>
    </row>
    <row r="47" spans="1:12" x14ac:dyDescent="0.25">
      <c r="A47" s="8">
        <v>4</v>
      </c>
      <c r="B47" t="s">
        <v>31</v>
      </c>
      <c r="C47">
        <v>2021</v>
      </c>
      <c r="D47" s="13">
        <f>INDEX(Population!$C$3:$U$22,MATCH('Cost Calculations'!B47,Population!$B$3:$B$22,0),MATCH(C47,Population!$C$2:$U$2,0))</f>
        <v>72009.55726035354</v>
      </c>
      <c r="E47" s="108" t="str">
        <f t="shared" si="0"/>
        <v>Small</v>
      </c>
      <c r="F47" s="1"/>
      <c r="G47" s="44">
        <f>D47*Variables!$C$21</f>
        <v>0.64808601534318189</v>
      </c>
      <c r="H47" s="45">
        <f t="shared" si="2"/>
        <v>0.63850838950067179</v>
      </c>
      <c r="I47" s="45">
        <f t="shared" si="3"/>
        <v>9.5776258425100957E-3</v>
      </c>
      <c r="J47" s="107">
        <v>148489405.06416112</v>
      </c>
      <c r="K47" s="53">
        <f>I47*(J47+Variables!$C$24*Variables!$C$16)</f>
        <v>1496522.8737791318</v>
      </c>
      <c r="L47" s="105">
        <f>(G47*Variables!$C$26+D47*Variables!$C$29)*Variables!$C$16</f>
        <v>1919832.0698205077</v>
      </c>
    </row>
    <row r="48" spans="1:12" x14ac:dyDescent="0.25">
      <c r="A48" s="8">
        <v>5</v>
      </c>
      <c r="B48" t="s">
        <v>32</v>
      </c>
      <c r="C48">
        <v>2021</v>
      </c>
      <c r="D48" s="13">
        <f>INDEX(Population!$C$3:$U$22,MATCH('Cost Calculations'!B48,Population!$B$3:$B$22,0),MATCH(C48,Population!$C$2:$U$2,0))</f>
        <v>722637.32851883676</v>
      </c>
      <c r="E48" s="108" t="str">
        <f t="shared" si="0"/>
        <v>Medium</v>
      </c>
      <c r="F48" s="1"/>
      <c r="G48" s="44">
        <f>D48*Variables!$C$21</f>
        <v>6.503735956669531</v>
      </c>
      <c r="H48" s="45">
        <f t="shared" si="2"/>
        <v>7.1776520242890003</v>
      </c>
      <c r="I48" s="45">
        <v>0</v>
      </c>
      <c r="J48" s="106">
        <v>119387755.10204081</v>
      </c>
      <c r="K48" s="53">
        <f>I48*(J48+Variables!$C$24*Variables!$C$16)</f>
        <v>0</v>
      </c>
      <c r="L48" s="105">
        <f>(G48*Variables!$C$26+D48*Variables!$C$29)*Variables!$C$16</f>
        <v>19266085.932508752</v>
      </c>
    </row>
    <row r="49" spans="1:12" x14ac:dyDescent="0.25">
      <c r="A49" s="8">
        <v>6</v>
      </c>
      <c r="B49" t="s">
        <v>33</v>
      </c>
      <c r="C49">
        <v>2021</v>
      </c>
      <c r="D49" s="13">
        <f>INDEX(Population!$C$3:$U$22,MATCH('Cost Calculations'!B49,Population!$B$3:$B$22,0),MATCH(C49,Population!$C$2:$U$2,0))</f>
        <v>134758.79910998917</v>
      </c>
      <c r="E49" s="108" t="str">
        <f t="shared" si="0"/>
        <v>Medium</v>
      </c>
      <c r="F49" s="1"/>
      <c r="G49" s="44">
        <f>D49*Variables!$C$21</f>
        <v>1.2128291919899026</v>
      </c>
      <c r="H49" s="45">
        <f t="shared" si="2"/>
        <v>1.1949056078718252</v>
      </c>
      <c r="I49" s="45">
        <f t="shared" si="3"/>
        <v>1.7923584118077374E-2</v>
      </c>
      <c r="J49" s="106">
        <v>196043165.46762589</v>
      </c>
      <c r="K49" s="53">
        <f>I49*(J49+Variables!$C$24*Variables!$C$16)</f>
        <v>3652929.0926805157</v>
      </c>
      <c r="L49" s="105">
        <f>(G49*Variables!$C$26+D49*Variables!$C$29)*Variables!$C$16</f>
        <v>3592776.7655405016</v>
      </c>
    </row>
    <row r="50" spans="1:12" x14ac:dyDescent="0.25">
      <c r="A50" s="8">
        <v>7</v>
      </c>
      <c r="B50" t="s">
        <v>34</v>
      </c>
      <c r="C50">
        <v>2021</v>
      </c>
      <c r="D50" s="13">
        <f>INDEX(Population!$C$3:$U$22,MATCH('Cost Calculations'!B50,Population!$B$3:$B$22,0),MATCH(C50,Population!$C$2:$U$2,0))</f>
        <v>56566.932252678998</v>
      </c>
      <c r="E50" s="108" t="str">
        <f t="shared" si="0"/>
        <v>Small</v>
      </c>
      <c r="F50" s="1"/>
      <c r="G50" s="44">
        <f>D50*Variables!$C$21</f>
        <v>0.50910239027411097</v>
      </c>
      <c r="H50" s="45">
        <f t="shared" si="2"/>
        <v>0.76316986217600002</v>
      </c>
      <c r="I50" s="45">
        <v>0</v>
      </c>
      <c r="J50" s="107">
        <v>148489405.06416112</v>
      </c>
      <c r="K50" s="53">
        <f>I50*(J50+Variables!$C$24*Variables!$C$16)</f>
        <v>0</v>
      </c>
      <c r="L50" s="105">
        <f>(G50*Variables!$C$26+D50*Variables!$C$29)*Variables!$C$16</f>
        <v>1508119.4047258608</v>
      </c>
    </row>
    <row r="51" spans="1:12" x14ac:dyDescent="0.25">
      <c r="A51" s="8">
        <v>8</v>
      </c>
      <c r="B51" t="s">
        <v>35</v>
      </c>
      <c r="C51">
        <v>2021</v>
      </c>
      <c r="D51" s="13">
        <f>INDEX(Population!$C$3:$U$22,MATCH('Cost Calculations'!B51,Population!$B$3:$B$22,0),MATCH(C51,Population!$C$2:$U$2,0))</f>
        <v>59444.844820746286</v>
      </c>
      <c r="E51" s="108" t="str">
        <f t="shared" si="0"/>
        <v>Small</v>
      </c>
      <c r="F51" s="1"/>
      <c r="G51" s="44">
        <f>D51*Variables!$C$21</f>
        <v>0.5350036033867166</v>
      </c>
      <c r="H51" s="45">
        <f t="shared" si="2"/>
        <v>0.52709714619380954</v>
      </c>
      <c r="I51" s="45">
        <f t="shared" si="3"/>
        <v>7.9064571929070571E-3</v>
      </c>
      <c r="J51" s="107">
        <v>148489405.06416112</v>
      </c>
      <c r="K51" s="53">
        <f>I51*(J51+Variables!$C$24*Variables!$C$16)</f>
        <v>1235399.4856662708</v>
      </c>
      <c r="L51" s="105">
        <f>(G51*Variables!$C$26+D51*Variables!$C$29)*Variables!$C$16</f>
        <v>1584846.8427566045</v>
      </c>
    </row>
    <row r="52" spans="1:12" x14ac:dyDescent="0.25">
      <c r="A52" s="8">
        <v>9</v>
      </c>
      <c r="B52" t="s">
        <v>36</v>
      </c>
      <c r="C52">
        <v>2021</v>
      </c>
      <c r="D52" s="13">
        <f>INDEX(Population!$C$3:$U$22,MATCH('Cost Calculations'!B52,Population!$B$3:$B$22,0),MATCH(C52,Population!$C$2:$U$2,0))</f>
        <v>171634.26920642864</v>
      </c>
      <c r="E52" s="108" t="str">
        <f t="shared" si="0"/>
        <v>Medium</v>
      </c>
      <c r="F52" s="1"/>
      <c r="G52" s="44">
        <f>D52*Variables!$C$21</f>
        <v>1.5447084228578578</v>
      </c>
      <c r="H52" s="45">
        <f t="shared" si="2"/>
        <v>1.5218802195643921</v>
      </c>
      <c r="I52" s="45">
        <f t="shared" si="3"/>
        <v>2.2828203293465688E-2</v>
      </c>
      <c r="J52" s="107">
        <v>148489405.06416112</v>
      </c>
      <c r="K52" s="53">
        <f>I52*(J52+Variables!$C$24*Variables!$C$16)</f>
        <v>3566951.6598069696</v>
      </c>
      <c r="L52" s="105">
        <f>(G52*Variables!$C$26+D52*Variables!$C$29)*Variables!$C$16</f>
        <v>4575906.1274513165</v>
      </c>
    </row>
    <row r="53" spans="1:12" x14ac:dyDescent="0.25">
      <c r="A53" s="8">
        <v>10</v>
      </c>
      <c r="B53" t="s">
        <v>37</v>
      </c>
      <c r="C53">
        <v>2021</v>
      </c>
      <c r="D53" s="13">
        <f>INDEX(Population!$C$3:$U$22,MATCH('Cost Calculations'!B53,Population!$B$3:$B$22,0),MATCH(C53,Population!$C$2:$U$2,0))</f>
        <v>302933.17025087483</v>
      </c>
      <c r="E53" s="108" t="str">
        <f t="shared" si="0"/>
        <v>Medium</v>
      </c>
      <c r="F53" s="1"/>
      <c r="G53" s="44">
        <f>D53*Variables!$C$21</f>
        <v>2.7263985322578734</v>
      </c>
      <c r="H53" s="45">
        <f t="shared" si="2"/>
        <v>2.6861069283328805</v>
      </c>
      <c r="I53" s="45">
        <f t="shared" si="3"/>
        <v>4.029160392499298E-2</v>
      </c>
      <c r="J53" s="106">
        <v>242734319.94362226</v>
      </c>
      <c r="K53" s="53">
        <f>I53*(J53+Variables!$C$24*Variables!$C$16)</f>
        <v>10092921.135237351</v>
      </c>
      <c r="L53" s="105">
        <f>(G53*Variables!$C$26+D53*Variables!$C$29)*Variables!$C$16</f>
        <v>8076439.2587125031</v>
      </c>
    </row>
    <row r="54" spans="1:12" x14ac:dyDescent="0.25">
      <c r="A54" s="8">
        <v>11</v>
      </c>
      <c r="B54" t="s">
        <v>38</v>
      </c>
      <c r="C54">
        <v>2021</v>
      </c>
      <c r="D54" s="13">
        <f>INDEX(Population!$C$3:$U$22,MATCH('Cost Calculations'!B54,Population!$B$3:$B$22,0),MATCH(C54,Population!$C$2:$U$2,0))</f>
        <v>201261.79024884404</v>
      </c>
      <c r="E54" s="108" t="str">
        <f t="shared" si="0"/>
        <v>Medium</v>
      </c>
      <c r="F54" s="1"/>
      <c r="G54" s="44">
        <f>D54*Variables!$C$21</f>
        <v>1.8113561122395965</v>
      </c>
      <c r="H54" s="45">
        <f t="shared" si="2"/>
        <v>1.7845873026991101</v>
      </c>
      <c r="I54" s="45">
        <f t="shared" si="3"/>
        <v>2.6768809540486327E-2</v>
      </c>
      <c r="J54" s="107">
        <v>148489405.06416112</v>
      </c>
      <c r="K54" s="53">
        <f>I54*(J54+Variables!$C$24*Variables!$C$16)</f>
        <v>4182679.1357174078</v>
      </c>
      <c r="L54" s="105">
        <f>(G54*Variables!$C$26+D54*Variables!$C$29)*Variables!$C$16</f>
        <v>5365799.4028794579</v>
      </c>
    </row>
    <row r="55" spans="1:12" x14ac:dyDescent="0.25">
      <c r="A55" s="8">
        <v>12</v>
      </c>
      <c r="B55" t="s">
        <v>39</v>
      </c>
      <c r="C55">
        <v>2021</v>
      </c>
      <c r="D55" s="13">
        <f>INDEX(Population!$C$3:$U$22,MATCH('Cost Calculations'!B55,Population!$B$3:$B$22,0),MATCH(C55,Population!$C$2:$U$2,0))</f>
        <v>205308.24737176427</v>
      </c>
      <c r="E55" s="108" t="str">
        <f t="shared" si="0"/>
        <v>Medium</v>
      </c>
      <c r="F55" s="1"/>
      <c r="G55" s="44">
        <f>D55*Variables!$C$21</f>
        <v>1.8477742263458785</v>
      </c>
      <c r="H55" s="45">
        <f t="shared" si="2"/>
        <v>2.0838130428269999</v>
      </c>
      <c r="I55" s="45">
        <v>0</v>
      </c>
      <c r="J55" s="106">
        <v>32000000</v>
      </c>
      <c r="K55" s="53">
        <f>I55*(J55+Variables!$C$24*Variables!$C$16)</f>
        <v>0</v>
      </c>
      <c r="L55" s="105">
        <f>(G55*Variables!$C$26+D55*Variables!$C$29)*Variables!$C$16</f>
        <v>5473681.1681519281</v>
      </c>
    </row>
    <row r="56" spans="1:12" x14ac:dyDescent="0.25">
      <c r="A56" s="8">
        <v>13</v>
      </c>
      <c r="B56" t="s">
        <v>40</v>
      </c>
      <c r="C56">
        <v>2021</v>
      </c>
      <c r="D56" s="13">
        <f>INDEX(Population!$C$3:$U$22,MATCH('Cost Calculations'!B56,Population!$B$3:$B$22,0),MATCH(C56,Population!$C$2:$U$2,0))</f>
        <v>70795.277106484864</v>
      </c>
      <c r="E56" s="108" t="str">
        <f t="shared" si="0"/>
        <v>Small</v>
      </c>
      <c r="F56" s="1"/>
      <c r="G56" s="44">
        <f>D56*Variables!$C$21</f>
        <v>0.63715749395836374</v>
      </c>
      <c r="H56" s="45">
        <f t="shared" si="2"/>
        <v>0.62774137335799385</v>
      </c>
      <c r="I56" s="45">
        <f t="shared" si="3"/>
        <v>9.4161206003698927E-3</v>
      </c>
      <c r="J56" s="107">
        <v>148489405.06416112</v>
      </c>
      <c r="K56" s="53">
        <f>I56*(J56+Variables!$C$24*Variables!$C$16)</f>
        <v>1471287.3620696133</v>
      </c>
      <c r="L56" s="105">
        <f>(G56*Variables!$C$26+D56*Variables!$C$29)*Variables!$C$16</f>
        <v>1887458.3951329233</v>
      </c>
    </row>
    <row r="57" spans="1:12" x14ac:dyDescent="0.25">
      <c r="A57" s="8">
        <v>14</v>
      </c>
      <c r="B57" t="s">
        <v>41</v>
      </c>
      <c r="C57">
        <v>2021</v>
      </c>
      <c r="D57" s="13">
        <f>INDEX(Population!$C$3:$U$22,MATCH('Cost Calculations'!B57,Population!$B$3:$B$22,0),MATCH(C57,Population!$C$2:$U$2,0))</f>
        <v>1649221.1269487431</v>
      </c>
      <c r="E57" s="108" t="str">
        <f t="shared" si="0"/>
        <v>Large</v>
      </c>
      <c r="F57" s="1"/>
      <c r="G57" s="44">
        <f>D57*Variables!$C$21</f>
        <v>14.842990142538689</v>
      </c>
      <c r="H57" s="45">
        <f t="shared" si="2"/>
        <v>20.624841791765</v>
      </c>
      <c r="I57" s="45">
        <v>0</v>
      </c>
      <c r="J57" s="106">
        <v>108333333.33333333</v>
      </c>
      <c r="K57" s="53">
        <f>I57*(J57+Variables!$C$24*Variables!$C$16)</f>
        <v>0</v>
      </c>
      <c r="L57" s="105">
        <f>(G57*Variables!$C$26+D57*Variables!$C$29)*Variables!$C$16</f>
        <v>43969546.962968938</v>
      </c>
    </row>
    <row r="58" spans="1:12" x14ac:dyDescent="0.25">
      <c r="A58" s="8">
        <v>15</v>
      </c>
      <c r="B58" t="s">
        <v>42</v>
      </c>
      <c r="C58">
        <v>2021</v>
      </c>
      <c r="D58" s="13">
        <f>INDEX(Population!$C$3:$U$22,MATCH('Cost Calculations'!B58,Population!$B$3:$B$22,0),MATCH(C58,Population!$C$2:$U$2,0))</f>
        <v>85235.149105738659</v>
      </c>
      <c r="E58" s="108" t="str">
        <f t="shared" si="0"/>
        <v>Small</v>
      </c>
      <c r="F58" s="1"/>
      <c r="G58" s="44">
        <f>D58*Variables!$C$21</f>
        <v>0.76711634195164791</v>
      </c>
      <c r="H58" s="45">
        <f t="shared" si="2"/>
        <v>1.688396291294</v>
      </c>
      <c r="I58" s="45">
        <v>0</v>
      </c>
      <c r="J58" s="107">
        <v>148489405.06416112</v>
      </c>
      <c r="K58" s="53">
        <f>I58*(J58+Variables!$C$24*Variables!$C$16)</f>
        <v>0</v>
      </c>
      <c r="L58" s="105">
        <f>(G58*Variables!$C$26+D58*Variables!$C$29)*Variables!$C$16</f>
        <v>2272436.8674770887</v>
      </c>
    </row>
    <row r="59" spans="1:12" x14ac:dyDescent="0.25">
      <c r="A59" s="8">
        <v>16</v>
      </c>
      <c r="B59" t="s">
        <v>43</v>
      </c>
      <c r="C59">
        <v>2021</v>
      </c>
      <c r="D59" s="13">
        <f>INDEX(Population!$C$3:$U$22,MATCH('Cost Calculations'!B59,Population!$B$3:$B$22,0),MATCH(C59,Population!$C$2:$U$2,0))</f>
        <v>89090.660102768015</v>
      </c>
      <c r="E59" s="108" t="str">
        <f t="shared" si="0"/>
        <v>Small</v>
      </c>
      <c r="F59" s="1"/>
      <c r="G59" s="44">
        <f>D59*Variables!$C$21</f>
        <v>0.80181594092491215</v>
      </c>
      <c r="H59" s="45">
        <f t="shared" si="2"/>
        <v>3.838561813059</v>
      </c>
      <c r="I59" s="45">
        <v>0</v>
      </c>
      <c r="J59" s="107">
        <v>148489405.06416112</v>
      </c>
      <c r="K59" s="53">
        <f>I59*(J59+Variables!$C$24*Variables!$C$16)</f>
        <v>0</v>
      </c>
      <c r="L59" s="105">
        <f>(G59*Variables!$C$26+D59*Variables!$C$29)*Variables!$C$16</f>
        <v>2375227.8571630912</v>
      </c>
    </row>
    <row r="60" spans="1:12" x14ac:dyDescent="0.25">
      <c r="A60" s="8">
        <v>17</v>
      </c>
      <c r="B60" t="s">
        <v>44</v>
      </c>
      <c r="C60">
        <v>2021</v>
      </c>
      <c r="D60" s="13">
        <f>INDEX(Population!$C$3:$U$22,MATCH('Cost Calculations'!B60,Population!$B$3:$B$22,0),MATCH(C60,Population!$C$2:$U$2,0))</f>
        <v>122683.45757985064</v>
      </c>
      <c r="E60" s="108" t="str">
        <f t="shared" si="0"/>
        <v>Medium</v>
      </c>
      <c r="F60" s="1"/>
      <c r="G60" s="44">
        <f>D60*Variables!$C$21</f>
        <v>1.1041511182186559</v>
      </c>
      <c r="H60" s="45">
        <f t="shared" si="2"/>
        <v>1.866970792936</v>
      </c>
      <c r="I60" s="45">
        <v>0</v>
      </c>
      <c r="J60" s="106">
        <v>126750000</v>
      </c>
      <c r="K60" s="53">
        <f>I60*(J60+Variables!$C$24*Variables!$C$16)</f>
        <v>0</v>
      </c>
      <c r="L60" s="105">
        <f>(G60*Variables!$C$26+D60*Variables!$C$29)*Variables!$C$16</f>
        <v>3270838.5561473006</v>
      </c>
    </row>
    <row r="61" spans="1:12" x14ac:dyDescent="0.25">
      <c r="A61" s="8">
        <v>18</v>
      </c>
      <c r="B61" t="s">
        <v>45</v>
      </c>
      <c r="C61">
        <v>2021</v>
      </c>
      <c r="D61" s="13">
        <f>INDEX(Population!$C$3:$U$22,MATCH('Cost Calculations'!B61,Population!$B$3:$B$22,0),MATCH(C61,Population!$C$2:$U$2,0))</f>
        <v>116200.43641936533</v>
      </c>
      <c r="E61" s="108" t="str">
        <f t="shared" si="0"/>
        <v>Medium</v>
      </c>
      <c r="F61" s="1"/>
      <c r="G61" s="44">
        <f>D61*Variables!$C$21</f>
        <v>1.0458039277742881</v>
      </c>
      <c r="H61" s="45">
        <f t="shared" si="2"/>
        <v>2.4912131370320001</v>
      </c>
      <c r="I61" s="45">
        <v>0</v>
      </c>
      <c r="J61" s="107">
        <v>148489405.06416112</v>
      </c>
      <c r="K61" s="53">
        <f>I61*(J61+Variables!$C$24*Variables!$C$16)</f>
        <v>0</v>
      </c>
      <c r="L61" s="105">
        <f>(G61*Variables!$C$26+D61*Variables!$C$29)*Variables!$C$16</f>
        <v>3097996.0556966383</v>
      </c>
    </row>
    <row r="62" spans="1:12" x14ac:dyDescent="0.25">
      <c r="A62" s="8">
        <v>19</v>
      </c>
      <c r="B62" t="s">
        <v>46</v>
      </c>
      <c r="C62">
        <v>2021</v>
      </c>
      <c r="D62" s="13">
        <f>INDEX(Population!$C$3:$U$22,MATCH('Cost Calculations'!B62,Population!$B$3:$B$22,0),MATCH(C62,Population!$C$2:$U$2,0))</f>
        <v>90068.258531730084</v>
      </c>
      <c r="E62" s="108" t="str">
        <f t="shared" si="0"/>
        <v>Small</v>
      </c>
      <c r="F62" s="1"/>
      <c r="G62" s="44">
        <f>D62*Variables!$C$21</f>
        <v>0.81061432678557077</v>
      </c>
      <c r="H62" s="45">
        <f t="shared" si="2"/>
        <v>1.69330868166</v>
      </c>
      <c r="I62" s="45">
        <v>0</v>
      </c>
      <c r="J62" s="107">
        <v>148489405.06416112</v>
      </c>
      <c r="K62" s="53">
        <f>I62*(J62+Variables!$C$24*Variables!$C$16)</f>
        <v>0</v>
      </c>
      <c r="L62" s="105">
        <f>(G62*Variables!$C$26+D62*Variables!$C$29)*Variables!$C$16</f>
        <v>2401291.4088183497</v>
      </c>
    </row>
    <row r="63" spans="1:12" x14ac:dyDescent="0.25">
      <c r="A63" s="8">
        <v>20</v>
      </c>
      <c r="B63" t="s">
        <v>47</v>
      </c>
      <c r="C63">
        <v>2021</v>
      </c>
      <c r="D63" s="13">
        <f>INDEX(Population!$C$3:$U$22,MATCH('Cost Calculations'!B63,Population!$B$3:$B$22,0),MATCH(C63,Population!$C$2:$U$2,0))</f>
        <v>50446.365714393658</v>
      </c>
      <c r="E63" s="108" t="str">
        <f t="shared" si="0"/>
        <v>Small</v>
      </c>
      <c r="F63" s="1"/>
      <c r="G63" s="44">
        <f>D63*Variables!$C$21</f>
        <v>0.45401729142954295</v>
      </c>
      <c r="H63" s="45">
        <f t="shared" si="2"/>
        <v>1.403877150594</v>
      </c>
      <c r="I63" s="45">
        <v>0</v>
      </c>
      <c r="J63" s="107">
        <v>148489405.06416112</v>
      </c>
      <c r="K63" s="53">
        <f>I63*(J63+Variables!$C$24*Variables!$C$16)</f>
        <v>0</v>
      </c>
      <c r="L63" s="105">
        <f>(G63*Variables!$C$26+D63*Variables!$C$29)*Variables!$C$16</f>
        <v>1344940.2327836391</v>
      </c>
    </row>
    <row r="64" spans="1:12" x14ac:dyDescent="0.25">
      <c r="A64" s="8">
        <v>1</v>
      </c>
      <c r="B64" t="s">
        <v>28</v>
      </c>
      <c r="C64">
        <v>2022</v>
      </c>
      <c r="D64" s="13">
        <f>INDEX(Population!$C$3:$U$22,MATCH('Cost Calculations'!B64,Population!$B$3:$B$22,0),MATCH(C64,Population!$C$2:$U$2,0))</f>
        <v>277134.82793435542</v>
      </c>
      <c r="E64" s="108" t="str">
        <f t="shared" si="0"/>
        <v>Medium</v>
      </c>
      <c r="F64" s="1"/>
      <c r="G64" s="44">
        <f>D64*Variables!$C$21</f>
        <v>2.4942134514091987</v>
      </c>
      <c r="H64" s="45">
        <f t="shared" si="2"/>
        <v>2.4573531540977331</v>
      </c>
      <c r="I64" s="45">
        <f t="shared" si="3"/>
        <v>3.6860297311465562E-2</v>
      </c>
      <c r="J64" s="106">
        <v>112666666.66666667</v>
      </c>
      <c r="K64" s="53">
        <f>I64*(J64+Variables!$C$24*Variables!$C$16)</f>
        <v>4439057.1585665382</v>
      </c>
      <c r="L64" s="105">
        <f>(G64*Variables!$C$26+D64*Variables!$C$29)*Variables!$C$16</f>
        <v>7388634.9336784091</v>
      </c>
    </row>
    <row r="65" spans="1:12" x14ac:dyDescent="0.25">
      <c r="A65" s="8">
        <v>2</v>
      </c>
      <c r="B65" t="s">
        <v>29</v>
      </c>
      <c r="C65">
        <v>2022</v>
      </c>
      <c r="D65" s="13">
        <f>INDEX(Population!$C$3:$U$22,MATCH('Cost Calculations'!B65,Population!$B$3:$B$22,0),MATCH(C65,Population!$C$2:$U$2,0))</f>
        <v>880670.6023662088</v>
      </c>
      <c r="E65" s="108" t="str">
        <f t="shared" si="0"/>
        <v>Medium</v>
      </c>
      <c r="F65" s="1"/>
      <c r="G65" s="44">
        <f>D65*Variables!$C$21</f>
        <v>7.9260354212958797</v>
      </c>
      <c r="H65" s="45">
        <f t="shared" si="2"/>
        <v>7.8089018929023455</v>
      </c>
      <c r="I65" s="45">
        <f t="shared" si="3"/>
        <v>0.11713352839353419</v>
      </c>
      <c r="J65" s="106">
        <v>250000000</v>
      </c>
      <c r="K65" s="53">
        <f>I65*(J65+Variables!$C$24*Variables!$C$16)</f>
        <v>30192638.326905038</v>
      </c>
      <c r="L65" s="105">
        <f>(G65*Variables!$C$26+D65*Variables!$C$29)*Variables!$C$16</f>
        <v>23479378.706049431</v>
      </c>
    </row>
    <row r="66" spans="1:12" x14ac:dyDescent="0.25">
      <c r="A66" s="8">
        <v>3</v>
      </c>
      <c r="B66" t="s">
        <v>30</v>
      </c>
      <c r="C66">
        <v>2022</v>
      </c>
      <c r="D66" s="13">
        <f>INDEX(Population!$C$3:$U$22,MATCH('Cost Calculations'!B66,Population!$B$3:$B$22,0),MATCH(C66,Population!$C$2:$U$2,0))</f>
        <v>982838.81389729783</v>
      </c>
      <c r="E66" s="108" t="str">
        <f t="shared" si="0"/>
        <v>Medium</v>
      </c>
      <c r="F66" s="1"/>
      <c r="G66" s="44">
        <f>D66*Variables!$C$21</f>
        <v>8.8455493250756803</v>
      </c>
      <c r="H66" s="45">
        <f t="shared" si="2"/>
        <v>8.7148269212568295</v>
      </c>
      <c r="I66" s="45">
        <f t="shared" si="3"/>
        <v>0.13072240381885081</v>
      </c>
      <c r="J66" s="107">
        <v>148489405.06416112</v>
      </c>
      <c r="K66" s="53">
        <f>I66*(J66+Variables!$C$24*Variables!$C$16)</f>
        <v>20425632.682580598</v>
      </c>
      <c r="L66" s="105">
        <f>(G66*Variables!$C$26+D66*Variables!$C$29)*Variables!$C$16</f>
        <v>26203264.485605285</v>
      </c>
    </row>
    <row r="67" spans="1:12" x14ac:dyDescent="0.25">
      <c r="A67" s="8">
        <v>4</v>
      </c>
      <c r="B67" t="s">
        <v>31</v>
      </c>
      <c r="C67">
        <v>2022</v>
      </c>
      <c r="D67" s="13">
        <f>INDEX(Population!$C$3:$U$22,MATCH('Cost Calculations'!B67,Population!$B$3:$B$22,0),MATCH(C67,Population!$C$2:$U$2,0))</f>
        <v>73089.700619258831</v>
      </c>
      <c r="E67" s="108" t="str">
        <f t="shared" si="0"/>
        <v>Small</v>
      </c>
      <c r="F67" s="1"/>
      <c r="G67" s="44">
        <f>D67*Variables!$C$21</f>
        <v>0.65780730557332945</v>
      </c>
      <c r="H67" s="45">
        <f t="shared" si="2"/>
        <v>0.64808601534318189</v>
      </c>
      <c r="I67" s="45">
        <f t="shared" si="3"/>
        <v>9.7212902301475612E-3</v>
      </c>
      <c r="J67" s="107">
        <v>148489405.06416112</v>
      </c>
      <c r="K67" s="53">
        <f>I67*(J67+Variables!$C$24*Variables!$C$16)</f>
        <v>1518970.7168857898</v>
      </c>
      <c r="L67" s="105">
        <f>(G67*Variables!$C$26+D67*Variables!$C$29)*Variables!$C$16</f>
        <v>1948629.550867815</v>
      </c>
    </row>
    <row r="68" spans="1:12" x14ac:dyDescent="0.25">
      <c r="A68" s="8">
        <v>5</v>
      </c>
      <c r="B68" t="s">
        <v>32</v>
      </c>
      <c r="C68">
        <v>2022</v>
      </c>
      <c r="D68" s="13">
        <f>INDEX(Population!$C$3:$U$22,MATCH('Cost Calculations'!B68,Population!$B$3:$B$22,0),MATCH(C68,Population!$C$2:$U$2,0))</f>
        <v>733476.88844661915</v>
      </c>
      <c r="E68" s="108" t="str">
        <f t="shared" si="0"/>
        <v>Medium</v>
      </c>
      <c r="F68" s="1"/>
      <c r="G68" s="44">
        <f>D68*Variables!$C$21</f>
        <v>6.6012919960195724</v>
      </c>
      <c r="H68" s="45">
        <f t="shared" si="2"/>
        <v>7.1776520242890003</v>
      </c>
      <c r="I68" s="45">
        <v>0</v>
      </c>
      <c r="J68" s="106">
        <v>119387755.10204081</v>
      </c>
      <c r="K68" s="53">
        <f>I68*(J68+Variables!$C$24*Variables!$C$16)</f>
        <v>0</v>
      </c>
      <c r="L68" s="105">
        <f>(G68*Variables!$C$26+D68*Variables!$C$29)*Variables!$C$16</f>
        <v>19555077.221496377</v>
      </c>
    </row>
    <row r="69" spans="1:12" x14ac:dyDescent="0.25">
      <c r="A69" s="8">
        <v>6</v>
      </c>
      <c r="B69" t="s">
        <v>33</v>
      </c>
      <c r="C69">
        <v>2022</v>
      </c>
      <c r="D69" s="13">
        <f>INDEX(Population!$C$3:$U$22,MATCH('Cost Calculations'!B69,Population!$B$3:$B$22,0),MATCH(C69,Population!$C$2:$U$2,0))</f>
        <v>136780.18109663899</v>
      </c>
      <c r="E69" s="108" t="str">
        <f t="shared" ref="E69:E132" si="4">IF(D69&lt;100000,"Small",IF(D69&lt;1000000,"Medium","Large"))</f>
        <v>Medium</v>
      </c>
      <c r="F69" s="1"/>
      <c r="G69" s="44">
        <f>D69*Variables!$C$21</f>
        <v>1.2310216298697509</v>
      </c>
      <c r="H69" s="45">
        <f t="shared" si="2"/>
        <v>1.2128291919899026</v>
      </c>
      <c r="I69" s="45">
        <f t="shared" si="3"/>
        <v>1.8192437879848367E-2</v>
      </c>
      <c r="J69" s="106">
        <v>196043165.46762589</v>
      </c>
      <c r="K69" s="53">
        <f>I69*(J69+Variables!$C$24*Variables!$C$16)</f>
        <v>3707723.0290706893</v>
      </c>
      <c r="L69" s="105">
        <f>(G69*Variables!$C$26+D69*Variables!$C$29)*Variables!$C$16</f>
        <v>3646668.4170236085</v>
      </c>
    </row>
    <row r="70" spans="1:12" x14ac:dyDescent="0.25">
      <c r="A70" s="8">
        <v>7</v>
      </c>
      <c r="B70" t="s">
        <v>34</v>
      </c>
      <c r="C70">
        <v>2022</v>
      </c>
      <c r="D70" s="13">
        <f>INDEX(Population!$C$3:$U$22,MATCH('Cost Calculations'!B70,Population!$B$3:$B$22,0),MATCH(C70,Population!$C$2:$U$2,0))</f>
        <v>57415.436236469177</v>
      </c>
      <c r="E70" s="108" t="str">
        <f t="shared" si="4"/>
        <v>Small</v>
      </c>
      <c r="F70" s="1"/>
      <c r="G70" s="44">
        <f>D70*Variables!$C$21</f>
        <v>0.51673892612822259</v>
      </c>
      <c r="H70" s="45">
        <f t="shared" si="2"/>
        <v>0.76316986217600002</v>
      </c>
      <c r="I70" s="45">
        <v>0</v>
      </c>
      <c r="J70" s="107">
        <v>148489405.06416112</v>
      </c>
      <c r="K70" s="53">
        <f>I70*(J70+Variables!$C$24*Variables!$C$16)</f>
        <v>0</v>
      </c>
      <c r="L70" s="105">
        <f>(G70*Variables!$C$26+D70*Variables!$C$29)*Variables!$C$16</f>
        <v>1530741.1957967484</v>
      </c>
    </row>
    <row r="71" spans="1:12" x14ac:dyDescent="0.25">
      <c r="A71" s="8">
        <v>8</v>
      </c>
      <c r="B71" t="s">
        <v>35</v>
      </c>
      <c r="C71">
        <v>2022</v>
      </c>
      <c r="D71" s="13">
        <f>INDEX(Population!$C$3:$U$22,MATCH('Cost Calculations'!B71,Population!$B$3:$B$22,0),MATCH(C71,Population!$C$2:$U$2,0))</f>
        <v>60336.517493057472</v>
      </c>
      <c r="E71" s="108" t="str">
        <f t="shared" si="4"/>
        <v>Small</v>
      </c>
      <c r="F71" s="1"/>
      <c r="G71" s="44">
        <f>D71*Variables!$C$21</f>
        <v>0.54302865743751727</v>
      </c>
      <c r="H71" s="45">
        <f t="shared" si="2"/>
        <v>0.5350036033867166</v>
      </c>
      <c r="I71" s="45">
        <f t="shared" si="3"/>
        <v>8.0250540508006729E-3</v>
      </c>
      <c r="J71" s="107">
        <v>148489405.06416112</v>
      </c>
      <c r="K71" s="53">
        <f>I71*(J71+Variables!$C$24*Variables!$C$16)</f>
        <v>1253930.4779512666</v>
      </c>
      <c r="L71" s="105">
        <f>(G71*Variables!$C$26+D71*Variables!$C$29)*Variables!$C$16</f>
        <v>1608619.5453979534</v>
      </c>
    </row>
    <row r="72" spans="1:12" x14ac:dyDescent="0.25">
      <c r="A72" s="8">
        <v>9</v>
      </c>
      <c r="B72" t="s">
        <v>36</v>
      </c>
      <c r="C72">
        <v>2022</v>
      </c>
      <c r="D72" s="13">
        <f>INDEX(Population!$C$3:$U$22,MATCH('Cost Calculations'!B72,Population!$B$3:$B$22,0),MATCH(C72,Population!$C$2:$U$2,0))</f>
        <v>174208.78324452505</v>
      </c>
      <c r="E72" s="108" t="str">
        <f t="shared" si="4"/>
        <v>Medium</v>
      </c>
      <c r="F72" s="1"/>
      <c r="G72" s="44">
        <f>D72*Variables!$C$21</f>
        <v>1.5678790492007255</v>
      </c>
      <c r="H72" s="45">
        <f t="shared" si="2"/>
        <v>1.5447084228578578</v>
      </c>
      <c r="I72" s="45">
        <f t="shared" si="3"/>
        <v>2.3170626342867706E-2</v>
      </c>
      <c r="J72" s="107">
        <v>148489405.06416112</v>
      </c>
      <c r="K72" s="53">
        <f>I72*(J72+Variables!$C$24*Variables!$C$16)</f>
        <v>3620455.9347040793</v>
      </c>
      <c r="L72" s="105">
        <f>(G72*Variables!$C$26+D72*Variables!$C$29)*Variables!$C$16</f>
        <v>4644544.719363085</v>
      </c>
    </row>
    <row r="73" spans="1:12" x14ac:dyDescent="0.25">
      <c r="A73" s="8">
        <v>10</v>
      </c>
      <c r="B73" t="s">
        <v>37</v>
      </c>
      <c r="C73">
        <v>2022</v>
      </c>
      <c r="D73" s="13">
        <f>INDEX(Population!$C$3:$U$22,MATCH('Cost Calculations'!B73,Population!$B$3:$B$22,0),MATCH(C73,Population!$C$2:$U$2,0))</f>
        <v>307477.16780463792</v>
      </c>
      <c r="E73" s="108" t="str">
        <f t="shared" si="4"/>
        <v>Medium</v>
      </c>
      <c r="F73" s="1"/>
      <c r="G73" s="44">
        <f>D73*Variables!$C$21</f>
        <v>2.7672945102417414</v>
      </c>
      <c r="H73" s="45">
        <f t="shared" si="2"/>
        <v>2.7263985322578734</v>
      </c>
      <c r="I73" s="45">
        <f t="shared" si="3"/>
        <v>4.0895977983868015E-2</v>
      </c>
      <c r="J73" s="106">
        <v>242734319.94362226</v>
      </c>
      <c r="K73" s="53">
        <f>I73*(J73+Variables!$C$24*Variables!$C$16)</f>
        <v>10244314.952265946</v>
      </c>
      <c r="L73" s="105">
        <f>(G73*Variables!$C$26+D73*Variables!$C$29)*Variables!$C$16</f>
        <v>8197585.8475931901</v>
      </c>
    </row>
    <row r="74" spans="1:12" x14ac:dyDescent="0.25">
      <c r="A74" s="8">
        <v>11</v>
      </c>
      <c r="B74" t="s">
        <v>38</v>
      </c>
      <c r="C74">
        <v>2022</v>
      </c>
      <c r="D74" s="13">
        <f>INDEX(Population!$C$3:$U$22,MATCH('Cost Calculations'!B74,Population!$B$3:$B$22,0),MATCH(C74,Population!$C$2:$U$2,0))</f>
        <v>204280.71710257669</v>
      </c>
      <c r="E74" s="108" t="str">
        <f t="shared" si="4"/>
        <v>Medium</v>
      </c>
      <c r="F74" s="1"/>
      <c r="G74" s="44">
        <f>D74*Variables!$C$21</f>
        <v>1.8385264539231903</v>
      </c>
      <c r="H74" s="45">
        <f t="shared" si="2"/>
        <v>1.8113561122395965</v>
      </c>
      <c r="I74" s="45">
        <f t="shared" si="3"/>
        <v>2.7170341683593779E-2</v>
      </c>
      <c r="J74" s="107">
        <v>148489405.06416112</v>
      </c>
      <c r="K74" s="53">
        <f>I74*(J74+Variables!$C$24*Variables!$C$16)</f>
        <v>4245419.3227531938</v>
      </c>
      <c r="L74" s="105">
        <f>(G74*Variables!$C$26+D74*Variables!$C$29)*Variables!$C$16</f>
        <v>5446286.3939226503</v>
      </c>
    </row>
    <row r="75" spans="1:12" x14ac:dyDescent="0.25">
      <c r="A75" s="8">
        <v>12</v>
      </c>
      <c r="B75" t="s">
        <v>39</v>
      </c>
      <c r="C75">
        <v>2022</v>
      </c>
      <c r="D75" s="13">
        <f>INDEX(Population!$C$3:$U$22,MATCH('Cost Calculations'!B75,Population!$B$3:$B$22,0),MATCH(C75,Population!$C$2:$U$2,0))</f>
        <v>208387.87108234069</v>
      </c>
      <c r="E75" s="108" t="str">
        <f t="shared" si="4"/>
        <v>Medium</v>
      </c>
      <c r="F75" s="1"/>
      <c r="G75" s="44">
        <f>D75*Variables!$C$21</f>
        <v>1.8754908397410663</v>
      </c>
      <c r="H75" s="45">
        <f t="shared" si="2"/>
        <v>2.0838130428269999</v>
      </c>
      <c r="I75" s="45">
        <v>0</v>
      </c>
      <c r="J75" s="106">
        <v>32000000</v>
      </c>
      <c r="K75" s="53">
        <f>I75*(J75+Variables!$C$24*Variables!$C$16)</f>
        <v>0</v>
      </c>
      <c r="L75" s="105">
        <f>(G75*Variables!$C$26+D75*Variables!$C$29)*Variables!$C$16</f>
        <v>5555786.3856742056</v>
      </c>
    </row>
    <row r="76" spans="1:12" x14ac:dyDescent="0.25">
      <c r="A76" s="8">
        <v>13</v>
      </c>
      <c r="B76" t="s">
        <v>40</v>
      </c>
      <c r="C76">
        <v>2022</v>
      </c>
      <c r="D76" s="13">
        <f>INDEX(Population!$C$3:$U$22,MATCH('Cost Calculations'!B76,Population!$B$3:$B$22,0),MATCH(C76,Population!$C$2:$U$2,0))</f>
        <v>71857.206263082116</v>
      </c>
      <c r="E76" s="108" t="str">
        <f t="shared" si="4"/>
        <v>Small</v>
      </c>
      <c r="F76" s="1"/>
      <c r="G76" s="44">
        <f>D76*Variables!$C$21</f>
        <v>0.64671485636773907</v>
      </c>
      <c r="H76" s="45">
        <f t="shared" si="2"/>
        <v>0.63715749395836374</v>
      </c>
      <c r="I76" s="45">
        <f t="shared" si="3"/>
        <v>9.5573624093753251E-3</v>
      </c>
      <c r="J76" s="107">
        <v>148489405.06416112</v>
      </c>
      <c r="K76" s="53">
        <f>I76*(J76+Variables!$C$24*Variables!$C$16)</f>
        <v>1493356.6725006392</v>
      </c>
      <c r="L76" s="105">
        <f>(G76*Variables!$C$26+D76*Variables!$C$29)*Variables!$C$16</f>
        <v>1915770.2710599171</v>
      </c>
    </row>
    <row r="77" spans="1:12" x14ac:dyDescent="0.25">
      <c r="A77" s="8">
        <v>14</v>
      </c>
      <c r="B77" t="s">
        <v>41</v>
      </c>
      <c r="C77">
        <v>2022</v>
      </c>
      <c r="D77" s="13">
        <f>INDEX(Population!$C$3:$U$22,MATCH('Cost Calculations'!B77,Population!$B$3:$B$22,0),MATCH(C77,Population!$C$2:$U$2,0))</f>
        <v>1673959.4438529741</v>
      </c>
      <c r="E77" s="108" t="str">
        <f t="shared" si="4"/>
        <v>Large</v>
      </c>
      <c r="F77" s="1"/>
      <c r="G77" s="44">
        <f>D77*Variables!$C$21</f>
        <v>15.065634994676767</v>
      </c>
      <c r="H77" s="45">
        <f t="shared" si="2"/>
        <v>20.624841791765</v>
      </c>
      <c r="I77" s="45">
        <v>0</v>
      </c>
      <c r="J77" s="106">
        <v>108333333.33333333</v>
      </c>
      <c r="K77" s="53">
        <f>I77*(J77+Variables!$C$24*Variables!$C$16)</f>
        <v>0</v>
      </c>
      <c r="L77" s="105">
        <f>(G77*Variables!$C$26+D77*Variables!$C$29)*Variables!$C$16</f>
        <v>44629090.167413481</v>
      </c>
    </row>
    <row r="78" spans="1:12" x14ac:dyDescent="0.25">
      <c r="A78" s="8">
        <v>15</v>
      </c>
      <c r="B78" t="s">
        <v>42</v>
      </c>
      <c r="C78">
        <v>2022</v>
      </c>
      <c r="D78" s="13">
        <f>INDEX(Population!$C$3:$U$22,MATCH('Cost Calculations'!B78,Population!$B$3:$B$22,0),MATCH(C78,Population!$C$2:$U$2,0))</f>
        <v>86513.676342324718</v>
      </c>
      <c r="E78" s="108" t="str">
        <f t="shared" si="4"/>
        <v>Small</v>
      </c>
      <c r="F78" s="1"/>
      <c r="G78" s="44">
        <f>D78*Variables!$C$21</f>
        <v>0.77862308708092243</v>
      </c>
      <c r="H78" s="45">
        <f t="shared" si="2"/>
        <v>1.688396291294</v>
      </c>
      <c r="I78" s="45">
        <v>0</v>
      </c>
      <c r="J78" s="107">
        <v>148489405.06416112</v>
      </c>
      <c r="K78" s="53">
        <f>I78*(J78+Variables!$C$24*Variables!$C$16)</f>
        <v>0</v>
      </c>
      <c r="L78" s="105">
        <f>(G78*Variables!$C$26+D78*Variables!$C$29)*Variables!$C$16</f>
        <v>2306523.4204892446</v>
      </c>
    </row>
    <row r="79" spans="1:12" x14ac:dyDescent="0.25">
      <c r="A79" s="8">
        <v>16</v>
      </c>
      <c r="B79" t="s">
        <v>43</v>
      </c>
      <c r="C79">
        <v>2022</v>
      </c>
      <c r="D79" s="13">
        <f>INDEX(Population!$C$3:$U$22,MATCH('Cost Calculations'!B79,Population!$B$3:$B$22,0),MATCH(C79,Population!$C$2:$U$2,0))</f>
        <v>90427.020004309525</v>
      </c>
      <c r="E79" s="108" t="str">
        <f t="shared" si="4"/>
        <v>Small</v>
      </c>
      <c r="F79" s="1"/>
      <c r="G79" s="44">
        <f>D79*Variables!$C$21</f>
        <v>0.81384318003878575</v>
      </c>
      <c r="H79" s="45">
        <f t="shared" si="2"/>
        <v>3.838561813059</v>
      </c>
      <c r="I79" s="45">
        <v>0</v>
      </c>
      <c r="J79" s="107">
        <v>148489405.06416112</v>
      </c>
      <c r="K79" s="53">
        <f>I79*(J79+Variables!$C$24*Variables!$C$16)</f>
        <v>0</v>
      </c>
      <c r="L79" s="105">
        <f>(G79*Variables!$C$26+D79*Variables!$C$29)*Variables!$C$16</f>
        <v>2410856.2750205374</v>
      </c>
    </row>
    <row r="80" spans="1:12" x14ac:dyDescent="0.25">
      <c r="A80" s="8">
        <v>17</v>
      </c>
      <c r="B80" t="s">
        <v>44</v>
      </c>
      <c r="C80">
        <v>2022</v>
      </c>
      <c r="D80" s="13">
        <f>INDEX(Population!$C$3:$U$22,MATCH('Cost Calculations'!B80,Population!$B$3:$B$22,0),MATCH(C80,Population!$C$2:$U$2,0))</f>
        <v>124523.70944354839</v>
      </c>
      <c r="E80" s="108" t="str">
        <f t="shared" si="4"/>
        <v>Medium</v>
      </c>
      <c r="F80" s="1"/>
      <c r="G80" s="44">
        <f>D80*Variables!$C$21</f>
        <v>1.1207133849919355</v>
      </c>
      <c r="H80" s="45">
        <f t="shared" si="2"/>
        <v>1.866970792936</v>
      </c>
      <c r="I80" s="45">
        <v>0</v>
      </c>
      <c r="J80" s="106">
        <v>126750000</v>
      </c>
      <c r="K80" s="53">
        <f>I80*(J80+Variables!$C$24*Variables!$C$16)</f>
        <v>0</v>
      </c>
      <c r="L80" s="105">
        <f>(G80*Variables!$C$26+D80*Variables!$C$29)*Variables!$C$16</f>
        <v>3319901.1344895102</v>
      </c>
    </row>
    <row r="81" spans="1:12" x14ac:dyDescent="0.25">
      <c r="A81" s="8">
        <v>18</v>
      </c>
      <c r="B81" t="s">
        <v>45</v>
      </c>
      <c r="C81">
        <v>2022</v>
      </c>
      <c r="D81" s="13">
        <f>INDEX(Population!$C$3:$U$22,MATCH('Cost Calculations'!B81,Population!$B$3:$B$22,0),MATCH(C81,Population!$C$2:$U$2,0))</f>
        <v>117943.44296565579</v>
      </c>
      <c r="E81" s="108" t="str">
        <f t="shared" si="4"/>
        <v>Medium</v>
      </c>
      <c r="F81" s="1"/>
      <c r="G81" s="44">
        <f>D81*Variables!$C$21</f>
        <v>1.0614909866909021</v>
      </c>
      <c r="H81" s="45">
        <f t="shared" si="2"/>
        <v>2.4912131370320001</v>
      </c>
      <c r="I81" s="45">
        <v>0</v>
      </c>
      <c r="J81" s="107">
        <v>148489405.06416112</v>
      </c>
      <c r="K81" s="53">
        <f>I81*(J81+Variables!$C$24*Variables!$C$16)</f>
        <v>0</v>
      </c>
      <c r="L81" s="105">
        <f>(G81*Variables!$C$26+D81*Variables!$C$29)*Variables!$C$16</f>
        <v>3144465.9965320872</v>
      </c>
    </row>
    <row r="82" spans="1:12" x14ac:dyDescent="0.25">
      <c r="A82" s="8">
        <v>19</v>
      </c>
      <c r="B82" t="s">
        <v>46</v>
      </c>
      <c r="C82">
        <v>2022</v>
      </c>
      <c r="D82" s="13">
        <f>INDEX(Population!$C$3:$U$22,MATCH('Cost Calculations'!B82,Population!$B$3:$B$22,0),MATCH(C82,Population!$C$2:$U$2,0))</f>
        <v>91419.282409706022</v>
      </c>
      <c r="E82" s="108" t="str">
        <f t="shared" si="4"/>
        <v>Small</v>
      </c>
      <c r="F82" s="1"/>
      <c r="G82" s="44">
        <f>D82*Variables!$C$21</f>
        <v>0.82277354168735417</v>
      </c>
      <c r="H82" s="45">
        <f t="shared" si="2"/>
        <v>1.69330868166</v>
      </c>
      <c r="I82" s="45">
        <v>0</v>
      </c>
      <c r="J82" s="107">
        <v>148489405.06416112</v>
      </c>
      <c r="K82" s="53">
        <f>I82*(J82+Variables!$C$24*Variables!$C$16)</f>
        <v>0</v>
      </c>
      <c r="L82" s="105">
        <f>(G82*Variables!$C$26+D82*Variables!$C$29)*Variables!$C$16</f>
        <v>2437310.7799506248</v>
      </c>
    </row>
    <row r="83" spans="1:12" x14ac:dyDescent="0.25">
      <c r="A83" s="8">
        <v>20</v>
      </c>
      <c r="B83" t="s">
        <v>47</v>
      </c>
      <c r="C83">
        <v>2022</v>
      </c>
      <c r="D83" s="13">
        <f>INDEX(Population!$C$3:$U$22,MATCH('Cost Calculations'!B83,Population!$B$3:$B$22,0),MATCH(C83,Population!$C$2:$U$2,0))</f>
        <v>51203.061200109551</v>
      </c>
      <c r="E83" s="108" t="str">
        <f t="shared" si="4"/>
        <v>Small</v>
      </c>
      <c r="F83" s="1"/>
      <c r="G83" s="44">
        <f>D83*Variables!$C$21</f>
        <v>0.46082755080098597</v>
      </c>
      <c r="H83" s="45">
        <f t="shared" si="2"/>
        <v>1.403877150594</v>
      </c>
      <c r="I83" s="45">
        <v>0</v>
      </c>
      <c r="J83" s="107">
        <v>148489405.06416112</v>
      </c>
      <c r="K83" s="53">
        <f>I83*(J83+Variables!$C$24*Variables!$C$16)</f>
        <v>0</v>
      </c>
      <c r="L83" s="105">
        <f>(G83*Variables!$C$26+D83*Variables!$C$29)*Variables!$C$16</f>
        <v>1365114.3362753934</v>
      </c>
    </row>
    <row r="84" spans="1:12" x14ac:dyDescent="0.25">
      <c r="A84" s="8">
        <v>1</v>
      </c>
      <c r="B84" t="s">
        <v>28</v>
      </c>
      <c r="C84">
        <v>2023</v>
      </c>
      <c r="D84" s="13">
        <f>INDEX(Population!$C$3:$U$22,MATCH('Cost Calculations'!B84,Population!$B$3:$B$22,0),MATCH(C84,Population!$C$2:$U$2,0))</f>
        <v>281291.85035337071</v>
      </c>
      <c r="E84" s="108" t="str">
        <f t="shared" si="4"/>
        <v>Medium</v>
      </c>
      <c r="F84" s="1"/>
      <c r="G84" s="44">
        <f>D84*Variables!$C$21</f>
        <v>2.5316266531803366</v>
      </c>
      <c r="H84" s="45">
        <f t="shared" si="2"/>
        <v>2.4942134514091987</v>
      </c>
      <c r="I84" s="45">
        <f t="shared" si="3"/>
        <v>3.7413201771137938E-2</v>
      </c>
      <c r="J84" s="106">
        <v>112666666.66666667</v>
      </c>
      <c r="K84" s="53">
        <f>I84*(J84+Variables!$C$24*Variables!$C$16)</f>
        <v>4505643.0159450835</v>
      </c>
      <c r="L84" s="105">
        <f>(G84*Variables!$C$26+D84*Variables!$C$29)*Variables!$C$16</f>
        <v>7499464.4576835847</v>
      </c>
    </row>
    <row r="85" spans="1:12" x14ac:dyDescent="0.25">
      <c r="A85" s="8">
        <v>2</v>
      </c>
      <c r="B85" t="s">
        <v>29</v>
      </c>
      <c r="C85">
        <v>2023</v>
      </c>
      <c r="D85" s="13">
        <f>INDEX(Population!$C$3:$U$22,MATCH('Cost Calculations'!B85,Population!$B$3:$B$22,0),MATCH(C85,Population!$C$2:$U$2,0))</f>
        <v>893880.66140170186</v>
      </c>
      <c r="E85" s="108" t="str">
        <f t="shared" si="4"/>
        <v>Medium</v>
      </c>
      <c r="F85" s="1"/>
      <c r="G85" s="44">
        <f>D85*Variables!$C$21</f>
        <v>8.0449259526153174</v>
      </c>
      <c r="H85" s="45">
        <f t="shared" si="2"/>
        <v>7.9260354212958797</v>
      </c>
      <c r="I85" s="45">
        <f t="shared" si="3"/>
        <v>0.11889053131943772</v>
      </c>
      <c r="J85" s="106">
        <v>250000000</v>
      </c>
      <c r="K85" s="53">
        <f>I85*(J85+Variables!$C$24*Variables!$C$16)</f>
        <v>30645527.901808746</v>
      </c>
      <c r="L85" s="105">
        <f>(G85*Variables!$C$26+D85*Variables!$C$29)*Variables!$C$16</f>
        <v>23831569.386640172</v>
      </c>
    </row>
    <row r="86" spans="1:12" x14ac:dyDescent="0.25">
      <c r="A86" s="8">
        <v>3</v>
      </c>
      <c r="B86" t="s">
        <v>30</v>
      </c>
      <c r="C86">
        <v>2023</v>
      </c>
      <c r="D86" s="13">
        <f>INDEX(Population!$C$3:$U$22,MATCH('Cost Calculations'!B86,Population!$B$3:$B$22,0),MATCH(C86,Population!$C$2:$U$2,0))</f>
        <v>997581.3961057571</v>
      </c>
      <c r="E86" s="108" t="str">
        <f t="shared" si="4"/>
        <v>Medium</v>
      </c>
      <c r="F86" s="1"/>
      <c r="G86" s="44">
        <f>D86*Variables!$C$21</f>
        <v>8.9782325649518135</v>
      </c>
      <c r="H86" s="45">
        <f t="shared" si="2"/>
        <v>8.8455493250756803</v>
      </c>
      <c r="I86" s="45">
        <f t="shared" si="3"/>
        <v>0.13268323987613329</v>
      </c>
      <c r="J86" s="107">
        <v>148489405.06416112</v>
      </c>
      <c r="K86" s="53">
        <f>I86*(J86+Variables!$C$24*Variables!$C$16)</f>
        <v>20732017.172819264</v>
      </c>
      <c r="L86" s="105">
        <f>(G86*Variables!$C$26+D86*Variables!$C$29)*Variables!$C$16</f>
        <v>26596313.45288936</v>
      </c>
    </row>
    <row r="87" spans="1:12" x14ac:dyDescent="0.25">
      <c r="A87" s="8">
        <v>4</v>
      </c>
      <c r="B87" t="s">
        <v>31</v>
      </c>
      <c r="C87">
        <v>2023</v>
      </c>
      <c r="D87" s="13">
        <f>INDEX(Population!$C$3:$U$22,MATCH('Cost Calculations'!B87,Population!$B$3:$B$22,0),MATCH(C87,Population!$C$2:$U$2,0))</f>
        <v>74186.046128547707</v>
      </c>
      <c r="E87" s="108" t="str">
        <f t="shared" si="4"/>
        <v>Small</v>
      </c>
      <c r="F87" s="1"/>
      <c r="G87" s="44">
        <f>D87*Variables!$C$21</f>
        <v>0.66767441515692938</v>
      </c>
      <c r="H87" s="45">
        <f t="shared" si="2"/>
        <v>0.65780730557332945</v>
      </c>
      <c r="I87" s="45">
        <f t="shared" si="3"/>
        <v>9.8671095835999312E-3</v>
      </c>
      <c r="J87" s="107">
        <v>148489405.06416112</v>
      </c>
      <c r="K87" s="53">
        <f>I87*(J87+Variables!$C$24*Variables!$C$16)</f>
        <v>1541755.277639101</v>
      </c>
      <c r="L87" s="105">
        <f>(G87*Variables!$C$26+D87*Variables!$C$29)*Variables!$C$16</f>
        <v>1977858.9941308321</v>
      </c>
    </row>
    <row r="88" spans="1:12" x14ac:dyDescent="0.25">
      <c r="A88" s="8">
        <v>5</v>
      </c>
      <c r="B88" t="s">
        <v>32</v>
      </c>
      <c r="C88">
        <v>2023</v>
      </c>
      <c r="D88" s="13">
        <f>INDEX(Population!$C$3:$U$22,MATCH('Cost Calculations'!B88,Population!$B$3:$B$22,0),MATCH(C88,Population!$C$2:$U$2,0))</f>
        <v>744479.04177331843</v>
      </c>
      <c r="E88" s="108" t="str">
        <f t="shared" si="4"/>
        <v>Medium</v>
      </c>
      <c r="F88" s="1"/>
      <c r="G88" s="44">
        <f>D88*Variables!$C$21</f>
        <v>6.700311375959866</v>
      </c>
      <c r="H88" s="45">
        <f t="shared" si="2"/>
        <v>7.1776520242890003</v>
      </c>
      <c r="I88" s="45">
        <v>0</v>
      </c>
      <c r="J88" s="106">
        <v>119387755.10204081</v>
      </c>
      <c r="K88" s="53">
        <f>I88*(J88+Variables!$C$24*Variables!$C$16)</f>
        <v>0</v>
      </c>
      <c r="L88" s="105">
        <f>(G88*Variables!$C$26+D88*Variables!$C$29)*Variables!$C$16</f>
        <v>19848403.379818823</v>
      </c>
    </row>
    <row r="89" spans="1:12" x14ac:dyDescent="0.25">
      <c r="A89" s="8">
        <v>6</v>
      </c>
      <c r="B89" t="s">
        <v>33</v>
      </c>
      <c r="C89">
        <v>2023</v>
      </c>
      <c r="D89" s="13">
        <f>INDEX(Population!$C$3:$U$22,MATCH('Cost Calculations'!B89,Population!$B$3:$B$22,0),MATCH(C89,Population!$C$2:$U$2,0))</f>
        <v>138831.88381308856</v>
      </c>
      <c r="E89" s="108" t="str">
        <f t="shared" si="4"/>
        <v>Medium</v>
      </c>
      <c r="F89" s="1"/>
      <c r="G89" s="44">
        <f>D89*Variables!$C$21</f>
        <v>1.2494869543177971</v>
      </c>
      <c r="H89" s="45">
        <f t="shared" ref="H89:H152" si="5">H69+I69</f>
        <v>1.2310216298697509</v>
      </c>
      <c r="I89" s="45">
        <f t="shared" ref="I89:I152" si="6">G89-H89</f>
        <v>1.8465324448046161E-2</v>
      </c>
      <c r="J89" s="106">
        <v>196043165.46762589</v>
      </c>
      <c r="K89" s="53">
        <f>I89*(J89+Variables!$C$24*Variables!$C$16)</f>
        <v>3763338.8745067636</v>
      </c>
      <c r="L89" s="105">
        <f>(G89*Variables!$C$26+D89*Variables!$C$29)*Variables!$C$16</f>
        <v>3701368.4432789623</v>
      </c>
    </row>
    <row r="90" spans="1:12" x14ac:dyDescent="0.25">
      <c r="A90" s="8">
        <v>7</v>
      </c>
      <c r="B90" t="s">
        <v>34</v>
      </c>
      <c r="C90">
        <v>2023</v>
      </c>
      <c r="D90" s="13">
        <f>INDEX(Population!$C$3:$U$22,MATCH('Cost Calculations'!B90,Population!$B$3:$B$22,0),MATCH(C90,Population!$C$2:$U$2,0))</f>
        <v>58276.667780016207</v>
      </c>
      <c r="E90" s="108" t="str">
        <f t="shared" si="4"/>
        <v>Small</v>
      </c>
      <c r="F90" s="1"/>
      <c r="G90" s="44">
        <f>D90*Variables!$C$21</f>
        <v>0.52449001002014584</v>
      </c>
      <c r="H90" s="45">
        <f t="shared" si="5"/>
        <v>0.76316986217600002</v>
      </c>
      <c r="I90" s="45">
        <v>0</v>
      </c>
      <c r="J90" s="107">
        <v>148489405.06416112</v>
      </c>
      <c r="K90" s="53">
        <f>I90*(J90+Variables!$C$24*Variables!$C$16)</f>
        <v>0</v>
      </c>
      <c r="L90" s="105">
        <f>(G90*Variables!$C$26+D90*Variables!$C$29)*Variables!$C$16</f>
        <v>1553702.3137336995</v>
      </c>
    </row>
    <row r="91" spans="1:12" x14ac:dyDescent="0.25">
      <c r="A91" s="8">
        <v>8</v>
      </c>
      <c r="B91" t="s">
        <v>35</v>
      </c>
      <c r="C91">
        <v>2023</v>
      </c>
      <c r="D91" s="13">
        <f>INDEX(Population!$C$3:$U$22,MATCH('Cost Calculations'!B91,Population!$B$3:$B$22,0),MATCH(C91,Population!$C$2:$U$2,0))</f>
        <v>61241.56525545333</v>
      </c>
      <c r="E91" s="108" t="str">
        <f t="shared" si="4"/>
        <v>Small</v>
      </c>
      <c r="F91" s="1"/>
      <c r="G91" s="44">
        <f>D91*Variables!$C$21</f>
        <v>0.55117408729908002</v>
      </c>
      <c r="H91" s="45">
        <f t="shared" si="5"/>
        <v>0.54302865743751727</v>
      </c>
      <c r="I91" s="45">
        <f t="shared" si="6"/>
        <v>8.1454298615627474E-3</v>
      </c>
      <c r="J91" s="107">
        <v>148489405.06416112</v>
      </c>
      <c r="K91" s="53">
        <f>I91*(J91+Variables!$C$24*Variables!$C$16)</f>
        <v>1272739.4351205456</v>
      </c>
      <c r="L91" s="105">
        <f>(G91*Variables!$C$26+D91*Variables!$C$29)*Variables!$C$16</f>
        <v>1632748.8385789227</v>
      </c>
    </row>
    <row r="92" spans="1:12" x14ac:dyDescent="0.25">
      <c r="A92" s="8">
        <v>9</v>
      </c>
      <c r="B92" t="s">
        <v>36</v>
      </c>
      <c r="C92">
        <v>2023</v>
      </c>
      <c r="D92" s="13">
        <f>INDEX(Population!$C$3:$U$22,MATCH('Cost Calculations'!B92,Population!$B$3:$B$22,0),MATCH(C92,Population!$C$2:$U$2,0))</f>
        <v>176821.91499319291</v>
      </c>
      <c r="E92" s="108" t="str">
        <f t="shared" si="4"/>
        <v>Medium</v>
      </c>
      <c r="F92" s="1"/>
      <c r="G92" s="44">
        <f>D92*Variables!$C$21</f>
        <v>1.5913972349387362</v>
      </c>
      <c r="H92" s="45">
        <f t="shared" si="5"/>
        <v>1.5678790492007255</v>
      </c>
      <c r="I92" s="45">
        <f t="shared" si="6"/>
        <v>2.3518185738010677E-2</v>
      </c>
      <c r="J92" s="107">
        <v>148489405.06416112</v>
      </c>
      <c r="K92" s="53">
        <f>I92*(J92+Variables!$C$24*Variables!$C$16)</f>
        <v>3674762.7737246337</v>
      </c>
      <c r="L92" s="105">
        <f>(G92*Variables!$C$26+D92*Variables!$C$29)*Variables!$C$16</f>
        <v>4714212.890153531</v>
      </c>
    </row>
    <row r="93" spans="1:12" x14ac:dyDescent="0.25">
      <c r="A93" s="8">
        <v>10</v>
      </c>
      <c r="B93" t="s">
        <v>37</v>
      </c>
      <c r="C93">
        <v>2023</v>
      </c>
      <c r="D93" s="13">
        <f>INDEX(Population!$C$3:$U$22,MATCH('Cost Calculations'!B93,Population!$B$3:$B$22,0),MATCH(C93,Population!$C$2:$U$2,0))</f>
        <v>312089.32532170747</v>
      </c>
      <c r="E93" s="108" t="str">
        <f t="shared" si="4"/>
        <v>Medium</v>
      </c>
      <c r="F93" s="1"/>
      <c r="G93" s="44">
        <f>D93*Variables!$C$21</f>
        <v>2.8088039278953674</v>
      </c>
      <c r="H93" s="45">
        <f t="shared" si="5"/>
        <v>2.7672945102417414</v>
      </c>
      <c r="I93" s="45">
        <f t="shared" si="6"/>
        <v>4.1509417653625924E-2</v>
      </c>
      <c r="J93" s="106">
        <v>242734319.94362226</v>
      </c>
      <c r="K93" s="53">
        <f>I93*(J93+Variables!$C$24*Variables!$C$16)</f>
        <v>10397979.676549908</v>
      </c>
      <c r="L93" s="105">
        <f>(G93*Variables!$C$26+D93*Variables!$C$29)*Variables!$C$16</f>
        <v>8320549.6353070894</v>
      </c>
    </row>
    <row r="94" spans="1:12" x14ac:dyDescent="0.25">
      <c r="A94" s="8">
        <v>11</v>
      </c>
      <c r="B94" t="s">
        <v>38</v>
      </c>
      <c r="C94">
        <v>2023</v>
      </c>
      <c r="D94" s="13">
        <f>INDEX(Population!$C$3:$U$22,MATCH('Cost Calculations'!B94,Population!$B$3:$B$22,0),MATCH(C94,Population!$C$2:$U$2,0))</f>
        <v>207344.92785911533</v>
      </c>
      <c r="E94" s="108" t="str">
        <f t="shared" si="4"/>
        <v>Medium</v>
      </c>
      <c r="F94" s="1"/>
      <c r="G94" s="44">
        <f>D94*Variables!$C$21</f>
        <v>1.8661043507320381</v>
      </c>
      <c r="H94" s="45">
        <f t="shared" si="5"/>
        <v>1.8385264539231903</v>
      </c>
      <c r="I94" s="45">
        <f t="shared" si="6"/>
        <v>2.7577896808847813E-2</v>
      </c>
      <c r="J94" s="107">
        <v>148489405.06416112</v>
      </c>
      <c r="K94" s="53">
        <f>I94*(J94+Variables!$C$24*Variables!$C$16)</f>
        <v>4309100.6125945114</v>
      </c>
      <c r="L94" s="105">
        <f>(G94*Variables!$C$26+D94*Variables!$C$29)*Variables!$C$16</f>
        <v>5527980.6898314897</v>
      </c>
    </row>
    <row r="95" spans="1:12" x14ac:dyDescent="0.25">
      <c r="A95" s="8">
        <v>12</v>
      </c>
      <c r="B95" t="s">
        <v>39</v>
      </c>
      <c r="C95">
        <v>2023</v>
      </c>
      <c r="D95" s="13">
        <f>INDEX(Population!$C$3:$U$22,MATCH('Cost Calculations'!B95,Population!$B$3:$B$22,0),MATCH(C95,Population!$C$2:$U$2,0))</f>
        <v>211513.6891485758</v>
      </c>
      <c r="E95" s="108" t="str">
        <f t="shared" si="4"/>
        <v>Medium</v>
      </c>
      <c r="F95" s="1"/>
      <c r="G95" s="44">
        <f>D95*Variables!$C$21</f>
        <v>1.9036232023371822</v>
      </c>
      <c r="H95" s="45">
        <f t="shared" si="5"/>
        <v>2.0838130428269999</v>
      </c>
      <c r="I95" s="45">
        <v>0</v>
      </c>
      <c r="J95" s="106">
        <v>32000000</v>
      </c>
      <c r="K95" s="53">
        <f>I95*(J95+Variables!$C$24*Variables!$C$16)</f>
        <v>0</v>
      </c>
      <c r="L95" s="105">
        <f>(G95*Variables!$C$26+D95*Variables!$C$29)*Variables!$C$16</f>
        <v>5639123.1814593179</v>
      </c>
    </row>
    <row r="96" spans="1:12" x14ac:dyDescent="0.25">
      <c r="A96" s="8">
        <v>13</v>
      </c>
      <c r="B96" t="s">
        <v>40</v>
      </c>
      <c r="C96">
        <v>2023</v>
      </c>
      <c r="D96" s="13">
        <f>INDEX(Population!$C$3:$U$22,MATCH('Cost Calculations'!B96,Population!$B$3:$B$22,0),MATCH(C96,Population!$C$2:$U$2,0))</f>
        <v>72935.064357028343</v>
      </c>
      <c r="E96" s="108" t="str">
        <f t="shared" si="4"/>
        <v>Small</v>
      </c>
      <c r="F96" s="1"/>
      <c r="G96" s="44">
        <f>D96*Variables!$C$21</f>
        <v>0.65641557921325511</v>
      </c>
      <c r="H96" s="45">
        <f t="shared" si="5"/>
        <v>0.64671485636773907</v>
      </c>
      <c r="I96" s="45">
        <f t="shared" si="6"/>
        <v>9.700722845516041E-3</v>
      </c>
      <c r="J96" s="107">
        <v>148489405.06416112</v>
      </c>
      <c r="K96" s="53">
        <f>I96*(J96+Variables!$C$24*Variables!$C$16)</f>
        <v>1515757.0225881622</v>
      </c>
      <c r="L96" s="105">
        <f>(G96*Variables!$C$26+D96*Variables!$C$29)*Variables!$C$16</f>
        <v>1944506.8251258156</v>
      </c>
    </row>
    <row r="97" spans="1:12" x14ac:dyDescent="0.25">
      <c r="A97" s="8">
        <v>14</v>
      </c>
      <c r="B97" t="s">
        <v>41</v>
      </c>
      <c r="C97">
        <v>2023</v>
      </c>
      <c r="D97" s="13">
        <f>INDEX(Population!$C$3:$U$22,MATCH('Cost Calculations'!B97,Population!$B$3:$B$22,0),MATCH(C97,Population!$C$2:$U$2,0))</f>
        <v>1699068.8355107687</v>
      </c>
      <c r="E97" s="108" t="str">
        <f t="shared" si="4"/>
        <v>Large</v>
      </c>
      <c r="F97" s="1"/>
      <c r="G97" s="44">
        <f>D97*Variables!$C$21</f>
        <v>15.291619519596919</v>
      </c>
      <c r="H97" s="45">
        <f t="shared" si="5"/>
        <v>20.624841791765</v>
      </c>
      <c r="I97" s="45">
        <v>0</v>
      </c>
      <c r="J97" s="106">
        <v>108333333.33333333</v>
      </c>
      <c r="K97" s="53">
        <f>I97*(J97+Variables!$C$24*Variables!$C$16)</f>
        <v>0</v>
      </c>
      <c r="L97" s="105">
        <f>(G97*Variables!$C$26+D97*Variables!$C$29)*Variables!$C$16</f>
        <v>45298526.519924678</v>
      </c>
    </row>
    <row r="98" spans="1:12" x14ac:dyDescent="0.25">
      <c r="A98" s="8">
        <v>15</v>
      </c>
      <c r="B98" t="s">
        <v>42</v>
      </c>
      <c r="C98">
        <v>2023</v>
      </c>
      <c r="D98" s="13">
        <f>INDEX(Population!$C$3:$U$22,MATCH('Cost Calculations'!B98,Population!$B$3:$B$22,0),MATCH(C98,Population!$C$2:$U$2,0))</f>
        <v>87811.381487459585</v>
      </c>
      <c r="E98" s="108" t="str">
        <f t="shared" si="4"/>
        <v>Small</v>
      </c>
      <c r="F98" s="1"/>
      <c r="G98" s="44">
        <f>D98*Variables!$C$21</f>
        <v>0.79030243338713624</v>
      </c>
      <c r="H98" s="45">
        <f t="shared" si="5"/>
        <v>1.688396291294</v>
      </c>
      <c r="I98" s="45">
        <v>0</v>
      </c>
      <c r="J98" s="107">
        <v>148489405.06416112</v>
      </c>
      <c r="K98" s="53">
        <f>I98*(J98+Variables!$C$24*Variables!$C$16)</f>
        <v>0</v>
      </c>
      <c r="L98" s="105">
        <f>(G98*Variables!$C$26+D98*Variables!$C$29)*Variables!$C$16</f>
        <v>2341121.2717965832</v>
      </c>
    </row>
    <row r="99" spans="1:12" x14ac:dyDescent="0.25">
      <c r="A99" s="8">
        <v>16</v>
      </c>
      <c r="B99" t="s">
        <v>43</v>
      </c>
      <c r="C99">
        <v>2023</v>
      </c>
      <c r="D99" s="13">
        <f>INDEX(Population!$C$3:$U$22,MATCH('Cost Calculations'!B99,Population!$B$3:$B$22,0),MATCH(C99,Population!$C$2:$U$2,0))</f>
        <v>91783.425304374163</v>
      </c>
      <c r="E99" s="108" t="str">
        <f t="shared" si="4"/>
        <v>Small</v>
      </c>
      <c r="F99" s="1"/>
      <c r="G99" s="44">
        <f>D99*Variables!$C$21</f>
        <v>0.82605082773936744</v>
      </c>
      <c r="H99" s="45">
        <f t="shared" si="5"/>
        <v>3.838561813059</v>
      </c>
      <c r="I99" s="45">
        <v>0</v>
      </c>
      <c r="J99" s="107">
        <v>148489405.06416112</v>
      </c>
      <c r="K99" s="53">
        <f>I99*(J99+Variables!$C$24*Variables!$C$16)</f>
        <v>0</v>
      </c>
      <c r="L99" s="105">
        <f>(G99*Variables!$C$26+D99*Variables!$C$29)*Variables!$C$16</f>
        <v>2447019.1191458455</v>
      </c>
    </row>
    <row r="100" spans="1:12" x14ac:dyDescent="0.25">
      <c r="A100" s="8">
        <v>17</v>
      </c>
      <c r="B100" t="s">
        <v>44</v>
      </c>
      <c r="C100">
        <v>2023</v>
      </c>
      <c r="D100" s="13">
        <f>INDEX(Population!$C$3:$U$22,MATCH('Cost Calculations'!B100,Population!$B$3:$B$22,0),MATCH(C100,Population!$C$2:$U$2,0))</f>
        <v>126391.5650852016</v>
      </c>
      <c r="E100" s="108" t="str">
        <f t="shared" si="4"/>
        <v>Medium</v>
      </c>
      <c r="F100" s="1"/>
      <c r="G100" s="44">
        <f>D100*Variables!$C$21</f>
        <v>1.1375240857668143</v>
      </c>
      <c r="H100" s="45">
        <f t="shared" si="5"/>
        <v>1.866970792936</v>
      </c>
      <c r="I100" s="45">
        <v>0</v>
      </c>
      <c r="J100" s="106">
        <v>126750000</v>
      </c>
      <c r="K100" s="53">
        <f>I100*(J100+Variables!$C$24*Variables!$C$16)</f>
        <v>0</v>
      </c>
      <c r="L100" s="105">
        <f>(G100*Variables!$C$26+D100*Variables!$C$29)*Variables!$C$16</f>
        <v>3369699.6515068519</v>
      </c>
    </row>
    <row r="101" spans="1:12" x14ac:dyDescent="0.25">
      <c r="A101" s="8">
        <v>18</v>
      </c>
      <c r="B101" t="s">
        <v>45</v>
      </c>
      <c r="C101">
        <v>2023</v>
      </c>
      <c r="D101" s="13">
        <f>INDEX(Population!$C$3:$U$22,MATCH('Cost Calculations'!B101,Population!$B$3:$B$22,0),MATCH(C101,Population!$C$2:$U$2,0))</f>
        <v>119712.59461014062</v>
      </c>
      <c r="E101" s="108" t="str">
        <f t="shared" si="4"/>
        <v>Medium</v>
      </c>
      <c r="F101" s="1"/>
      <c r="G101" s="44">
        <f>D101*Variables!$C$21</f>
        <v>1.0774133514912656</v>
      </c>
      <c r="H101" s="45">
        <f t="shared" si="5"/>
        <v>2.4912131370320001</v>
      </c>
      <c r="I101" s="45">
        <v>0</v>
      </c>
      <c r="J101" s="107">
        <v>148489405.06416112</v>
      </c>
      <c r="K101" s="53">
        <f>I101*(J101+Variables!$C$24*Variables!$C$16)</f>
        <v>0</v>
      </c>
      <c r="L101" s="105">
        <f>(G101*Variables!$C$26+D101*Variables!$C$29)*Variables!$C$16</f>
        <v>3191632.9864800679</v>
      </c>
    </row>
    <row r="102" spans="1:12" x14ac:dyDescent="0.25">
      <c r="A102" s="8">
        <v>19</v>
      </c>
      <c r="B102" t="s">
        <v>46</v>
      </c>
      <c r="C102">
        <v>2023</v>
      </c>
      <c r="D102" s="13">
        <f>INDEX(Population!$C$3:$U$22,MATCH('Cost Calculations'!B102,Population!$B$3:$B$22,0),MATCH(C102,Population!$C$2:$U$2,0))</f>
        <v>92790.571645851611</v>
      </c>
      <c r="E102" s="108" t="str">
        <f t="shared" si="4"/>
        <v>Small</v>
      </c>
      <c r="F102" s="1"/>
      <c r="G102" s="44">
        <f>D102*Variables!$C$21</f>
        <v>0.83511514481266447</v>
      </c>
      <c r="H102" s="45">
        <f t="shared" si="5"/>
        <v>1.69330868166</v>
      </c>
      <c r="I102" s="45">
        <v>0</v>
      </c>
      <c r="J102" s="107">
        <v>148489405.06416112</v>
      </c>
      <c r="K102" s="53">
        <f>I102*(J102+Variables!$C$24*Variables!$C$16)</f>
        <v>0</v>
      </c>
      <c r="L102" s="105">
        <f>(G102*Variables!$C$26+D102*Variables!$C$29)*Variables!$C$16</f>
        <v>2473870.441649884</v>
      </c>
    </row>
    <row r="103" spans="1:12" x14ac:dyDescent="0.25">
      <c r="A103" s="8">
        <v>20</v>
      </c>
      <c r="B103" t="s">
        <v>47</v>
      </c>
      <c r="C103">
        <v>2023</v>
      </c>
      <c r="D103" s="13">
        <f>INDEX(Population!$C$3:$U$22,MATCH('Cost Calculations'!B103,Population!$B$3:$B$22,0),MATCH(C103,Population!$C$2:$U$2,0))</f>
        <v>51971.107118111191</v>
      </c>
      <c r="E103" s="108" t="str">
        <f t="shared" si="4"/>
        <v>Small</v>
      </c>
      <c r="F103" s="1"/>
      <c r="G103" s="44">
        <f>D103*Variables!$C$21</f>
        <v>0.46773996406300072</v>
      </c>
      <c r="H103" s="45">
        <f t="shared" si="5"/>
        <v>1.403877150594</v>
      </c>
      <c r="I103" s="45">
        <v>0</v>
      </c>
      <c r="J103" s="107">
        <v>148489405.06416112</v>
      </c>
      <c r="K103" s="53">
        <f>I103*(J103+Variables!$C$24*Variables!$C$16)</f>
        <v>0</v>
      </c>
      <c r="L103" s="105">
        <f>(G103*Variables!$C$26+D103*Variables!$C$29)*Variables!$C$16</f>
        <v>1385591.0513195242</v>
      </c>
    </row>
    <row r="104" spans="1:12" x14ac:dyDescent="0.25">
      <c r="A104" s="8">
        <v>1</v>
      </c>
      <c r="B104" t="s">
        <v>28</v>
      </c>
      <c r="C104">
        <v>2024</v>
      </c>
      <c r="D104" s="13">
        <f>INDEX(Population!$C$3:$U$22,MATCH('Cost Calculations'!B104,Population!$B$3:$B$22,0),MATCH(C104,Population!$C$2:$U$2,0))</f>
        <v>285511.2281086712</v>
      </c>
      <c r="E104" s="108" t="str">
        <f t="shared" si="4"/>
        <v>Medium</v>
      </c>
      <c r="F104" s="1"/>
      <c r="G104" s="44">
        <f>D104*Variables!$C$21</f>
        <v>2.5696010529780411</v>
      </c>
      <c r="H104" s="45">
        <f t="shared" si="5"/>
        <v>2.5316266531803366</v>
      </c>
      <c r="I104" s="45">
        <f t="shared" si="6"/>
        <v>3.797439979770445E-2</v>
      </c>
      <c r="J104" s="106">
        <v>112666666.66666667</v>
      </c>
      <c r="K104" s="53">
        <f>I104*(J104+Variables!$C$24*Variables!$C$16)</f>
        <v>4573227.6611841926</v>
      </c>
      <c r="L104" s="105">
        <f>(G104*Variables!$C$26+D104*Variables!$C$29)*Variables!$C$16</f>
        <v>7611956.4245488355</v>
      </c>
    </row>
    <row r="105" spans="1:12" x14ac:dyDescent="0.25">
      <c r="A105" s="8">
        <v>2</v>
      </c>
      <c r="B105" t="s">
        <v>29</v>
      </c>
      <c r="C105">
        <v>2024</v>
      </c>
      <c r="D105" s="13">
        <f>INDEX(Population!$C$3:$U$22,MATCH('Cost Calculations'!B105,Population!$B$3:$B$22,0),MATCH(C105,Population!$C$2:$U$2,0))</f>
        <v>907288.87132272718</v>
      </c>
      <c r="E105" s="108" t="str">
        <f t="shared" si="4"/>
        <v>Medium</v>
      </c>
      <c r="F105" s="1"/>
      <c r="G105" s="44">
        <f>D105*Variables!$C$21</f>
        <v>8.1655998419045446</v>
      </c>
      <c r="H105" s="45">
        <f t="shared" si="5"/>
        <v>8.0449259526153174</v>
      </c>
      <c r="I105" s="45">
        <f t="shared" si="6"/>
        <v>0.12067388928922718</v>
      </c>
      <c r="J105" s="106">
        <v>250000000</v>
      </c>
      <c r="K105" s="53">
        <f>I105*(J105+Variables!$C$24*Variables!$C$16)</f>
        <v>31105210.820335336</v>
      </c>
      <c r="L105" s="105">
        <f>(G105*Variables!$C$26+D105*Variables!$C$29)*Variables!$C$16</f>
        <v>24189042.927439768</v>
      </c>
    </row>
    <row r="106" spans="1:12" x14ac:dyDescent="0.25">
      <c r="A106" s="8">
        <v>3</v>
      </c>
      <c r="B106" t="s">
        <v>30</v>
      </c>
      <c r="C106">
        <v>2024</v>
      </c>
      <c r="D106" s="13">
        <f>INDEX(Population!$C$3:$U$22,MATCH('Cost Calculations'!B106,Population!$B$3:$B$22,0),MATCH(C106,Population!$C$2:$U$2,0))</f>
        <v>1012545.1170473433</v>
      </c>
      <c r="E106" s="108" t="str">
        <f t="shared" si="4"/>
        <v>Large</v>
      </c>
      <c r="F106" s="1"/>
      <c r="G106" s="44">
        <f>D106*Variables!$C$21</f>
        <v>9.1129060534260891</v>
      </c>
      <c r="H106" s="45">
        <f t="shared" si="5"/>
        <v>8.9782325649518135</v>
      </c>
      <c r="I106" s="45">
        <f t="shared" si="6"/>
        <v>0.13467348847427552</v>
      </c>
      <c r="J106" s="107">
        <v>148489405.06416112</v>
      </c>
      <c r="K106" s="53">
        <f>I106*(J106+Variables!$C$24*Variables!$C$16)</f>
        <v>21042997.430411588</v>
      </c>
      <c r="L106" s="105">
        <f>(G106*Variables!$C$26+D106*Variables!$C$29)*Variables!$C$16</f>
        <v>26995258.154682692</v>
      </c>
    </row>
    <row r="107" spans="1:12" x14ac:dyDescent="0.25">
      <c r="A107" s="8">
        <v>4</v>
      </c>
      <c r="B107" t="s">
        <v>31</v>
      </c>
      <c r="C107">
        <v>2024</v>
      </c>
      <c r="D107" s="13">
        <f>INDEX(Population!$C$3:$U$22,MATCH('Cost Calculations'!B107,Population!$B$3:$B$22,0),MATCH(C107,Population!$C$2:$U$2,0))</f>
        <v>75298.836820475903</v>
      </c>
      <c r="E107" s="108" t="str">
        <f t="shared" si="4"/>
        <v>Small</v>
      </c>
      <c r="F107" s="1"/>
      <c r="G107" s="44">
        <f>D107*Variables!$C$21</f>
        <v>0.67768953138428312</v>
      </c>
      <c r="H107" s="45">
        <f t="shared" si="5"/>
        <v>0.66767441515692938</v>
      </c>
      <c r="I107" s="45">
        <f t="shared" si="6"/>
        <v>1.0015116227353738E-2</v>
      </c>
      <c r="J107" s="107">
        <v>148489405.06416112</v>
      </c>
      <c r="K107" s="53">
        <f>I107*(J107+Variables!$C$24*Variables!$C$16)</f>
        <v>1564881.6068036575</v>
      </c>
      <c r="L107" s="105">
        <f>(G107*Variables!$C$26+D107*Variables!$C$29)*Variables!$C$16</f>
        <v>2007526.8790427945</v>
      </c>
    </row>
    <row r="108" spans="1:12" x14ac:dyDescent="0.25">
      <c r="A108" s="8">
        <v>5</v>
      </c>
      <c r="B108" t="s">
        <v>32</v>
      </c>
      <c r="C108">
        <v>2024</v>
      </c>
      <c r="D108" s="13">
        <f>INDEX(Population!$C$3:$U$22,MATCH('Cost Calculations'!B108,Population!$B$3:$B$22,0),MATCH(C108,Population!$C$2:$U$2,0))</f>
        <v>755646.22739991802</v>
      </c>
      <c r="E108" s="108" t="str">
        <f t="shared" si="4"/>
        <v>Medium</v>
      </c>
      <c r="F108" s="1"/>
      <c r="G108" s="44">
        <f>D108*Variables!$C$21</f>
        <v>6.8008160465992624</v>
      </c>
      <c r="H108" s="45">
        <f t="shared" si="5"/>
        <v>7.1776520242890003</v>
      </c>
      <c r="I108" s="45">
        <v>0</v>
      </c>
      <c r="J108" s="106">
        <v>119387755.10204081</v>
      </c>
      <c r="K108" s="53">
        <f>I108*(J108+Variables!$C$24*Variables!$C$16)</f>
        <v>0</v>
      </c>
      <c r="L108" s="105">
        <f>(G108*Variables!$C$26+D108*Variables!$C$29)*Variables!$C$16</f>
        <v>20146129.430516098</v>
      </c>
    </row>
    <row r="109" spans="1:12" x14ac:dyDescent="0.25">
      <c r="A109" s="8">
        <v>6</v>
      </c>
      <c r="B109" t="s">
        <v>33</v>
      </c>
      <c r="C109">
        <v>2024</v>
      </c>
      <c r="D109" s="13">
        <f>INDEX(Population!$C$3:$U$22,MATCH('Cost Calculations'!B109,Population!$B$3:$B$22,0),MATCH(C109,Population!$C$2:$U$2,0))</f>
        <v>140914.36207028484</v>
      </c>
      <c r="E109" s="108" t="str">
        <f t="shared" si="4"/>
        <v>Medium</v>
      </c>
      <c r="F109" s="1"/>
      <c r="G109" s="44">
        <f>D109*Variables!$C$21</f>
        <v>1.2682292586325636</v>
      </c>
      <c r="H109" s="45">
        <f t="shared" si="5"/>
        <v>1.2494869543177971</v>
      </c>
      <c r="I109" s="45">
        <f t="shared" si="6"/>
        <v>1.8742304314766534E-2</v>
      </c>
      <c r="J109" s="106">
        <v>196043165.46762589</v>
      </c>
      <c r="K109" s="53">
        <f>I109*(J109+Variables!$C$24*Variables!$C$16)</f>
        <v>3819788.9576242999</v>
      </c>
      <c r="L109" s="105">
        <f>(G109*Variables!$C$26+D109*Variables!$C$29)*Variables!$C$16</f>
        <v>3756888.9699281454</v>
      </c>
    </row>
    <row r="110" spans="1:12" x14ac:dyDescent="0.25">
      <c r="A110" s="8">
        <v>7</v>
      </c>
      <c r="B110" t="s">
        <v>34</v>
      </c>
      <c r="C110">
        <v>2024</v>
      </c>
      <c r="D110" s="13">
        <f>INDEX(Population!$C$3:$U$22,MATCH('Cost Calculations'!B110,Population!$B$3:$B$22,0),MATCH(C110,Population!$C$2:$U$2,0))</f>
        <v>59150.817796716437</v>
      </c>
      <c r="E110" s="108" t="str">
        <f t="shared" si="4"/>
        <v>Small</v>
      </c>
      <c r="F110" s="1"/>
      <c r="G110" s="44">
        <f>D110*Variables!$C$21</f>
        <v>0.53235736017044799</v>
      </c>
      <c r="H110" s="45">
        <f t="shared" si="5"/>
        <v>0.76316986217600002</v>
      </c>
      <c r="I110" s="45">
        <v>0</v>
      </c>
      <c r="J110" s="107">
        <v>148489405.06416112</v>
      </c>
      <c r="K110" s="53">
        <f>I110*(J110+Variables!$C$24*Variables!$C$16)</f>
        <v>0</v>
      </c>
      <c r="L110" s="105">
        <f>(G110*Variables!$C$26+D110*Variables!$C$29)*Variables!$C$16</f>
        <v>1577007.8484397049</v>
      </c>
    </row>
    <row r="111" spans="1:12" x14ac:dyDescent="0.25">
      <c r="A111" s="8">
        <v>8</v>
      </c>
      <c r="B111" t="s">
        <v>35</v>
      </c>
      <c r="C111">
        <v>2024</v>
      </c>
      <c r="D111" s="13">
        <f>INDEX(Population!$C$3:$U$22,MATCH('Cost Calculations'!B111,Population!$B$3:$B$22,0),MATCH(C111,Population!$C$2:$U$2,0))</f>
        <v>62160.188734285111</v>
      </c>
      <c r="E111" s="108" t="str">
        <f t="shared" si="4"/>
        <v>Small</v>
      </c>
      <c r="F111" s="1"/>
      <c r="G111" s="44">
        <f>D111*Variables!$C$21</f>
        <v>0.55944169860856596</v>
      </c>
      <c r="H111" s="45">
        <f t="shared" si="5"/>
        <v>0.55117408729908002</v>
      </c>
      <c r="I111" s="45">
        <f t="shared" si="6"/>
        <v>8.2676113094859449E-3</v>
      </c>
      <c r="J111" s="107">
        <v>148489405.06416112</v>
      </c>
      <c r="K111" s="53">
        <f>I111*(J111+Variables!$C$24*Variables!$C$16)</f>
        <v>1291830.5266473156</v>
      </c>
      <c r="L111" s="105">
        <f>(G111*Variables!$C$26+D111*Variables!$C$29)*Variables!$C$16</f>
        <v>1657240.0711576059</v>
      </c>
    </row>
    <row r="112" spans="1:12" x14ac:dyDescent="0.25">
      <c r="A112" s="8">
        <v>9</v>
      </c>
      <c r="B112" t="s">
        <v>36</v>
      </c>
      <c r="C112">
        <v>2024</v>
      </c>
      <c r="D112" s="13">
        <f>INDEX(Population!$C$3:$U$22,MATCH('Cost Calculations'!B112,Population!$B$3:$B$22,0),MATCH(C112,Population!$C$2:$U$2,0))</f>
        <v>179474.24371809076</v>
      </c>
      <c r="E112" s="108" t="str">
        <f t="shared" si="4"/>
        <v>Medium</v>
      </c>
      <c r="F112" s="1"/>
      <c r="G112" s="44">
        <f>D112*Variables!$C$21</f>
        <v>1.6152681934628168</v>
      </c>
      <c r="H112" s="45">
        <f t="shared" si="5"/>
        <v>1.5913972349387362</v>
      </c>
      <c r="I112" s="45">
        <f t="shared" si="6"/>
        <v>2.387095852408061E-2</v>
      </c>
      <c r="J112" s="107">
        <v>148489405.06416112</v>
      </c>
      <c r="K112" s="53">
        <f>I112*(J112+Variables!$C$24*Variables!$C$16)</f>
        <v>3729884.2153304676</v>
      </c>
      <c r="L112" s="105">
        <f>(G112*Variables!$C$26+D112*Variables!$C$29)*Variables!$C$16</f>
        <v>4784926.0835058326</v>
      </c>
    </row>
    <row r="113" spans="1:12" x14ac:dyDescent="0.25">
      <c r="A113" s="8">
        <v>10</v>
      </c>
      <c r="B113" t="s">
        <v>37</v>
      </c>
      <c r="C113">
        <v>2024</v>
      </c>
      <c r="D113" s="13">
        <f>INDEX(Population!$C$3:$U$22,MATCH('Cost Calculations'!B113,Population!$B$3:$B$22,0),MATCH(C113,Population!$C$2:$U$2,0))</f>
        <v>316770.665201533</v>
      </c>
      <c r="E113" s="108" t="str">
        <f t="shared" si="4"/>
        <v>Medium</v>
      </c>
      <c r="F113" s="1"/>
      <c r="G113" s="44">
        <f>D113*Variables!$C$21</f>
        <v>2.8509359868137971</v>
      </c>
      <c r="H113" s="45">
        <f t="shared" si="5"/>
        <v>2.8088039278953674</v>
      </c>
      <c r="I113" s="45">
        <f t="shared" si="6"/>
        <v>4.2132058918429749E-2</v>
      </c>
      <c r="J113" s="106">
        <v>242734319.94362226</v>
      </c>
      <c r="K113" s="53">
        <f>I113*(J113+Variables!$C$24*Variables!$C$16)</f>
        <v>10553949.371698016</v>
      </c>
      <c r="L113" s="105">
        <f>(G113*Variables!$C$26+D113*Variables!$C$29)*Variables!$C$16</f>
        <v>8445357.8798366915</v>
      </c>
    </row>
    <row r="114" spans="1:12" x14ac:dyDescent="0.25">
      <c r="A114" s="8">
        <v>11</v>
      </c>
      <c r="B114" t="s">
        <v>38</v>
      </c>
      <c r="C114">
        <v>2024</v>
      </c>
      <c r="D114" s="13">
        <f>INDEX(Population!$C$3:$U$22,MATCH('Cost Calculations'!B114,Population!$B$3:$B$22,0),MATCH(C114,Population!$C$2:$U$2,0))</f>
        <v>210455.10177700201</v>
      </c>
      <c r="E114" s="108" t="str">
        <f t="shared" si="4"/>
        <v>Medium</v>
      </c>
      <c r="F114" s="1"/>
      <c r="G114" s="44">
        <f>D114*Variables!$C$21</f>
        <v>1.8940959159930182</v>
      </c>
      <c r="H114" s="45">
        <f t="shared" si="5"/>
        <v>1.8661043507320381</v>
      </c>
      <c r="I114" s="45">
        <f t="shared" si="6"/>
        <v>2.7991565260980122E-2</v>
      </c>
      <c r="J114" s="107">
        <v>148489405.06416112</v>
      </c>
      <c r="K114" s="53">
        <f>I114*(J114+Variables!$C$24*Variables!$C$16)</f>
        <v>4373737.1217833655</v>
      </c>
      <c r="L114" s="105">
        <f>(G114*Variables!$C$26+D114*Variables!$C$29)*Variables!$C$16</f>
        <v>5610900.4001789605</v>
      </c>
    </row>
    <row r="115" spans="1:12" x14ac:dyDescent="0.25">
      <c r="A115" s="8">
        <v>12</v>
      </c>
      <c r="B115" t="s">
        <v>39</v>
      </c>
      <c r="C115">
        <v>2024</v>
      </c>
      <c r="D115" s="13">
        <f>INDEX(Population!$C$3:$U$22,MATCH('Cost Calculations'!B115,Population!$B$3:$B$22,0),MATCH(C115,Population!$C$2:$U$2,0))</f>
        <v>214686.39448580437</v>
      </c>
      <c r="E115" s="108" t="str">
        <f t="shared" si="4"/>
        <v>Medium</v>
      </c>
      <c r="F115" s="1"/>
      <c r="G115" s="44">
        <f>D115*Variables!$C$21</f>
        <v>1.9321775503722394</v>
      </c>
      <c r="H115" s="45">
        <f t="shared" si="5"/>
        <v>2.0838130428269999</v>
      </c>
      <c r="I115" s="45">
        <v>0</v>
      </c>
      <c r="J115" s="106">
        <v>32000000</v>
      </c>
      <c r="K115" s="53">
        <f>I115*(J115+Variables!$C$24*Variables!$C$16)</f>
        <v>0</v>
      </c>
      <c r="L115" s="105">
        <f>(G115*Variables!$C$26+D115*Variables!$C$29)*Variables!$C$16</f>
        <v>5723710.0291812057</v>
      </c>
    </row>
    <row r="116" spans="1:12" x14ac:dyDescent="0.25">
      <c r="A116" s="8">
        <v>13</v>
      </c>
      <c r="B116" t="s">
        <v>40</v>
      </c>
      <c r="C116">
        <v>2024</v>
      </c>
      <c r="D116" s="13">
        <f>INDEX(Population!$C$3:$U$22,MATCH('Cost Calculations'!B116,Population!$B$3:$B$22,0),MATCH(C116,Population!$C$2:$U$2,0))</f>
        <v>74029.090322383752</v>
      </c>
      <c r="E116" s="108" t="str">
        <f t="shared" si="4"/>
        <v>Small</v>
      </c>
      <c r="F116" s="1"/>
      <c r="G116" s="44">
        <f>D116*Variables!$C$21</f>
        <v>0.66626181290145381</v>
      </c>
      <c r="H116" s="45">
        <f t="shared" si="5"/>
        <v>0.65641557921325511</v>
      </c>
      <c r="I116" s="45">
        <f t="shared" si="6"/>
        <v>9.8462336881987023E-3</v>
      </c>
      <c r="J116" s="107">
        <v>148489405.06416112</v>
      </c>
      <c r="K116" s="53">
        <f>I116*(J116+Variables!$C$24*Variables!$C$16)</f>
        <v>1538493.3779269722</v>
      </c>
      <c r="L116" s="105">
        <f>(G116*Variables!$C$26+D116*Variables!$C$29)*Variables!$C$16</f>
        <v>1973674.4275027027</v>
      </c>
    </row>
    <row r="117" spans="1:12" x14ac:dyDescent="0.25">
      <c r="A117" s="8">
        <v>14</v>
      </c>
      <c r="B117" t="s">
        <v>41</v>
      </c>
      <c r="C117">
        <v>2024</v>
      </c>
      <c r="D117" s="13">
        <f>INDEX(Population!$C$3:$U$22,MATCH('Cost Calculations'!B117,Population!$B$3:$B$22,0),MATCH(C117,Population!$C$2:$U$2,0))</f>
        <v>1724554.8680434297</v>
      </c>
      <c r="E117" s="108" t="str">
        <f t="shared" si="4"/>
        <v>Large</v>
      </c>
      <c r="F117" s="1"/>
      <c r="G117" s="44">
        <f>D117*Variables!$C$21</f>
        <v>15.520993812390868</v>
      </c>
      <c r="H117" s="45">
        <f t="shared" si="5"/>
        <v>20.624841791765</v>
      </c>
      <c r="I117" s="45">
        <v>0</v>
      </c>
      <c r="J117" s="106">
        <v>108333333.33333333</v>
      </c>
      <c r="K117" s="53">
        <f>I117*(J117+Variables!$C$24*Variables!$C$16)</f>
        <v>0</v>
      </c>
      <c r="L117" s="105">
        <f>(G117*Variables!$C$26+D117*Variables!$C$29)*Variables!$C$16</f>
        <v>45978004.417723536</v>
      </c>
    </row>
    <row r="118" spans="1:12" x14ac:dyDescent="0.25">
      <c r="A118" s="8">
        <v>15</v>
      </c>
      <c r="B118" t="s">
        <v>42</v>
      </c>
      <c r="C118">
        <v>2024</v>
      </c>
      <c r="D118" s="13">
        <f>INDEX(Population!$C$3:$U$22,MATCH('Cost Calculations'!B118,Population!$B$3:$B$22,0),MATCH(C118,Population!$C$2:$U$2,0))</f>
        <v>89128.552209771457</v>
      </c>
      <c r="E118" s="108" t="str">
        <f t="shared" si="4"/>
        <v>Small</v>
      </c>
      <c r="F118" s="1"/>
      <c r="G118" s="44">
        <f>D118*Variables!$C$21</f>
        <v>0.80215696988794316</v>
      </c>
      <c r="H118" s="45">
        <f t="shared" si="5"/>
        <v>1.688396291294</v>
      </c>
      <c r="I118" s="45">
        <v>0</v>
      </c>
      <c r="J118" s="107">
        <v>148489405.06416112</v>
      </c>
      <c r="K118" s="53">
        <f>I118*(J118+Variables!$C$24*Variables!$C$16)</f>
        <v>0</v>
      </c>
      <c r="L118" s="105">
        <f>(G118*Variables!$C$26+D118*Variables!$C$29)*Variables!$C$16</f>
        <v>2376238.0908735315</v>
      </c>
    </row>
    <row r="119" spans="1:12" x14ac:dyDescent="0.25">
      <c r="A119" s="8">
        <v>16</v>
      </c>
      <c r="B119" t="s">
        <v>43</v>
      </c>
      <c r="C119">
        <v>2024</v>
      </c>
      <c r="D119" s="13">
        <f>INDEX(Population!$C$3:$U$22,MATCH('Cost Calculations'!B119,Population!$B$3:$B$22,0),MATCH(C119,Population!$C$2:$U$2,0))</f>
        <v>93160.176683939746</v>
      </c>
      <c r="E119" s="108" t="str">
        <f t="shared" si="4"/>
        <v>Small</v>
      </c>
      <c r="F119" s="1"/>
      <c r="G119" s="44">
        <f>D119*Variables!$C$21</f>
        <v>0.83844159015545772</v>
      </c>
      <c r="H119" s="45">
        <f t="shared" si="5"/>
        <v>3.838561813059</v>
      </c>
      <c r="I119" s="45">
        <v>0</v>
      </c>
      <c r="J119" s="107">
        <v>148489405.06416112</v>
      </c>
      <c r="K119" s="53">
        <f>I119*(J119+Variables!$C$24*Variables!$C$16)</f>
        <v>0</v>
      </c>
      <c r="L119" s="105">
        <f>(G119*Variables!$C$26+D119*Variables!$C$29)*Variables!$C$16</f>
        <v>2483724.4059330323</v>
      </c>
    </row>
    <row r="120" spans="1:12" x14ac:dyDescent="0.25">
      <c r="A120" s="8">
        <v>17</v>
      </c>
      <c r="B120" t="s">
        <v>44</v>
      </c>
      <c r="C120">
        <v>2024</v>
      </c>
      <c r="D120" s="13">
        <f>INDEX(Population!$C$3:$U$22,MATCH('Cost Calculations'!B120,Population!$B$3:$B$22,0),MATCH(C120,Population!$C$2:$U$2,0))</f>
        <v>128287.43856147959</v>
      </c>
      <c r="E120" s="108" t="str">
        <f t="shared" si="4"/>
        <v>Medium</v>
      </c>
      <c r="F120" s="1"/>
      <c r="G120" s="44">
        <f>D120*Variables!$C$21</f>
        <v>1.1545869470533163</v>
      </c>
      <c r="H120" s="45">
        <f t="shared" si="5"/>
        <v>1.866970792936</v>
      </c>
      <c r="I120" s="45">
        <v>0</v>
      </c>
      <c r="J120" s="106">
        <v>126750000</v>
      </c>
      <c r="K120" s="53">
        <f>I120*(J120+Variables!$C$24*Variables!$C$16)</f>
        <v>0</v>
      </c>
      <c r="L120" s="105">
        <f>(G120*Variables!$C$26+D120*Variables!$C$29)*Variables!$C$16</f>
        <v>3420245.1462794542</v>
      </c>
    </row>
    <row r="121" spans="1:12" x14ac:dyDescent="0.25">
      <c r="A121" s="8">
        <v>18</v>
      </c>
      <c r="B121" t="s">
        <v>45</v>
      </c>
      <c r="C121">
        <v>2024</v>
      </c>
      <c r="D121" s="13">
        <f>INDEX(Population!$C$3:$U$22,MATCH('Cost Calculations'!B121,Population!$B$3:$B$22,0),MATCH(C121,Population!$C$2:$U$2,0))</f>
        <v>121508.2835292927</v>
      </c>
      <c r="E121" s="108" t="str">
        <f t="shared" si="4"/>
        <v>Medium</v>
      </c>
      <c r="F121" s="1"/>
      <c r="G121" s="44">
        <f>D121*Variables!$C$21</f>
        <v>1.0935745517636344</v>
      </c>
      <c r="H121" s="45">
        <f t="shared" si="5"/>
        <v>2.4912131370320001</v>
      </c>
      <c r="I121" s="45">
        <v>0</v>
      </c>
      <c r="J121" s="107">
        <v>148489405.06416112</v>
      </c>
      <c r="K121" s="53">
        <f>I121*(J121+Variables!$C$24*Variables!$C$16)</f>
        <v>0</v>
      </c>
      <c r="L121" s="105">
        <f>(G121*Variables!$C$26+D121*Variables!$C$29)*Variables!$C$16</f>
        <v>3239507.4812772688</v>
      </c>
    </row>
    <row r="122" spans="1:12" x14ac:dyDescent="0.25">
      <c r="A122" s="8">
        <v>19</v>
      </c>
      <c r="B122" t="s">
        <v>46</v>
      </c>
      <c r="C122">
        <v>2024</v>
      </c>
      <c r="D122" s="13">
        <f>INDEX(Population!$C$3:$U$22,MATCH('Cost Calculations'!B122,Population!$B$3:$B$22,0),MATCH(C122,Population!$C$2:$U$2,0))</f>
        <v>94182.430220539361</v>
      </c>
      <c r="E122" s="108" t="str">
        <f t="shared" si="4"/>
        <v>Small</v>
      </c>
      <c r="F122" s="1"/>
      <c r="G122" s="44">
        <f>D122*Variables!$C$21</f>
        <v>0.8476418719848543</v>
      </c>
      <c r="H122" s="45">
        <f t="shared" si="5"/>
        <v>1.69330868166</v>
      </c>
      <c r="I122" s="45">
        <v>0</v>
      </c>
      <c r="J122" s="107">
        <v>148489405.06416112</v>
      </c>
      <c r="K122" s="53">
        <f>I122*(J122+Variables!$C$24*Variables!$C$16)</f>
        <v>0</v>
      </c>
      <c r="L122" s="105">
        <f>(G122*Variables!$C$26+D122*Variables!$C$29)*Variables!$C$16</f>
        <v>2510978.4982746318</v>
      </c>
    </row>
    <row r="123" spans="1:12" x14ac:dyDescent="0.25">
      <c r="A123" s="8">
        <v>20</v>
      </c>
      <c r="B123" t="s">
        <v>47</v>
      </c>
      <c r="C123">
        <v>2024</v>
      </c>
      <c r="D123" s="13">
        <f>INDEX(Population!$C$3:$U$22,MATCH('Cost Calculations'!B123,Population!$B$3:$B$22,0),MATCH(C123,Population!$C$2:$U$2,0))</f>
        <v>52750.67372488285</v>
      </c>
      <c r="E123" s="108" t="str">
        <f t="shared" si="4"/>
        <v>Small</v>
      </c>
      <c r="F123" s="1"/>
      <c r="G123" s="44">
        <f>D123*Variables!$C$21</f>
        <v>0.47475606352394567</v>
      </c>
      <c r="H123" s="45">
        <f t="shared" si="5"/>
        <v>1.403877150594</v>
      </c>
      <c r="I123" s="45">
        <v>0</v>
      </c>
      <c r="J123" s="107">
        <v>148489405.06416112</v>
      </c>
      <c r="K123" s="53">
        <f>I123*(J123+Variables!$C$24*Variables!$C$16)</f>
        <v>0</v>
      </c>
      <c r="L123" s="105">
        <f>(G123*Variables!$C$26+D123*Variables!$C$29)*Variables!$C$16</f>
        <v>1406374.917089317</v>
      </c>
    </row>
    <row r="124" spans="1:12" x14ac:dyDescent="0.25">
      <c r="A124" s="8">
        <v>1</v>
      </c>
      <c r="B124" t="s">
        <v>28</v>
      </c>
      <c r="C124">
        <v>2025</v>
      </c>
      <c r="D124" s="13">
        <f>INDEX(Population!$C$3:$U$22,MATCH('Cost Calculations'!B124,Population!$B$3:$B$22,0),MATCH(C124,Population!$C$2:$U$2,0))</f>
        <v>289793.89653030125</v>
      </c>
      <c r="E124" s="108" t="str">
        <f t="shared" si="4"/>
        <v>Medium</v>
      </c>
      <c r="F124" s="1"/>
      <c r="G124" s="44">
        <f>D124*Variables!$C$21</f>
        <v>2.6081450687727115</v>
      </c>
      <c r="H124" s="45">
        <f t="shared" si="5"/>
        <v>2.5696010529780411</v>
      </c>
      <c r="I124" s="45">
        <f t="shared" si="6"/>
        <v>3.8544015794670372E-2</v>
      </c>
      <c r="J124" s="106">
        <v>112666666.66666667</v>
      </c>
      <c r="K124" s="53">
        <f>I124*(J124+Variables!$C$24*Variables!$C$16)</f>
        <v>4641826.0761019988</v>
      </c>
      <c r="L124" s="105">
        <f>(G124*Variables!$C$26+D124*Variables!$C$29)*Variables!$C$16</f>
        <v>7726135.7709170682</v>
      </c>
    </row>
    <row r="125" spans="1:12" x14ac:dyDescent="0.25">
      <c r="A125" s="8">
        <v>2</v>
      </c>
      <c r="B125" t="s">
        <v>29</v>
      </c>
      <c r="C125">
        <v>2025</v>
      </c>
      <c r="D125" s="13">
        <f>INDEX(Population!$C$3:$U$22,MATCH('Cost Calculations'!B125,Population!$B$3:$B$22,0),MATCH(C125,Population!$C$2:$U$2,0))</f>
        <v>920898.20439256809</v>
      </c>
      <c r="E125" s="108" t="str">
        <f t="shared" si="4"/>
        <v>Medium</v>
      </c>
      <c r="F125" s="1"/>
      <c r="G125" s="44">
        <f>D125*Variables!$C$21</f>
        <v>8.2880838395331136</v>
      </c>
      <c r="H125" s="45">
        <f t="shared" si="5"/>
        <v>8.1655998419045446</v>
      </c>
      <c r="I125" s="45">
        <f t="shared" si="6"/>
        <v>0.12248399762856899</v>
      </c>
      <c r="J125" s="106">
        <v>250000000</v>
      </c>
      <c r="K125" s="53">
        <f>I125*(J125+Variables!$C$24*Variables!$C$16)</f>
        <v>31571788.982641242</v>
      </c>
      <c r="L125" s="105">
        <f>(G125*Variables!$C$26+D125*Variables!$C$29)*Variables!$C$16</f>
        <v>24551878.571351364</v>
      </c>
    </row>
    <row r="126" spans="1:12" x14ac:dyDescent="0.25">
      <c r="A126" s="8">
        <v>3</v>
      </c>
      <c r="B126" t="s">
        <v>30</v>
      </c>
      <c r="C126">
        <v>2025</v>
      </c>
      <c r="D126" s="13">
        <f>INDEX(Population!$C$3:$U$22,MATCH('Cost Calculations'!B126,Population!$B$3:$B$22,0),MATCH(C126,Population!$C$2:$U$2,0))</f>
        <v>1027733.2938030533</v>
      </c>
      <c r="E126" s="108" t="str">
        <f t="shared" si="4"/>
        <v>Large</v>
      </c>
      <c r="F126" s="1"/>
      <c r="G126" s="44">
        <f>D126*Variables!$C$21</f>
        <v>9.2495996442274802</v>
      </c>
      <c r="H126" s="45">
        <f t="shared" si="5"/>
        <v>9.1129060534260891</v>
      </c>
      <c r="I126" s="45">
        <f t="shared" si="6"/>
        <v>0.1366935908013911</v>
      </c>
      <c r="J126" s="107">
        <v>148489405.06416112</v>
      </c>
      <c r="K126" s="53">
        <f>I126*(J126+Variables!$C$24*Variables!$C$16)</f>
        <v>21358642.391867988</v>
      </c>
      <c r="L126" s="105">
        <f>(G126*Variables!$C$26+D126*Variables!$C$29)*Variables!$C$16</f>
        <v>27400187.027002934</v>
      </c>
    </row>
    <row r="127" spans="1:12" x14ac:dyDescent="0.25">
      <c r="A127" s="8">
        <v>4</v>
      </c>
      <c r="B127" t="s">
        <v>31</v>
      </c>
      <c r="C127">
        <v>2025</v>
      </c>
      <c r="D127" s="13">
        <f>INDEX(Population!$C$3:$U$22,MATCH('Cost Calculations'!B127,Population!$B$3:$B$22,0),MATCH(C127,Population!$C$2:$U$2,0))</f>
        <v>76428.319372783037</v>
      </c>
      <c r="E127" s="108" t="str">
        <f t="shared" si="4"/>
        <v>Small</v>
      </c>
      <c r="F127" s="1"/>
      <c r="G127" s="44">
        <f>D127*Variables!$C$21</f>
        <v>0.68785487435504733</v>
      </c>
      <c r="H127" s="45">
        <f t="shared" si="5"/>
        <v>0.67768953138428312</v>
      </c>
      <c r="I127" s="45">
        <f t="shared" si="6"/>
        <v>1.0165342970764213E-2</v>
      </c>
      <c r="J127" s="107">
        <v>148489405.06416112</v>
      </c>
      <c r="K127" s="53">
        <f>I127*(J127+Variables!$C$24*Variables!$C$16)</f>
        <v>1588354.8309057388</v>
      </c>
      <c r="L127" s="105">
        <f>(G127*Variables!$C$26+D127*Variables!$C$29)*Variables!$C$16</f>
        <v>2037639.7822284361</v>
      </c>
    </row>
    <row r="128" spans="1:12" x14ac:dyDescent="0.25">
      <c r="A128" s="8">
        <v>5</v>
      </c>
      <c r="B128" t="s">
        <v>32</v>
      </c>
      <c r="C128">
        <v>2025</v>
      </c>
      <c r="D128" s="13">
        <f>INDEX(Population!$C$3:$U$22,MATCH('Cost Calculations'!B128,Population!$B$3:$B$22,0),MATCH(C128,Population!$C$2:$U$2,0))</f>
        <v>766980.92081091669</v>
      </c>
      <c r="E128" s="108" t="str">
        <f t="shared" si="4"/>
        <v>Medium</v>
      </c>
      <c r="F128" s="1"/>
      <c r="G128" s="44">
        <f>D128*Variables!$C$21</f>
        <v>6.9028282872982505</v>
      </c>
      <c r="H128" s="45">
        <f t="shared" si="5"/>
        <v>7.1776520242890003</v>
      </c>
      <c r="I128" s="45">
        <v>0</v>
      </c>
      <c r="J128" s="106">
        <v>119387755.10204081</v>
      </c>
      <c r="K128" s="53">
        <f>I128*(J128+Variables!$C$24*Variables!$C$16)</f>
        <v>0</v>
      </c>
      <c r="L128" s="105">
        <f>(G128*Variables!$C$26+D128*Variables!$C$29)*Variables!$C$16</f>
        <v>20448321.371973839</v>
      </c>
    </row>
    <row r="129" spans="1:12" x14ac:dyDescent="0.25">
      <c r="A129" s="8">
        <v>6</v>
      </c>
      <c r="B129" t="s">
        <v>33</v>
      </c>
      <c r="C129">
        <v>2025</v>
      </c>
      <c r="D129" s="13">
        <f>INDEX(Population!$C$3:$U$22,MATCH('Cost Calculations'!B129,Population!$B$3:$B$22,0),MATCH(C129,Population!$C$2:$U$2,0))</f>
        <v>143028.07750133911</v>
      </c>
      <c r="E129" s="108" t="str">
        <f t="shared" si="4"/>
        <v>Medium</v>
      </c>
      <c r="F129" s="1"/>
      <c r="G129" s="44">
        <f>D129*Variables!$C$21</f>
        <v>1.287252697512052</v>
      </c>
      <c r="H129" s="45">
        <f t="shared" si="5"/>
        <v>1.2682292586325636</v>
      </c>
      <c r="I129" s="45">
        <f t="shared" si="6"/>
        <v>1.9023438879488319E-2</v>
      </c>
      <c r="J129" s="106">
        <v>196043165.46762589</v>
      </c>
      <c r="K129" s="53">
        <f>I129*(J129+Variables!$C$24*Variables!$C$16)</f>
        <v>3877085.791988723</v>
      </c>
      <c r="L129" s="105">
        <f>(G129*Variables!$C$26+D129*Variables!$C$29)*Variables!$C$16</f>
        <v>3813242.3044770677</v>
      </c>
    </row>
    <row r="130" spans="1:12" x14ac:dyDescent="0.25">
      <c r="A130" s="8">
        <v>7</v>
      </c>
      <c r="B130" t="s">
        <v>34</v>
      </c>
      <c r="C130">
        <v>2025</v>
      </c>
      <c r="D130" s="13">
        <f>INDEX(Population!$C$3:$U$22,MATCH('Cost Calculations'!B130,Population!$B$3:$B$22,0),MATCH(C130,Population!$C$2:$U$2,0))</f>
        <v>60038.080063667177</v>
      </c>
      <c r="E130" s="108" t="str">
        <f t="shared" si="4"/>
        <v>Small</v>
      </c>
      <c r="F130" s="1"/>
      <c r="G130" s="44">
        <f>D130*Variables!$C$21</f>
        <v>0.54034272057300459</v>
      </c>
      <c r="H130" s="45">
        <f t="shared" si="5"/>
        <v>0.76316986217600002</v>
      </c>
      <c r="I130" s="45">
        <v>0</v>
      </c>
      <c r="J130" s="107">
        <v>148489405.06416112</v>
      </c>
      <c r="K130" s="53">
        <f>I130*(J130+Variables!$C$24*Variables!$C$16)</f>
        <v>0</v>
      </c>
      <c r="L130" s="105">
        <f>(G130*Variables!$C$26+D130*Variables!$C$29)*Variables!$C$16</f>
        <v>1600662.9661663</v>
      </c>
    </row>
    <row r="131" spans="1:12" x14ac:dyDescent="0.25">
      <c r="A131" s="8">
        <v>8</v>
      </c>
      <c r="B131" t="s">
        <v>35</v>
      </c>
      <c r="C131">
        <v>2025</v>
      </c>
      <c r="D131" s="13">
        <f>INDEX(Population!$C$3:$U$22,MATCH('Cost Calculations'!B131,Population!$B$3:$B$22,0),MATCH(C131,Population!$C$2:$U$2,0))</f>
        <v>63092.591565299386</v>
      </c>
      <c r="E131" s="108" t="str">
        <f t="shared" si="4"/>
        <v>Small</v>
      </c>
      <c r="F131" s="1"/>
      <c r="G131" s="44">
        <f>D131*Variables!$C$21</f>
        <v>0.56783332408769449</v>
      </c>
      <c r="H131" s="45">
        <f t="shared" si="5"/>
        <v>0.55944169860856596</v>
      </c>
      <c r="I131" s="45">
        <f t="shared" si="6"/>
        <v>8.3916254791285283E-3</v>
      </c>
      <c r="J131" s="107">
        <v>148489405.06416112</v>
      </c>
      <c r="K131" s="53">
        <f>I131*(J131+Variables!$C$24*Variables!$C$16)</f>
        <v>1311207.9845470714</v>
      </c>
      <c r="L131" s="105">
        <f>(G131*Variables!$C$26+D131*Variables!$C$29)*Variables!$C$16</f>
        <v>1682098.6722249701</v>
      </c>
    </row>
    <row r="132" spans="1:12" x14ac:dyDescent="0.25">
      <c r="A132" s="8">
        <v>9</v>
      </c>
      <c r="B132" t="s">
        <v>36</v>
      </c>
      <c r="C132">
        <v>2025</v>
      </c>
      <c r="D132" s="13">
        <f>INDEX(Population!$C$3:$U$22,MATCH('Cost Calculations'!B132,Population!$B$3:$B$22,0),MATCH(C132,Population!$C$2:$U$2,0))</f>
        <v>182166.35737386212</v>
      </c>
      <c r="E132" s="108" t="str">
        <f t="shared" si="4"/>
        <v>Medium</v>
      </c>
      <c r="F132" s="1"/>
      <c r="G132" s="44">
        <f>D132*Variables!$C$21</f>
        <v>1.6394972163647592</v>
      </c>
      <c r="H132" s="45">
        <f t="shared" si="5"/>
        <v>1.6152681934628168</v>
      </c>
      <c r="I132" s="45">
        <f t="shared" si="6"/>
        <v>2.4229022901942399E-2</v>
      </c>
      <c r="J132" s="107">
        <v>148489405.06416112</v>
      </c>
      <c r="K132" s="53">
        <f>I132*(J132+Variables!$C$24*Variables!$C$16)</f>
        <v>3785832.4785605152</v>
      </c>
      <c r="L132" s="105">
        <f>(G132*Variables!$C$26+D132*Variables!$C$29)*Variables!$C$16</f>
        <v>4856699.9747584201</v>
      </c>
    </row>
    <row r="133" spans="1:12" x14ac:dyDescent="0.25">
      <c r="A133" s="8">
        <v>10</v>
      </c>
      <c r="B133" t="s">
        <v>37</v>
      </c>
      <c r="C133">
        <v>2025</v>
      </c>
      <c r="D133" s="13">
        <f>INDEX(Population!$C$3:$U$22,MATCH('Cost Calculations'!B133,Population!$B$3:$B$22,0),MATCH(C133,Population!$C$2:$U$2,0))</f>
        <v>321522.225179556</v>
      </c>
      <c r="E133" s="108" t="str">
        <f t="shared" ref="E133:E196" si="7">IF(D133&lt;100000,"Small",IF(D133&lt;1000000,"Medium","Large"))</f>
        <v>Medium</v>
      </c>
      <c r="F133" s="1"/>
      <c r="G133" s="44">
        <f>D133*Variables!$C$21</f>
        <v>2.893700026616004</v>
      </c>
      <c r="H133" s="45">
        <f t="shared" si="5"/>
        <v>2.8509359868137971</v>
      </c>
      <c r="I133" s="45">
        <f t="shared" si="6"/>
        <v>4.2764039802206888E-2</v>
      </c>
      <c r="J133" s="106">
        <v>242734319.94362226</v>
      </c>
      <c r="K133" s="53">
        <f>I133*(J133+Variables!$C$24*Variables!$C$16)</f>
        <v>10712258.61227366</v>
      </c>
      <c r="L133" s="105">
        <f>(G133*Variables!$C$26+D133*Variables!$C$29)*Variables!$C$16</f>
        <v>8572038.2480342444</v>
      </c>
    </row>
    <row r="134" spans="1:12" x14ac:dyDescent="0.25">
      <c r="A134" s="8">
        <v>11</v>
      </c>
      <c r="B134" t="s">
        <v>38</v>
      </c>
      <c r="C134">
        <v>2025</v>
      </c>
      <c r="D134" s="13">
        <f>INDEX(Population!$C$3:$U$22,MATCH('Cost Calculations'!B134,Population!$B$3:$B$22,0),MATCH(C134,Population!$C$2:$U$2,0))</f>
        <v>213611.92830365701</v>
      </c>
      <c r="E134" s="108" t="str">
        <f t="shared" si="7"/>
        <v>Medium</v>
      </c>
      <c r="F134" s="1"/>
      <c r="G134" s="44">
        <f>D134*Variables!$C$21</f>
        <v>1.9225073547329132</v>
      </c>
      <c r="H134" s="45">
        <f t="shared" si="5"/>
        <v>1.8940959159930182</v>
      </c>
      <c r="I134" s="45">
        <f t="shared" si="6"/>
        <v>2.8411438739895045E-2</v>
      </c>
      <c r="J134" s="107">
        <v>148489405.06416112</v>
      </c>
      <c r="K134" s="53">
        <f>I134*(J134+Variables!$C$24*Variables!$C$16)</f>
        <v>4439343.1786101507</v>
      </c>
      <c r="L134" s="105">
        <f>(G134*Variables!$C$26+D134*Variables!$C$29)*Variables!$C$16</f>
        <v>5695063.9061816446</v>
      </c>
    </row>
    <row r="135" spans="1:12" x14ac:dyDescent="0.25">
      <c r="A135" s="8">
        <v>12</v>
      </c>
      <c r="B135" t="s">
        <v>39</v>
      </c>
      <c r="C135">
        <v>2025</v>
      </c>
      <c r="D135" s="13">
        <f>INDEX(Population!$C$3:$U$22,MATCH('Cost Calculations'!B135,Population!$B$3:$B$22,0),MATCH(C135,Population!$C$2:$U$2,0))</f>
        <v>217906.69040309143</v>
      </c>
      <c r="E135" s="108" t="str">
        <f t="shared" si="7"/>
        <v>Medium</v>
      </c>
      <c r="F135" s="1"/>
      <c r="G135" s="44">
        <f>D135*Variables!$C$21</f>
        <v>1.961160213627823</v>
      </c>
      <c r="H135" s="45">
        <f t="shared" si="5"/>
        <v>2.0838130428269999</v>
      </c>
      <c r="I135" s="45">
        <v>0</v>
      </c>
      <c r="J135" s="106">
        <v>32000000</v>
      </c>
      <c r="K135" s="53">
        <f>I135*(J135+Variables!$C$24*Variables!$C$16)</f>
        <v>0</v>
      </c>
      <c r="L135" s="105">
        <f>(G135*Variables!$C$26+D135*Variables!$C$29)*Variables!$C$16</f>
        <v>5809565.6796189239</v>
      </c>
    </row>
    <row r="136" spans="1:12" x14ac:dyDescent="0.25">
      <c r="A136" s="8">
        <v>13</v>
      </c>
      <c r="B136" t="s">
        <v>40</v>
      </c>
      <c r="C136">
        <v>2025</v>
      </c>
      <c r="D136" s="13">
        <f>INDEX(Population!$C$3:$U$22,MATCH('Cost Calculations'!B136,Population!$B$3:$B$22,0),MATCH(C136,Population!$C$2:$U$2,0))</f>
        <v>75139.526677219503</v>
      </c>
      <c r="E136" s="108" t="str">
        <f t="shared" si="7"/>
        <v>Small</v>
      </c>
      <c r="F136" s="1"/>
      <c r="G136" s="44">
        <f>D136*Variables!$C$21</f>
        <v>0.67625574009497558</v>
      </c>
      <c r="H136" s="45">
        <f t="shared" si="5"/>
        <v>0.66626181290145381</v>
      </c>
      <c r="I136" s="45">
        <f t="shared" si="6"/>
        <v>9.9939271935217677E-3</v>
      </c>
      <c r="J136" s="107">
        <v>148489405.06416112</v>
      </c>
      <c r="K136" s="53">
        <f>I136*(J136+Variables!$C$24*Variables!$C$16)</f>
        <v>1561570.7785958902</v>
      </c>
      <c r="L136" s="105">
        <f>(G136*Variables!$C$26+D136*Variables!$C$29)*Variables!$C$16</f>
        <v>2003279.5439152429</v>
      </c>
    </row>
    <row r="137" spans="1:12" x14ac:dyDescent="0.25">
      <c r="A137" s="8">
        <v>14</v>
      </c>
      <c r="B137" t="s">
        <v>41</v>
      </c>
      <c r="C137">
        <v>2025</v>
      </c>
      <c r="D137" s="13">
        <f>INDEX(Population!$C$3:$U$22,MATCH('Cost Calculations'!B137,Population!$B$3:$B$22,0),MATCH(C137,Population!$C$2:$U$2,0))</f>
        <v>1750423.1910640812</v>
      </c>
      <c r="E137" s="108" t="str">
        <f t="shared" si="7"/>
        <v>Large</v>
      </c>
      <c r="F137" s="1"/>
      <c r="G137" s="44">
        <f>D137*Variables!$C$21</f>
        <v>15.75380871957673</v>
      </c>
      <c r="H137" s="45">
        <f t="shared" si="5"/>
        <v>20.624841791765</v>
      </c>
      <c r="I137" s="45">
        <v>0</v>
      </c>
      <c r="J137" s="106">
        <v>108333333.33333333</v>
      </c>
      <c r="K137" s="53">
        <f>I137*(J137+Variables!$C$24*Variables!$C$16)</f>
        <v>0</v>
      </c>
      <c r="L137" s="105">
        <f>(G137*Variables!$C$26+D137*Variables!$C$29)*Variables!$C$16</f>
        <v>46667674.483989373</v>
      </c>
    </row>
    <row r="138" spans="1:12" x14ac:dyDescent="0.25">
      <c r="A138" s="8">
        <v>15</v>
      </c>
      <c r="B138" t="s">
        <v>42</v>
      </c>
      <c r="C138">
        <v>2025</v>
      </c>
      <c r="D138" s="13">
        <f>INDEX(Population!$C$3:$U$22,MATCH('Cost Calculations'!B138,Population!$B$3:$B$22,0),MATCH(C138,Population!$C$2:$U$2,0))</f>
        <v>90465.480492918025</v>
      </c>
      <c r="E138" s="108" t="str">
        <f t="shared" si="7"/>
        <v>Small</v>
      </c>
      <c r="F138" s="1"/>
      <c r="G138" s="44">
        <f>D138*Variables!$C$21</f>
        <v>0.81418932443626224</v>
      </c>
      <c r="H138" s="45">
        <f t="shared" si="5"/>
        <v>1.688396291294</v>
      </c>
      <c r="I138" s="45">
        <v>0</v>
      </c>
      <c r="J138" s="107">
        <v>148489405.06416112</v>
      </c>
      <c r="K138" s="53">
        <f>I138*(J138+Variables!$C$24*Variables!$C$16)</f>
        <v>0</v>
      </c>
      <c r="L138" s="105">
        <f>(G138*Variables!$C$26+D138*Variables!$C$29)*Variables!$C$16</f>
        <v>2411881.6622366342</v>
      </c>
    </row>
    <row r="139" spans="1:12" x14ac:dyDescent="0.25">
      <c r="A139" s="8">
        <v>16</v>
      </c>
      <c r="B139" t="s">
        <v>43</v>
      </c>
      <c r="C139">
        <v>2025</v>
      </c>
      <c r="D139" s="13">
        <f>INDEX(Population!$C$3:$U$22,MATCH('Cost Calculations'!B139,Population!$B$3:$B$22,0),MATCH(C139,Population!$C$2:$U$2,0))</f>
        <v>94557.579334198846</v>
      </c>
      <c r="E139" s="108" t="str">
        <f t="shared" si="7"/>
        <v>Small</v>
      </c>
      <c r="F139" s="1"/>
      <c r="G139" s="44">
        <f>D139*Variables!$C$21</f>
        <v>0.85101821400778965</v>
      </c>
      <c r="H139" s="45">
        <f t="shared" si="5"/>
        <v>3.838561813059</v>
      </c>
      <c r="I139" s="45">
        <v>0</v>
      </c>
      <c r="J139" s="107">
        <v>148489405.06416112</v>
      </c>
      <c r="K139" s="53">
        <f>I139*(J139+Variables!$C$24*Variables!$C$16)</f>
        <v>0</v>
      </c>
      <c r="L139" s="105">
        <f>(G139*Variables!$C$26+D139*Variables!$C$29)*Variables!$C$16</f>
        <v>2520980.272022028</v>
      </c>
    </row>
    <row r="140" spans="1:12" x14ac:dyDescent="0.25">
      <c r="A140" s="8">
        <v>17</v>
      </c>
      <c r="B140" t="s">
        <v>44</v>
      </c>
      <c r="C140">
        <v>2025</v>
      </c>
      <c r="D140" s="13">
        <f>INDEX(Population!$C$3:$U$22,MATCH('Cost Calculations'!B140,Population!$B$3:$B$22,0),MATCH(C140,Population!$C$2:$U$2,0))</f>
        <v>130211.75013990178</v>
      </c>
      <c r="E140" s="108" t="str">
        <f t="shared" si="7"/>
        <v>Medium</v>
      </c>
      <c r="F140" s="1"/>
      <c r="G140" s="44">
        <f>D140*Variables!$C$21</f>
        <v>1.171905751259116</v>
      </c>
      <c r="H140" s="45">
        <f t="shared" si="5"/>
        <v>1.866970792936</v>
      </c>
      <c r="I140" s="45">
        <v>0</v>
      </c>
      <c r="J140" s="106">
        <v>126750000</v>
      </c>
      <c r="K140" s="53">
        <f>I140*(J140+Variables!$C$24*Variables!$C$16)</f>
        <v>0</v>
      </c>
      <c r="L140" s="105">
        <f>(G140*Variables!$C$26+D140*Variables!$C$29)*Variables!$C$16</f>
        <v>3471548.8234736454</v>
      </c>
    </row>
    <row r="141" spans="1:12" x14ac:dyDescent="0.25">
      <c r="A141" s="8">
        <v>18</v>
      </c>
      <c r="B141" t="s">
        <v>45</v>
      </c>
      <c r="C141">
        <v>2025</v>
      </c>
      <c r="D141" s="13">
        <f>INDEX(Population!$C$3:$U$22,MATCH('Cost Calculations'!B141,Population!$B$3:$B$22,0),MATCH(C141,Population!$C$2:$U$2,0))</f>
        <v>123330.90778223208</v>
      </c>
      <c r="E141" s="108" t="str">
        <f t="shared" si="7"/>
        <v>Medium</v>
      </c>
      <c r="F141" s="1"/>
      <c r="G141" s="44">
        <f>D141*Variables!$C$21</f>
        <v>1.1099781700400888</v>
      </c>
      <c r="H141" s="45">
        <f t="shared" si="5"/>
        <v>2.4912131370320001</v>
      </c>
      <c r="I141" s="45">
        <v>0</v>
      </c>
      <c r="J141" s="107">
        <v>148489405.06416112</v>
      </c>
      <c r="K141" s="53">
        <f>I141*(J141+Variables!$C$24*Variables!$C$16)</f>
        <v>0</v>
      </c>
      <c r="L141" s="105">
        <f>(G141*Variables!$C$26+D141*Variables!$C$29)*Variables!$C$16</f>
        <v>3288100.0934964274</v>
      </c>
    </row>
    <row r="142" spans="1:12" x14ac:dyDescent="0.25">
      <c r="A142" s="8">
        <v>19</v>
      </c>
      <c r="B142" t="s">
        <v>46</v>
      </c>
      <c r="C142">
        <v>2025</v>
      </c>
      <c r="D142" s="13">
        <f>INDEX(Population!$C$3:$U$22,MATCH('Cost Calculations'!B142,Population!$B$3:$B$22,0),MATCH(C142,Population!$C$2:$U$2,0))</f>
        <v>95595.166673847445</v>
      </c>
      <c r="E142" s="108" t="str">
        <f t="shared" si="7"/>
        <v>Small</v>
      </c>
      <c r="F142" s="1"/>
      <c r="G142" s="44">
        <f>D142*Variables!$C$21</f>
        <v>0.86035650006462705</v>
      </c>
      <c r="H142" s="45">
        <f t="shared" si="5"/>
        <v>1.69330868166</v>
      </c>
      <c r="I142" s="45">
        <v>0</v>
      </c>
      <c r="J142" s="107">
        <v>148489405.06416112</v>
      </c>
      <c r="K142" s="53">
        <f>I142*(J142+Variables!$C$24*Variables!$C$16)</f>
        <v>0</v>
      </c>
      <c r="L142" s="105">
        <f>(G142*Variables!$C$26+D142*Variables!$C$29)*Variables!$C$16</f>
        <v>2548643.175748751</v>
      </c>
    </row>
    <row r="143" spans="1:12" x14ac:dyDescent="0.25">
      <c r="A143" s="8">
        <v>20</v>
      </c>
      <c r="B143" t="s">
        <v>47</v>
      </c>
      <c r="C143">
        <v>2025</v>
      </c>
      <c r="D143" s="13">
        <f>INDEX(Population!$C$3:$U$22,MATCH('Cost Calculations'!B143,Population!$B$3:$B$22,0),MATCH(C143,Population!$C$2:$U$2,0))</f>
        <v>53541.93383075609</v>
      </c>
      <c r="E143" s="108" t="str">
        <f t="shared" si="7"/>
        <v>Small</v>
      </c>
      <c r="F143" s="1"/>
      <c r="G143" s="44">
        <f>D143*Variables!$C$21</f>
        <v>0.48187740447680483</v>
      </c>
      <c r="H143" s="45">
        <f t="shared" si="5"/>
        <v>1.403877150594</v>
      </c>
      <c r="I143" s="45">
        <v>0</v>
      </c>
      <c r="J143" s="107">
        <v>148489405.06416112</v>
      </c>
      <c r="K143" s="53">
        <f>I143*(J143+Variables!$C$24*Variables!$C$16)</f>
        <v>0</v>
      </c>
      <c r="L143" s="105">
        <f>(G143*Variables!$C$26+D143*Variables!$C$29)*Variables!$C$16</f>
        <v>1427470.5408456565</v>
      </c>
    </row>
    <row r="144" spans="1:12" x14ac:dyDescent="0.25">
      <c r="A144" s="8">
        <v>1</v>
      </c>
      <c r="B144" t="s">
        <v>28</v>
      </c>
      <c r="C144">
        <v>2026</v>
      </c>
      <c r="D144" s="13">
        <f>INDEX(Population!$C$3:$U$22,MATCH('Cost Calculations'!B144,Population!$B$3:$B$22,0),MATCH(C144,Population!$C$2:$U$2,0))</f>
        <v>294140.80497825571</v>
      </c>
      <c r="E144" s="108" t="str">
        <f t="shared" si="7"/>
        <v>Medium</v>
      </c>
      <c r="F144" s="1"/>
      <c r="G144" s="44">
        <f>D144*Variables!$C$21</f>
        <v>2.6472672448043015</v>
      </c>
      <c r="H144" s="45">
        <f t="shared" si="5"/>
        <v>2.6081450687727115</v>
      </c>
      <c r="I144" s="45">
        <f t="shared" si="6"/>
        <v>3.9122176031590072E-2</v>
      </c>
      <c r="J144" s="106">
        <v>112666666.66666667</v>
      </c>
      <c r="K144" s="53">
        <f>I144*(J144+Variables!$C$24*Variables!$C$16)</f>
        <v>4711453.4672434861</v>
      </c>
      <c r="L144" s="105">
        <f>(G144*Variables!$C$26+D144*Variables!$C$29)*Variables!$C$16</f>
        <v>7842027.8074808232</v>
      </c>
    </row>
    <row r="145" spans="1:12" x14ac:dyDescent="0.25">
      <c r="A145" s="8">
        <v>2</v>
      </c>
      <c r="B145" t="s">
        <v>29</v>
      </c>
      <c r="C145">
        <v>2026</v>
      </c>
      <c r="D145" s="13">
        <f>INDEX(Population!$C$3:$U$22,MATCH('Cost Calculations'!B145,Population!$B$3:$B$22,0),MATCH(C145,Population!$C$2:$U$2,0))</f>
        <v>934711.67745845637</v>
      </c>
      <c r="E145" s="108" t="str">
        <f t="shared" si="7"/>
        <v>Medium</v>
      </c>
      <c r="F145" s="1"/>
      <c r="G145" s="44">
        <f>D145*Variables!$C$21</f>
        <v>8.4124050971261077</v>
      </c>
      <c r="H145" s="45">
        <f t="shared" si="5"/>
        <v>8.2880838395331136</v>
      </c>
      <c r="I145" s="45">
        <f t="shared" si="6"/>
        <v>0.12432125759299417</v>
      </c>
      <c r="J145" s="106">
        <v>250000000</v>
      </c>
      <c r="K145" s="53">
        <f>I145*(J145+Variables!$C$24*Variables!$C$16)</f>
        <v>32045365.817379996</v>
      </c>
      <c r="L145" s="105">
        <f>(G145*Variables!$C$26+D145*Variables!$C$29)*Variables!$C$16</f>
        <v>24920156.749921631</v>
      </c>
    </row>
    <row r="146" spans="1:12" x14ac:dyDescent="0.25">
      <c r="A146" s="8">
        <v>3</v>
      </c>
      <c r="B146" t="s">
        <v>30</v>
      </c>
      <c r="C146">
        <v>2026</v>
      </c>
      <c r="D146" s="13">
        <f>INDEX(Population!$C$3:$U$22,MATCH('Cost Calculations'!B146,Population!$B$3:$B$22,0),MATCH(C146,Population!$C$2:$U$2,0))</f>
        <v>1043149.2932100989</v>
      </c>
      <c r="E146" s="108" t="str">
        <f t="shared" si="7"/>
        <v>Large</v>
      </c>
      <c r="F146" s="1"/>
      <c r="G146" s="44">
        <f>D146*Variables!$C$21</f>
        <v>9.3883436388908894</v>
      </c>
      <c r="H146" s="45">
        <f t="shared" si="5"/>
        <v>9.2495996442274802</v>
      </c>
      <c r="I146" s="45">
        <f t="shared" si="6"/>
        <v>0.13874399466340925</v>
      </c>
      <c r="J146" s="107">
        <v>148489405.06416112</v>
      </c>
      <c r="K146" s="53">
        <f>I146*(J146+Variables!$C$24*Variables!$C$16)</f>
        <v>21679022.027745586</v>
      </c>
      <c r="L146" s="105">
        <f>(G146*Variables!$C$26+D146*Variables!$C$29)*Variables!$C$16</f>
        <v>27811189.832407966</v>
      </c>
    </row>
    <row r="147" spans="1:12" x14ac:dyDescent="0.25">
      <c r="A147" s="8">
        <v>4</v>
      </c>
      <c r="B147" t="s">
        <v>31</v>
      </c>
      <c r="C147">
        <v>2026</v>
      </c>
      <c r="D147" s="13">
        <f>INDEX(Population!$C$3:$U$22,MATCH('Cost Calculations'!B147,Population!$B$3:$B$22,0),MATCH(C147,Population!$C$2:$U$2,0))</f>
        <v>77574.744163374766</v>
      </c>
      <c r="E147" s="108" t="str">
        <f t="shared" si="7"/>
        <v>Small</v>
      </c>
      <c r="F147" s="1"/>
      <c r="G147" s="44">
        <f>D147*Variables!$C$21</f>
        <v>0.69817269747037292</v>
      </c>
      <c r="H147" s="45">
        <f t="shared" si="5"/>
        <v>0.68785487435504733</v>
      </c>
      <c r="I147" s="45">
        <f t="shared" si="6"/>
        <v>1.0317823115325586E-2</v>
      </c>
      <c r="J147" s="107">
        <v>148489405.06416112</v>
      </c>
      <c r="K147" s="53">
        <f>I147*(J147+Variables!$C$24*Variables!$C$16)</f>
        <v>1612180.1533693108</v>
      </c>
      <c r="L147" s="105">
        <f>(G147*Variables!$C$26+D147*Variables!$C$29)*Variables!$C$16</f>
        <v>2068204.3789618623</v>
      </c>
    </row>
    <row r="148" spans="1:12" x14ac:dyDescent="0.25">
      <c r="A148" s="8">
        <v>5</v>
      </c>
      <c r="B148" t="s">
        <v>32</v>
      </c>
      <c r="C148">
        <v>2026</v>
      </c>
      <c r="D148" s="13">
        <f>INDEX(Population!$C$3:$U$22,MATCH('Cost Calculations'!B148,Population!$B$3:$B$22,0),MATCH(C148,Population!$C$2:$U$2,0))</f>
        <v>778485.63462308026</v>
      </c>
      <c r="E148" s="108" t="str">
        <f t="shared" si="7"/>
        <v>Medium</v>
      </c>
      <c r="F148" s="1"/>
      <c r="G148" s="44">
        <f>D148*Variables!$C$21</f>
        <v>7.0063707116077225</v>
      </c>
      <c r="H148" s="45">
        <f t="shared" si="5"/>
        <v>7.1776520242890003</v>
      </c>
      <c r="I148" s="45">
        <v>0</v>
      </c>
      <c r="J148" s="106">
        <v>119387755.10204081</v>
      </c>
      <c r="K148" s="53">
        <f>I148*(J148+Variables!$C$24*Variables!$C$16)</f>
        <v>0</v>
      </c>
      <c r="L148" s="105">
        <f>(G148*Variables!$C$26+D148*Variables!$C$29)*Variables!$C$16</f>
        <v>20755046.192553442</v>
      </c>
    </row>
    <row r="149" spans="1:12" x14ac:dyDescent="0.25">
      <c r="A149" s="8">
        <v>6</v>
      </c>
      <c r="B149" t="s">
        <v>33</v>
      </c>
      <c r="C149">
        <v>2026</v>
      </c>
      <c r="D149" s="13">
        <f>INDEX(Population!$C$3:$U$22,MATCH('Cost Calculations'!B149,Population!$B$3:$B$22,0),MATCH(C149,Population!$C$2:$U$2,0))</f>
        <v>145173.49866385915</v>
      </c>
      <c r="E149" s="108" t="str">
        <f t="shared" si="7"/>
        <v>Medium</v>
      </c>
      <c r="F149" s="1"/>
      <c r="G149" s="44">
        <f>D149*Variables!$C$21</f>
        <v>1.3065614879747325</v>
      </c>
      <c r="H149" s="45">
        <f t="shared" si="5"/>
        <v>1.287252697512052</v>
      </c>
      <c r="I149" s="45">
        <f t="shared" si="6"/>
        <v>1.9308790462680525E-2</v>
      </c>
      <c r="J149" s="106">
        <v>196043165.46762589</v>
      </c>
      <c r="K149" s="53">
        <f>I149*(J149+Variables!$C$24*Variables!$C$16)</f>
        <v>3935242.0788685298</v>
      </c>
      <c r="L149" s="105">
        <f>(G149*Variables!$C$26+D149*Variables!$C$29)*Variables!$C$16</f>
        <v>3870440.9390442222</v>
      </c>
    </row>
    <row r="150" spans="1:12" x14ac:dyDescent="0.25">
      <c r="A150" s="8">
        <v>7</v>
      </c>
      <c r="B150" t="s">
        <v>34</v>
      </c>
      <c r="C150">
        <v>2026</v>
      </c>
      <c r="D150" s="13">
        <f>INDEX(Population!$C$3:$U$22,MATCH('Cost Calculations'!B150,Population!$B$3:$B$22,0),MATCH(C150,Population!$C$2:$U$2,0))</f>
        <v>60938.651264622167</v>
      </c>
      <c r="E150" s="108" t="str">
        <f t="shared" si="7"/>
        <v>Small</v>
      </c>
      <c r="F150" s="1"/>
      <c r="G150" s="44">
        <f>D150*Variables!$C$21</f>
        <v>0.54844786138159951</v>
      </c>
      <c r="H150" s="45">
        <f t="shared" si="5"/>
        <v>0.76316986217600002</v>
      </c>
      <c r="I150" s="45">
        <v>0</v>
      </c>
      <c r="J150" s="107">
        <v>148489405.06416112</v>
      </c>
      <c r="K150" s="53">
        <f>I150*(J150+Variables!$C$24*Variables!$C$16)</f>
        <v>0</v>
      </c>
      <c r="L150" s="105">
        <f>(G150*Variables!$C$26+D150*Variables!$C$29)*Variables!$C$16</f>
        <v>1624672.9106587942</v>
      </c>
    </row>
    <row r="151" spans="1:12" x14ac:dyDescent="0.25">
      <c r="A151" s="8">
        <v>8</v>
      </c>
      <c r="B151" t="s">
        <v>35</v>
      </c>
      <c r="C151">
        <v>2026</v>
      </c>
      <c r="D151" s="13">
        <f>INDEX(Population!$C$3:$U$22,MATCH('Cost Calculations'!B151,Population!$B$3:$B$22,0),MATCH(C151,Population!$C$2:$U$2,0))</f>
        <v>64038.980438778861</v>
      </c>
      <c r="E151" s="108" t="str">
        <f t="shared" si="7"/>
        <v>Small</v>
      </c>
      <c r="F151" s="1"/>
      <c r="G151" s="44">
        <f>D151*Variables!$C$21</f>
        <v>0.57635082394900972</v>
      </c>
      <c r="H151" s="45">
        <f t="shared" si="5"/>
        <v>0.56783332408769449</v>
      </c>
      <c r="I151" s="45">
        <f t="shared" si="6"/>
        <v>8.5174998613152253E-3</v>
      </c>
      <c r="J151" s="107">
        <v>148489405.06416112</v>
      </c>
      <c r="K151" s="53">
        <f>I151*(J151+Variables!$C$24*Variables!$C$16)</f>
        <v>1330876.1043152413</v>
      </c>
      <c r="L151" s="105">
        <f>(G151*Variables!$C$26+D151*Variables!$C$29)*Variables!$C$16</f>
        <v>1707330.1523083439</v>
      </c>
    </row>
    <row r="152" spans="1:12" x14ac:dyDescent="0.25">
      <c r="A152" s="8">
        <v>9</v>
      </c>
      <c r="B152" t="s">
        <v>36</v>
      </c>
      <c r="C152">
        <v>2026</v>
      </c>
      <c r="D152" s="13">
        <f>INDEX(Population!$C$3:$U$22,MATCH('Cost Calculations'!B152,Population!$B$3:$B$22,0),MATCH(C152,Population!$C$2:$U$2,0))</f>
        <v>184898.85273446998</v>
      </c>
      <c r="E152" s="108" t="str">
        <f t="shared" si="7"/>
        <v>Medium</v>
      </c>
      <c r="F152" s="1"/>
      <c r="G152" s="44">
        <f>D152*Variables!$C$21</f>
        <v>1.6640896746102298</v>
      </c>
      <c r="H152" s="45">
        <f t="shared" si="5"/>
        <v>1.6394972163647592</v>
      </c>
      <c r="I152" s="45">
        <f t="shared" si="6"/>
        <v>2.4592458245470628E-2</v>
      </c>
      <c r="J152" s="107">
        <v>148489405.06416112</v>
      </c>
      <c r="K152" s="53">
        <f>I152*(J152+Variables!$C$24*Variables!$C$16)</f>
        <v>3842619.9657387813</v>
      </c>
      <c r="L152" s="105">
        <f>(G152*Variables!$C$26+D152*Variables!$C$29)*Variables!$C$16</f>
        <v>4929550.4743797947</v>
      </c>
    </row>
    <row r="153" spans="1:12" x14ac:dyDescent="0.25">
      <c r="A153" s="8">
        <v>10</v>
      </c>
      <c r="B153" t="s">
        <v>37</v>
      </c>
      <c r="C153">
        <v>2026</v>
      </c>
      <c r="D153" s="13">
        <f>INDEX(Population!$C$3:$U$22,MATCH('Cost Calculations'!B153,Population!$B$3:$B$22,0),MATCH(C153,Population!$C$2:$U$2,0))</f>
        <v>326345.05855724926</v>
      </c>
      <c r="E153" s="108" t="str">
        <f t="shared" si="7"/>
        <v>Medium</v>
      </c>
      <c r="F153" s="1"/>
      <c r="G153" s="44">
        <f>D153*Variables!$C$21</f>
        <v>2.9371055270152433</v>
      </c>
      <c r="H153" s="45">
        <f t="shared" ref="H153:H216" si="8">H133+I133</f>
        <v>2.893700026616004</v>
      </c>
      <c r="I153" s="45">
        <f t="shared" ref="I153:I216" si="9">G153-H153</f>
        <v>4.3405500399239294E-2</v>
      </c>
      <c r="J153" s="106">
        <v>242734319.94362226</v>
      </c>
      <c r="K153" s="53">
        <f>I153*(J153+Variables!$C$24*Variables!$C$16)</f>
        <v>10872942.491457589</v>
      </c>
      <c r="L153" s="105">
        <f>(G153*Variables!$C$26+D153*Variables!$C$29)*Variables!$C$16</f>
        <v>8700618.8217547536</v>
      </c>
    </row>
    <row r="154" spans="1:12" x14ac:dyDescent="0.25">
      <c r="A154" s="8">
        <v>11</v>
      </c>
      <c r="B154" t="s">
        <v>38</v>
      </c>
      <c r="C154">
        <v>2026</v>
      </c>
      <c r="D154" s="13">
        <f>INDEX(Population!$C$3:$U$22,MATCH('Cost Calculations'!B154,Population!$B$3:$B$22,0),MATCH(C154,Population!$C$2:$U$2,0))</f>
        <v>216816.10722821183</v>
      </c>
      <c r="E154" s="108" t="str">
        <f t="shared" si="7"/>
        <v>Medium</v>
      </c>
      <c r="F154" s="1"/>
      <c r="G154" s="44">
        <f>D154*Variables!$C$21</f>
        <v>1.9513449650539065</v>
      </c>
      <c r="H154" s="45">
        <f t="shared" si="8"/>
        <v>1.9225073547329132</v>
      </c>
      <c r="I154" s="45">
        <f t="shared" si="9"/>
        <v>2.8837610320993301E-2</v>
      </c>
      <c r="J154" s="107">
        <v>148489405.06416112</v>
      </c>
      <c r="K154" s="53">
        <f>I154*(J154+Variables!$C$24*Variables!$C$16)</f>
        <v>4505933.3262892757</v>
      </c>
      <c r="L154" s="105">
        <f>(G154*Variables!$C$26+D154*Variables!$C$29)*Variables!$C$16</f>
        <v>5780489.8647743678</v>
      </c>
    </row>
    <row r="155" spans="1:12" x14ac:dyDescent="0.25">
      <c r="A155" s="8">
        <v>12</v>
      </c>
      <c r="B155" t="s">
        <v>39</v>
      </c>
      <c r="C155">
        <v>2026</v>
      </c>
      <c r="D155" s="13">
        <f>INDEX(Population!$C$3:$U$22,MATCH('Cost Calculations'!B155,Population!$B$3:$B$22,0),MATCH(C155,Population!$C$2:$U$2,0))</f>
        <v>221175.29075913774</v>
      </c>
      <c r="E155" s="108" t="str">
        <f t="shared" si="7"/>
        <v>Medium</v>
      </c>
      <c r="F155" s="1"/>
      <c r="G155" s="44">
        <f>D155*Variables!$C$21</f>
        <v>1.9905776168322398</v>
      </c>
      <c r="H155" s="45">
        <f t="shared" si="8"/>
        <v>2.0838130428269999</v>
      </c>
      <c r="I155" s="45">
        <v>0</v>
      </c>
      <c r="J155" s="106">
        <v>32000000</v>
      </c>
      <c r="K155" s="53">
        <f>I155*(J155+Variables!$C$24*Variables!$C$16)</f>
        <v>0</v>
      </c>
      <c r="L155" s="105">
        <f>(G155*Variables!$C$26+D155*Variables!$C$29)*Variables!$C$16</f>
        <v>5896709.1648132065</v>
      </c>
    </row>
    <row r="156" spans="1:12" x14ac:dyDescent="0.25">
      <c r="A156" s="8">
        <v>13</v>
      </c>
      <c r="B156" t="s">
        <v>40</v>
      </c>
      <c r="C156">
        <v>2026</v>
      </c>
      <c r="D156" s="13">
        <f>INDEX(Population!$C$3:$U$22,MATCH('Cost Calculations'!B156,Population!$B$3:$B$22,0),MATCH(C156,Population!$C$2:$U$2,0))</f>
        <v>76266.619577377787</v>
      </c>
      <c r="E156" s="108" t="str">
        <f t="shared" si="7"/>
        <v>Small</v>
      </c>
      <c r="F156" s="1"/>
      <c r="G156" s="44">
        <f>D156*Variables!$C$21</f>
        <v>0.68639957619640013</v>
      </c>
      <c r="H156" s="45">
        <f t="shared" si="8"/>
        <v>0.67625574009497558</v>
      </c>
      <c r="I156" s="45">
        <f t="shared" si="9"/>
        <v>1.0143836101424553E-2</v>
      </c>
      <c r="J156" s="107">
        <v>148489405.06416112</v>
      </c>
      <c r="K156" s="53">
        <f>I156*(J156+Variables!$C$24*Variables!$C$16)</f>
        <v>1584994.340274822</v>
      </c>
      <c r="L156" s="105">
        <f>(G156*Variables!$C$26+D156*Variables!$C$29)*Variables!$C$16</f>
        <v>2033328.737073971</v>
      </c>
    </row>
    <row r="157" spans="1:12" x14ac:dyDescent="0.25">
      <c r="A157" s="8">
        <v>14</v>
      </c>
      <c r="B157" t="s">
        <v>41</v>
      </c>
      <c r="C157">
        <v>2026</v>
      </c>
      <c r="D157" s="13">
        <f>INDEX(Population!$C$3:$U$22,MATCH('Cost Calculations'!B157,Population!$B$3:$B$22,0),MATCH(C157,Population!$C$2:$U$2,0))</f>
        <v>1776679.5389300419</v>
      </c>
      <c r="E157" s="108" t="str">
        <f t="shared" si="7"/>
        <v>Large</v>
      </c>
      <c r="F157" s="1"/>
      <c r="G157" s="44">
        <f>D157*Variables!$C$21</f>
        <v>15.990115850370378</v>
      </c>
      <c r="H157" s="45">
        <f t="shared" si="8"/>
        <v>20.624841791765</v>
      </c>
      <c r="I157" s="45">
        <v>0</v>
      </c>
      <c r="J157" s="106">
        <v>108333333.33333333</v>
      </c>
      <c r="K157" s="53">
        <f>I157*(J157+Variables!$C$24*Variables!$C$16)</f>
        <v>0</v>
      </c>
      <c r="L157" s="105">
        <f>(G157*Variables!$C$26+D157*Variables!$C$29)*Variables!$C$16</f>
        <v>47367689.601249203</v>
      </c>
    </row>
    <row r="158" spans="1:12" x14ac:dyDescent="0.25">
      <c r="A158" s="8">
        <v>15</v>
      </c>
      <c r="B158" t="s">
        <v>42</v>
      </c>
      <c r="C158">
        <v>2026</v>
      </c>
      <c r="D158" s="13">
        <f>INDEX(Population!$C$3:$U$22,MATCH('Cost Calculations'!B158,Population!$B$3:$B$22,0),MATCH(C158,Population!$C$2:$U$2,0))</f>
        <v>91822.462700311778</v>
      </c>
      <c r="E158" s="108" t="str">
        <f t="shared" si="7"/>
        <v>Small</v>
      </c>
      <c r="F158" s="1"/>
      <c r="G158" s="44">
        <f>D158*Variables!$C$21</f>
        <v>0.826402164302806</v>
      </c>
      <c r="H158" s="45">
        <f t="shared" si="8"/>
        <v>1.688396291294</v>
      </c>
      <c r="I158" s="45">
        <v>0</v>
      </c>
      <c r="J158" s="107">
        <v>148489405.06416112</v>
      </c>
      <c r="K158" s="53">
        <f>I158*(J158+Variables!$C$24*Variables!$C$16)</f>
        <v>0</v>
      </c>
      <c r="L158" s="105">
        <f>(G158*Variables!$C$26+D158*Variables!$C$29)*Variables!$C$16</f>
        <v>2448059.8871701835</v>
      </c>
    </row>
    <row r="159" spans="1:12" x14ac:dyDescent="0.25">
      <c r="A159" s="8">
        <v>16</v>
      </c>
      <c r="B159" t="s">
        <v>43</v>
      </c>
      <c r="C159">
        <v>2026</v>
      </c>
      <c r="D159" s="13">
        <f>INDEX(Population!$C$3:$U$22,MATCH('Cost Calculations'!B159,Population!$B$3:$B$22,0),MATCH(C159,Population!$C$2:$U$2,0))</f>
        <v>95975.943024211796</v>
      </c>
      <c r="E159" s="108" t="str">
        <f t="shared" si="7"/>
        <v>Small</v>
      </c>
      <c r="F159" s="1"/>
      <c r="G159" s="44">
        <f>D159*Variables!$C$21</f>
        <v>0.86378348721790621</v>
      </c>
      <c r="H159" s="45">
        <f t="shared" si="8"/>
        <v>3.838561813059</v>
      </c>
      <c r="I159" s="45">
        <v>0</v>
      </c>
      <c r="J159" s="107">
        <v>148489405.06416112</v>
      </c>
      <c r="K159" s="53">
        <f>I159*(J159+Variables!$C$24*Variables!$C$16)</f>
        <v>0</v>
      </c>
      <c r="L159" s="105">
        <f>(G159*Variables!$C$26+D159*Variables!$C$29)*Variables!$C$16</f>
        <v>2558794.9761023577</v>
      </c>
    </row>
    <row r="160" spans="1:12" x14ac:dyDescent="0.25">
      <c r="A160" s="8">
        <v>17</v>
      </c>
      <c r="B160" t="s">
        <v>44</v>
      </c>
      <c r="C160">
        <v>2026</v>
      </c>
      <c r="D160" s="13">
        <f>INDEX(Population!$C$3:$U$22,MATCH('Cost Calculations'!B160,Population!$B$3:$B$22,0),MATCH(C160,Population!$C$2:$U$2,0))</f>
        <v>132164.92639200028</v>
      </c>
      <c r="E160" s="108" t="str">
        <f t="shared" si="7"/>
        <v>Medium</v>
      </c>
      <c r="F160" s="1"/>
      <c r="G160" s="44">
        <f>D160*Variables!$C$21</f>
        <v>1.1894843375280026</v>
      </c>
      <c r="H160" s="45">
        <f t="shared" si="8"/>
        <v>1.866970792936</v>
      </c>
      <c r="I160" s="45">
        <v>0</v>
      </c>
      <c r="J160" s="106">
        <v>126750000</v>
      </c>
      <c r="K160" s="53">
        <f>I160*(J160+Variables!$C$24*Variables!$C$16)</f>
        <v>0</v>
      </c>
      <c r="L160" s="105">
        <f>(G160*Variables!$C$26+D160*Variables!$C$29)*Variables!$C$16</f>
        <v>3523622.0558257494</v>
      </c>
    </row>
    <row r="161" spans="1:12" x14ac:dyDescent="0.25">
      <c r="A161" s="8">
        <v>18</v>
      </c>
      <c r="B161" t="s">
        <v>45</v>
      </c>
      <c r="C161">
        <v>2026</v>
      </c>
      <c r="D161" s="13">
        <f>INDEX(Population!$C$3:$U$22,MATCH('Cost Calculations'!B161,Population!$B$3:$B$22,0),MATCH(C161,Population!$C$2:$U$2,0))</f>
        <v>125180.87139896554</v>
      </c>
      <c r="E161" s="108" t="str">
        <f t="shared" si="7"/>
        <v>Medium</v>
      </c>
      <c r="F161" s="1"/>
      <c r="G161" s="44">
        <f>D161*Variables!$C$21</f>
        <v>1.1266278425906899</v>
      </c>
      <c r="H161" s="45">
        <f t="shared" si="8"/>
        <v>2.4912131370320001</v>
      </c>
      <c r="I161" s="45">
        <v>0</v>
      </c>
      <c r="J161" s="107">
        <v>148489405.06416112</v>
      </c>
      <c r="K161" s="53">
        <f>I161*(J161+Variables!$C$24*Variables!$C$16)</f>
        <v>0</v>
      </c>
      <c r="L161" s="105">
        <f>(G161*Variables!$C$26+D161*Variables!$C$29)*Variables!$C$16</f>
        <v>3337421.5948988735</v>
      </c>
    </row>
    <row r="162" spans="1:12" x14ac:dyDescent="0.25">
      <c r="A162" s="8">
        <v>19</v>
      </c>
      <c r="B162" t="s">
        <v>46</v>
      </c>
      <c r="C162">
        <v>2026</v>
      </c>
      <c r="D162" s="13">
        <f>INDEX(Population!$C$3:$U$22,MATCH('Cost Calculations'!B162,Population!$B$3:$B$22,0),MATCH(C162,Population!$C$2:$U$2,0))</f>
        <v>97029.094173955134</v>
      </c>
      <c r="E162" s="108" t="str">
        <f t="shared" si="7"/>
        <v>Small</v>
      </c>
      <c r="F162" s="1"/>
      <c r="G162" s="44">
        <f>D162*Variables!$C$21</f>
        <v>0.87326184756559622</v>
      </c>
      <c r="H162" s="45">
        <f t="shared" si="8"/>
        <v>1.69330868166</v>
      </c>
      <c r="I162" s="45">
        <v>0</v>
      </c>
      <c r="J162" s="107">
        <v>148489405.06416112</v>
      </c>
      <c r="K162" s="53">
        <f>I162*(J162+Variables!$C$24*Variables!$C$16)</f>
        <v>0</v>
      </c>
      <c r="L162" s="105">
        <f>(G162*Variables!$C$26+D162*Variables!$C$29)*Variables!$C$16</f>
        <v>2586872.8233849816</v>
      </c>
    </row>
    <row r="163" spans="1:12" x14ac:dyDescent="0.25">
      <c r="A163" s="8">
        <v>20</v>
      </c>
      <c r="B163" t="s">
        <v>47</v>
      </c>
      <c r="C163">
        <v>2026</v>
      </c>
      <c r="D163" s="13">
        <f>INDEX(Population!$C$3:$U$22,MATCH('Cost Calculations'!B163,Population!$B$3:$B$22,0),MATCH(C163,Population!$C$2:$U$2,0))</f>
        <v>54345.062838217411</v>
      </c>
      <c r="E163" s="108" t="str">
        <f t="shared" si="7"/>
        <v>Small</v>
      </c>
      <c r="F163" s="1"/>
      <c r="G163" s="44">
        <f>D163*Variables!$C$21</f>
        <v>0.48910556554395673</v>
      </c>
      <c r="H163" s="45">
        <f t="shared" si="8"/>
        <v>1.403877150594</v>
      </c>
      <c r="I163" s="45">
        <v>0</v>
      </c>
      <c r="J163" s="107">
        <v>148489405.06416112</v>
      </c>
      <c r="K163" s="53">
        <f>I163*(J163+Variables!$C$24*Variables!$C$16)</f>
        <v>0</v>
      </c>
      <c r="L163" s="105">
        <f>(G163*Variables!$C$26+D163*Variables!$C$29)*Variables!$C$16</f>
        <v>1448882.5989583409</v>
      </c>
    </row>
    <row r="164" spans="1:12" x14ac:dyDescent="0.25">
      <c r="A164" s="8">
        <v>1</v>
      </c>
      <c r="B164" t="s">
        <v>28</v>
      </c>
      <c r="C164">
        <v>2027</v>
      </c>
      <c r="D164" s="13">
        <f>INDEX(Population!$C$3:$U$22,MATCH('Cost Calculations'!B164,Population!$B$3:$B$22,0),MATCH(C164,Population!$C$2:$U$2,0))</f>
        <v>298552.91705292952</v>
      </c>
      <c r="E164" s="108" t="str">
        <f t="shared" si="7"/>
        <v>Medium</v>
      </c>
      <c r="F164" s="1"/>
      <c r="G164" s="44">
        <f>D164*Variables!$C$21</f>
        <v>2.6869762534763657</v>
      </c>
      <c r="H164" s="45">
        <f t="shared" si="8"/>
        <v>2.6472672448043015</v>
      </c>
      <c r="I164" s="45">
        <f t="shared" si="9"/>
        <v>3.9709008672064172E-2</v>
      </c>
      <c r="J164" s="106">
        <v>112666666.66666667</v>
      </c>
      <c r="K164" s="53">
        <f>I164*(J164+Variables!$C$24*Variables!$C$16)</f>
        <v>4782125.269252168</v>
      </c>
      <c r="L164" s="105">
        <f>(G164*Variables!$C$26+D164*Variables!$C$29)*Variables!$C$16</f>
        <v>7959658.2245930349</v>
      </c>
    </row>
    <row r="165" spans="1:12" x14ac:dyDescent="0.25">
      <c r="A165" s="8">
        <v>2</v>
      </c>
      <c r="B165" t="s">
        <v>29</v>
      </c>
      <c r="C165">
        <v>2027</v>
      </c>
      <c r="D165" s="13">
        <f>INDEX(Population!$C$3:$U$22,MATCH('Cost Calculations'!B165,Population!$B$3:$B$22,0),MATCH(C165,Population!$C$2:$U$2,0))</f>
        <v>948732.35262033308</v>
      </c>
      <c r="E165" s="108" t="str">
        <f t="shared" si="7"/>
        <v>Medium</v>
      </c>
      <c r="F165" s="1"/>
      <c r="G165" s="44">
        <f>D165*Variables!$C$21</f>
        <v>8.5385911735829971</v>
      </c>
      <c r="H165" s="45">
        <f t="shared" si="8"/>
        <v>8.4124050971261077</v>
      </c>
      <c r="I165" s="45">
        <f t="shared" si="9"/>
        <v>0.1261860764568894</v>
      </c>
      <c r="J165" s="106">
        <v>250000000</v>
      </c>
      <c r="K165" s="53">
        <f>I165*(J165+Variables!$C$24*Variables!$C$16)</f>
        <v>32526046.304640777</v>
      </c>
      <c r="L165" s="105">
        <f>(G165*Variables!$C$26+D165*Variables!$C$29)*Variables!$C$16</f>
        <v>25293959.101170447</v>
      </c>
    </row>
    <row r="166" spans="1:12" x14ac:dyDescent="0.25">
      <c r="A166" s="8">
        <v>3</v>
      </c>
      <c r="B166" t="s">
        <v>30</v>
      </c>
      <c r="C166">
        <v>2027</v>
      </c>
      <c r="D166" s="13">
        <f>INDEX(Population!$C$3:$U$22,MATCH('Cost Calculations'!B166,Population!$B$3:$B$22,0),MATCH(C166,Population!$C$2:$U$2,0))</f>
        <v>1058796.5326082502</v>
      </c>
      <c r="E166" s="108" t="str">
        <f t="shared" si="7"/>
        <v>Large</v>
      </c>
      <c r="F166" s="1"/>
      <c r="G166" s="44">
        <f>D166*Variables!$C$21</f>
        <v>9.5291687934742519</v>
      </c>
      <c r="H166" s="45">
        <f t="shared" si="8"/>
        <v>9.3883436388908894</v>
      </c>
      <c r="I166" s="45">
        <f t="shared" si="9"/>
        <v>0.14082515458336253</v>
      </c>
      <c r="J166" s="107">
        <v>148489405.06416112</v>
      </c>
      <c r="K166" s="53">
        <f>I166*(J166+Variables!$C$24*Variables!$C$16)</f>
        <v>22004207.358162105</v>
      </c>
      <c r="L166" s="105">
        <f>(G166*Variables!$C$26+D166*Variables!$C$29)*Variables!$C$16</f>
        <v>28228357.679894086</v>
      </c>
    </row>
    <row r="167" spans="1:12" x14ac:dyDescent="0.25">
      <c r="A167" s="8">
        <v>4</v>
      </c>
      <c r="B167" t="s">
        <v>31</v>
      </c>
      <c r="C167">
        <v>2027</v>
      </c>
      <c r="D167" s="13">
        <f>INDEX(Population!$C$3:$U$22,MATCH('Cost Calculations'!B167,Population!$B$3:$B$22,0),MATCH(C167,Population!$C$2:$U$2,0))</f>
        <v>78738.365325825376</v>
      </c>
      <c r="E167" s="108" t="str">
        <f t="shared" si="7"/>
        <v>Small</v>
      </c>
      <c r="F167" s="1"/>
      <c r="G167" s="44">
        <f>D167*Variables!$C$21</f>
        <v>0.70864528793242842</v>
      </c>
      <c r="H167" s="45">
        <f t="shared" si="8"/>
        <v>0.69817269747037292</v>
      </c>
      <c r="I167" s="45">
        <f t="shared" si="9"/>
        <v>1.0472590462055509E-2</v>
      </c>
      <c r="J167" s="107">
        <v>148489405.06416112</v>
      </c>
      <c r="K167" s="53">
        <f>I167*(J167+Variables!$C$24*Variables!$C$16)</f>
        <v>1636362.8556698565</v>
      </c>
      <c r="L167" s="105">
        <f>(G167*Variables!$C$26+D167*Variables!$C$29)*Variables!$C$16</f>
        <v>2099227.44464629</v>
      </c>
    </row>
    <row r="168" spans="1:12" x14ac:dyDescent="0.25">
      <c r="A168" s="8">
        <v>5</v>
      </c>
      <c r="B168" t="s">
        <v>32</v>
      </c>
      <c r="C168">
        <v>2027</v>
      </c>
      <c r="D168" s="13">
        <f>INDEX(Population!$C$3:$U$22,MATCH('Cost Calculations'!B168,Population!$B$3:$B$22,0),MATCH(C168,Population!$C$2:$U$2,0))</f>
        <v>790162.91914242646</v>
      </c>
      <c r="E168" s="108" t="str">
        <f t="shared" si="7"/>
        <v>Medium</v>
      </c>
      <c r="F168" s="1"/>
      <c r="G168" s="44">
        <f>D168*Variables!$C$21</f>
        <v>7.111466272281838</v>
      </c>
      <c r="H168" s="45">
        <f t="shared" si="8"/>
        <v>7.1776520242890003</v>
      </c>
      <c r="I168" s="45">
        <f t="shared" si="9"/>
        <v>-6.6185752007162257E-2</v>
      </c>
      <c r="J168" s="106">
        <v>119387755.10204081</v>
      </c>
      <c r="K168" s="53">
        <f>I168*(J168+Variables!$C$24*Variables!$C$16)</f>
        <v>-8415539.3282752205</v>
      </c>
      <c r="L168" s="105">
        <f>(G168*Variables!$C$26+D168*Variables!$C$29)*Variables!$C$16</f>
        <v>21066371.885441743</v>
      </c>
    </row>
    <row r="169" spans="1:12" x14ac:dyDescent="0.25">
      <c r="A169" s="8">
        <v>6</v>
      </c>
      <c r="B169" t="s">
        <v>33</v>
      </c>
      <c r="C169">
        <v>2027</v>
      </c>
      <c r="D169" s="13">
        <f>INDEX(Population!$C$3:$U$22,MATCH('Cost Calculations'!B169,Population!$B$3:$B$22,0),MATCH(C169,Population!$C$2:$U$2,0))</f>
        <v>147351.10114381704</v>
      </c>
      <c r="E169" s="108" t="str">
        <f t="shared" si="7"/>
        <v>Medium</v>
      </c>
      <c r="F169" s="1"/>
      <c r="G169" s="44">
        <f>D169*Variables!$C$21</f>
        <v>1.3261599102943533</v>
      </c>
      <c r="H169" s="45">
        <f t="shared" si="8"/>
        <v>1.3065614879747325</v>
      </c>
      <c r="I169" s="45">
        <f t="shared" si="9"/>
        <v>1.9598422319620834E-2</v>
      </c>
      <c r="J169" s="106">
        <v>196043165.46762589</v>
      </c>
      <c r="K169" s="53">
        <f>I169*(J169+Variables!$C$24*Variables!$C$16)</f>
        <v>3994270.710051578</v>
      </c>
      <c r="L169" s="105">
        <f>(G169*Variables!$C$26+D169*Variables!$C$29)*Variables!$C$16</f>
        <v>3928497.5531298858</v>
      </c>
    </row>
    <row r="170" spans="1:12" x14ac:dyDescent="0.25">
      <c r="A170" s="8">
        <v>7</v>
      </c>
      <c r="B170" t="s">
        <v>34</v>
      </c>
      <c r="C170">
        <v>2027</v>
      </c>
      <c r="D170" s="13">
        <f>INDEX(Population!$C$3:$U$22,MATCH('Cost Calculations'!B170,Population!$B$3:$B$22,0),MATCH(C170,Population!$C$2:$U$2,0))</f>
        <v>61852.731033591495</v>
      </c>
      <c r="E170" s="108" t="str">
        <f t="shared" si="7"/>
        <v>Small</v>
      </c>
      <c r="F170" s="1"/>
      <c r="G170" s="44">
        <f>D170*Variables!$C$21</f>
        <v>0.55667457930232345</v>
      </c>
      <c r="H170" s="45">
        <f t="shared" si="8"/>
        <v>0.76316986217600002</v>
      </c>
      <c r="I170" s="45">
        <v>0</v>
      </c>
      <c r="J170" s="107">
        <v>148489405.06416112</v>
      </c>
      <c r="K170" s="53">
        <f>I170*(J170+Variables!$C$24*Variables!$C$16)</f>
        <v>0</v>
      </c>
      <c r="L170" s="105">
        <f>(G170*Variables!$C$26+D170*Variables!$C$29)*Variables!$C$16</f>
        <v>1649043.004318676</v>
      </c>
    </row>
    <row r="171" spans="1:12" x14ac:dyDescent="0.25">
      <c r="A171" s="8">
        <v>8</v>
      </c>
      <c r="B171" t="s">
        <v>35</v>
      </c>
      <c r="C171">
        <v>2027</v>
      </c>
      <c r="D171" s="13">
        <f>INDEX(Population!$C$3:$U$22,MATCH('Cost Calculations'!B171,Population!$B$3:$B$22,0),MATCH(C171,Population!$C$2:$U$2,0))</f>
        <v>64999.565145360539</v>
      </c>
      <c r="E171" s="108" t="str">
        <f t="shared" si="7"/>
        <v>Small</v>
      </c>
      <c r="F171" s="1"/>
      <c r="G171" s="44">
        <f>D171*Variables!$C$21</f>
        <v>0.58499608630824484</v>
      </c>
      <c r="H171" s="45">
        <f t="shared" si="8"/>
        <v>0.57635082394900972</v>
      </c>
      <c r="I171" s="45">
        <f t="shared" si="9"/>
        <v>8.6452623592351285E-3</v>
      </c>
      <c r="J171" s="107">
        <v>148489405.06416112</v>
      </c>
      <c r="K171" s="53">
        <f>I171*(J171+Variables!$C$24*Variables!$C$16)</f>
        <v>1350839.2458799973</v>
      </c>
      <c r="L171" s="105">
        <f>(G171*Variables!$C$26+D171*Variables!$C$29)*Variables!$C$16</f>
        <v>1732940.1045929692</v>
      </c>
    </row>
    <row r="172" spans="1:12" x14ac:dyDescent="0.25">
      <c r="A172" s="8">
        <v>9</v>
      </c>
      <c r="B172" t="s">
        <v>36</v>
      </c>
      <c r="C172">
        <v>2027</v>
      </c>
      <c r="D172" s="13">
        <f>INDEX(Population!$C$3:$U$22,MATCH('Cost Calculations'!B172,Population!$B$3:$B$22,0),MATCH(C172,Population!$C$2:$U$2,0))</f>
        <v>187672.33552548703</v>
      </c>
      <c r="E172" s="108" t="str">
        <f t="shared" si="7"/>
        <v>Medium</v>
      </c>
      <c r="F172" s="1"/>
      <c r="G172" s="44">
        <f>D172*Variables!$C$21</f>
        <v>1.6890510197293833</v>
      </c>
      <c r="H172" s="45">
        <f t="shared" si="8"/>
        <v>1.6640896746102298</v>
      </c>
      <c r="I172" s="45">
        <f t="shared" si="9"/>
        <v>2.4961345119153489E-2</v>
      </c>
      <c r="J172" s="107">
        <v>148489405.06416112</v>
      </c>
      <c r="K172" s="53">
        <f>I172*(J172+Variables!$C$24*Variables!$C$16)</f>
        <v>3900259.2652249881</v>
      </c>
      <c r="L172" s="105">
        <f>(G172*Variables!$C$26+D172*Variables!$C$29)*Variables!$C$16</f>
        <v>5003493.7314954912</v>
      </c>
    </row>
    <row r="173" spans="1:12" x14ac:dyDescent="0.25">
      <c r="A173" s="8">
        <v>10</v>
      </c>
      <c r="B173" t="s">
        <v>37</v>
      </c>
      <c r="C173">
        <v>2027</v>
      </c>
      <c r="D173" s="13">
        <f>INDEX(Population!$C$3:$U$22,MATCH('Cost Calculations'!B173,Population!$B$3:$B$22,0),MATCH(C173,Population!$C$2:$U$2,0))</f>
        <v>331240.23443560791</v>
      </c>
      <c r="E173" s="108" t="str">
        <f t="shared" si="7"/>
        <v>Medium</v>
      </c>
      <c r="F173" s="1"/>
      <c r="G173" s="44">
        <f>D173*Variables!$C$21</f>
        <v>2.9811621099204713</v>
      </c>
      <c r="H173" s="45">
        <f t="shared" si="8"/>
        <v>2.9371055270152433</v>
      </c>
      <c r="I173" s="45">
        <f t="shared" si="9"/>
        <v>4.4056582905227959E-2</v>
      </c>
      <c r="J173" s="106">
        <v>242734319.94362226</v>
      </c>
      <c r="K173" s="53">
        <f>I173*(J173+Variables!$C$24*Variables!$C$16)</f>
        <v>11036036.628829472</v>
      </c>
      <c r="L173" s="105">
        <f>(G173*Variables!$C$26+D173*Variables!$C$29)*Variables!$C$16</f>
        <v>8831128.1040810719</v>
      </c>
    </row>
    <row r="174" spans="1:12" x14ac:dyDescent="0.25">
      <c r="A174" s="8">
        <v>11</v>
      </c>
      <c r="B174" t="s">
        <v>38</v>
      </c>
      <c r="C174">
        <v>2027</v>
      </c>
      <c r="D174" s="13">
        <f>INDEX(Population!$C$3:$U$22,MATCH('Cost Calculations'!B174,Population!$B$3:$B$22,0),MATCH(C174,Population!$C$2:$U$2,0))</f>
        <v>220068.34883663498</v>
      </c>
      <c r="E174" s="108" t="str">
        <f t="shared" si="7"/>
        <v>Medium</v>
      </c>
      <c r="F174" s="1"/>
      <c r="G174" s="44">
        <f>D174*Variables!$C$21</f>
        <v>1.9806151395297149</v>
      </c>
      <c r="H174" s="45">
        <f t="shared" si="8"/>
        <v>1.9513449650539065</v>
      </c>
      <c r="I174" s="45">
        <f t="shared" si="9"/>
        <v>2.9270174475808375E-2</v>
      </c>
      <c r="J174" s="107">
        <v>148489405.06416112</v>
      </c>
      <c r="K174" s="53">
        <f>I174*(J174+Variables!$C$24*Variables!$C$16)</f>
        <v>4573522.3261836423</v>
      </c>
      <c r="L174" s="105">
        <f>(G174*Variables!$C$26+D174*Variables!$C$29)*Variables!$C$16</f>
        <v>5867197.2127459822</v>
      </c>
    </row>
    <row r="175" spans="1:12" x14ac:dyDescent="0.25">
      <c r="A175" s="8">
        <v>12</v>
      </c>
      <c r="B175" t="s">
        <v>39</v>
      </c>
      <c r="C175">
        <v>2027</v>
      </c>
      <c r="D175" s="13">
        <f>INDEX(Population!$C$3:$U$22,MATCH('Cost Calculations'!B175,Population!$B$3:$B$22,0),MATCH(C175,Population!$C$2:$U$2,0))</f>
        <v>224492.92012052477</v>
      </c>
      <c r="E175" s="108" t="str">
        <f t="shared" si="7"/>
        <v>Medium</v>
      </c>
      <c r="F175" s="1"/>
      <c r="G175" s="44">
        <f>D175*Variables!$C$21</f>
        <v>2.0204362810847227</v>
      </c>
      <c r="H175" s="45">
        <f t="shared" si="8"/>
        <v>2.0838130428269999</v>
      </c>
      <c r="I175" s="45">
        <v>0</v>
      </c>
      <c r="J175" s="106">
        <v>32000000</v>
      </c>
      <c r="K175" s="53">
        <f>I175*(J175+Variables!$C$24*Variables!$C$16)</f>
        <v>0</v>
      </c>
      <c r="L175" s="105">
        <f>(G175*Variables!$C$26+D175*Variables!$C$29)*Variables!$C$16</f>
        <v>5985159.8022854021</v>
      </c>
    </row>
    <row r="176" spans="1:12" x14ac:dyDescent="0.25">
      <c r="A176" s="8">
        <v>13</v>
      </c>
      <c r="B176" t="s">
        <v>40</v>
      </c>
      <c r="C176">
        <v>2027</v>
      </c>
      <c r="D176" s="13">
        <f>INDEX(Population!$C$3:$U$22,MATCH('Cost Calculations'!B176,Population!$B$3:$B$22,0),MATCH(C176,Population!$C$2:$U$2,0))</f>
        <v>77410.61887103843</v>
      </c>
      <c r="E176" s="108" t="str">
        <f t="shared" si="7"/>
        <v>Small</v>
      </c>
      <c r="F176" s="1"/>
      <c r="G176" s="44">
        <f>D176*Variables!$C$21</f>
        <v>0.69669556983934589</v>
      </c>
      <c r="H176" s="45">
        <f t="shared" si="8"/>
        <v>0.68639957619640013</v>
      </c>
      <c r="I176" s="45">
        <f t="shared" si="9"/>
        <v>1.0295993642945755E-2</v>
      </c>
      <c r="J176" s="107">
        <v>148489405.06416112</v>
      </c>
      <c r="K176" s="53">
        <f>I176*(J176+Variables!$C$24*Variables!$C$16)</f>
        <v>1608769.2553789185</v>
      </c>
      <c r="L176" s="105">
        <f>(G176*Variables!$C$26+D176*Variables!$C$29)*Variables!$C$16</f>
        <v>2063828.66813008</v>
      </c>
    </row>
    <row r="177" spans="1:12" x14ac:dyDescent="0.25">
      <c r="A177" s="8">
        <v>14</v>
      </c>
      <c r="B177" t="s">
        <v>41</v>
      </c>
      <c r="C177">
        <v>2027</v>
      </c>
      <c r="D177" s="13">
        <f>INDEX(Population!$C$3:$U$22,MATCH('Cost Calculations'!B177,Population!$B$3:$B$22,0),MATCH(C177,Population!$C$2:$U$2,0))</f>
        <v>1803329.7320139923</v>
      </c>
      <c r="E177" s="108" t="str">
        <f t="shared" si="7"/>
        <v>Large</v>
      </c>
      <c r="F177" s="1"/>
      <c r="G177" s="44">
        <f>D177*Variables!$C$21</f>
        <v>16.22996758812593</v>
      </c>
      <c r="H177" s="45">
        <f t="shared" si="8"/>
        <v>20.624841791765</v>
      </c>
      <c r="I177" s="45">
        <v>0</v>
      </c>
      <c r="J177" s="106">
        <v>108333333.33333333</v>
      </c>
      <c r="K177" s="53">
        <f>I177*(J177+Variables!$C$24*Variables!$C$16)</f>
        <v>0</v>
      </c>
      <c r="L177" s="105">
        <f>(G177*Variables!$C$26+D177*Variables!$C$29)*Variables!$C$16</f>
        <v>48078204.945267946</v>
      </c>
    </row>
    <row r="178" spans="1:12" x14ac:dyDescent="0.25">
      <c r="A178" s="8">
        <v>15</v>
      </c>
      <c r="B178" t="s">
        <v>42</v>
      </c>
      <c r="C178">
        <v>2027</v>
      </c>
      <c r="D178" s="13">
        <f>INDEX(Population!$C$3:$U$22,MATCH('Cost Calculations'!B178,Population!$B$3:$B$22,0),MATCH(C178,Population!$C$2:$U$2,0))</f>
        <v>93199.799640816433</v>
      </c>
      <c r="E178" s="108" t="str">
        <f t="shared" si="7"/>
        <v>Small</v>
      </c>
      <c r="F178" s="1"/>
      <c r="G178" s="44">
        <f>D178*Variables!$C$21</f>
        <v>0.8387981967673479</v>
      </c>
      <c r="H178" s="45">
        <f t="shared" si="8"/>
        <v>1.688396291294</v>
      </c>
      <c r="I178" s="45">
        <v>0</v>
      </c>
      <c r="J178" s="107">
        <v>148489405.06416112</v>
      </c>
      <c r="K178" s="53">
        <f>I178*(J178+Variables!$C$24*Variables!$C$16)</f>
        <v>0</v>
      </c>
      <c r="L178" s="105">
        <f>(G178*Variables!$C$26+D178*Variables!$C$29)*Variables!$C$16</f>
        <v>2484780.7854777356</v>
      </c>
    </row>
    <row r="179" spans="1:12" x14ac:dyDescent="0.25">
      <c r="A179" s="8">
        <v>16</v>
      </c>
      <c r="B179" t="s">
        <v>43</v>
      </c>
      <c r="C179">
        <v>2027</v>
      </c>
      <c r="D179" s="13">
        <f>INDEX(Population!$C$3:$U$22,MATCH('Cost Calculations'!B179,Population!$B$3:$B$22,0),MATCH(C179,Population!$C$2:$U$2,0))</f>
        <v>97415.582169574962</v>
      </c>
      <c r="E179" s="108" t="str">
        <f t="shared" si="7"/>
        <v>Small</v>
      </c>
      <c r="F179" s="1"/>
      <c r="G179" s="44">
        <f>D179*Variables!$C$21</f>
        <v>0.87674023952617464</v>
      </c>
      <c r="H179" s="45">
        <f t="shared" si="8"/>
        <v>3.838561813059</v>
      </c>
      <c r="I179" s="45">
        <v>0</v>
      </c>
      <c r="J179" s="107">
        <v>148489405.06416112</v>
      </c>
      <c r="K179" s="53">
        <f>I179*(J179+Variables!$C$24*Variables!$C$16)</f>
        <v>0</v>
      </c>
      <c r="L179" s="105">
        <f>(G179*Variables!$C$26+D179*Variables!$C$29)*Variables!$C$16</f>
        <v>2597176.9007438924</v>
      </c>
    </row>
    <row r="180" spans="1:12" x14ac:dyDescent="0.25">
      <c r="A180" s="8">
        <v>17</v>
      </c>
      <c r="B180" t="s">
        <v>44</v>
      </c>
      <c r="C180">
        <v>2027</v>
      </c>
      <c r="D180" s="13">
        <f>INDEX(Population!$C$3:$U$22,MATCH('Cost Calculations'!B180,Population!$B$3:$B$22,0),MATCH(C180,Population!$C$2:$U$2,0))</f>
        <v>134147.40028788027</v>
      </c>
      <c r="E180" s="108" t="str">
        <f t="shared" si="7"/>
        <v>Medium</v>
      </c>
      <c r="F180" s="1"/>
      <c r="G180" s="44">
        <f>D180*Variables!$C$21</f>
        <v>1.2073266025909224</v>
      </c>
      <c r="H180" s="45">
        <f t="shared" si="8"/>
        <v>1.866970792936</v>
      </c>
      <c r="I180" s="45">
        <v>0</v>
      </c>
      <c r="J180" s="106">
        <v>126750000</v>
      </c>
      <c r="K180" s="53">
        <f>I180*(J180+Variables!$C$24*Variables!$C$16)</f>
        <v>0</v>
      </c>
      <c r="L180" s="105">
        <f>(G180*Variables!$C$26+D180*Variables!$C$29)*Variables!$C$16</f>
        <v>3576476.3866631351</v>
      </c>
    </row>
    <row r="181" spans="1:12" x14ac:dyDescent="0.25">
      <c r="A181" s="8">
        <v>18</v>
      </c>
      <c r="B181" t="s">
        <v>45</v>
      </c>
      <c r="C181">
        <v>2027</v>
      </c>
      <c r="D181" s="13">
        <f>INDEX(Population!$C$3:$U$22,MATCH('Cost Calculations'!B181,Population!$B$3:$B$22,0),MATCH(C181,Population!$C$2:$U$2,0))</f>
        <v>127058.58446995</v>
      </c>
      <c r="E181" s="108" t="str">
        <f t="shared" si="7"/>
        <v>Medium</v>
      </c>
      <c r="F181" s="1"/>
      <c r="G181" s="44">
        <f>D181*Variables!$C$21</f>
        <v>1.1435272602295501</v>
      </c>
      <c r="H181" s="45">
        <f t="shared" si="8"/>
        <v>2.4912131370320001</v>
      </c>
      <c r="I181" s="45">
        <v>0</v>
      </c>
      <c r="J181" s="107">
        <v>148489405.06416112</v>
      </c>
      <c r="K181" s="53">
        <f>I181*(J181+Variables!$C$24*Variables!$C$16)</f>
        <v>0</v>
      </c>
      <c r="L181" s="105">
        <f>(G181*Variables!$C$26+D181*Variables!$C$29)*Variables!$C$16</f>
        <v>3387482.9188223556</v>
      </c>
    </row>
    <row r="182" spans="1:12" x14ac:dyDescent="0.25">
      <c r="A182" s="8">
        <v>19</v>
      </c>
      <c r="B182" t="s">
        <v>46</v>
      </c>
      <c r="C182">
        <v>2027</v>
      </c>
      <c r="D182" s="13">
        <f>INDEX(Population!$C$3:$U$22,MATCH('Cost Calculations'!B182,Population!$B$3:$B$22,0),MATCH(C182,Population!$C$2:$U$2,0))</f>
        <v>98484.530586564448</v>
      </c>
      <c r="E182" s="108" t="str">
        <f t="shared" si="7"/>
        <v>Small</v>
      </c>
      <c r="F182" s="1"/>
      <c r="G182" s="44">
        <f>D182*Variables!$C$21</f>
        <v>0.88636077527908008</v>
      </c>
      <c r="H182" s="45">
        <f t="shared" si="8"/>
        <v>1.69330868166</v>
      </c>
      <c r="I182" s="45">
        <v>0</v>
      </c>
      <c r="J182" s="107">
        <v>148489405.06416112</v>
      </c>
      <c r="K182" s="53">
        <f>I182*(J182+Variables!$C$24*Variables!$C$16)</f>
        <v>0</v>
      </c>
      <c r="L182" s="105">
        <f>(G182*Variables!$C$26+D182*Variables!$C$29)*Variables!$C$16</f>
        <v>2625675.9157357565</v>
      </c>
    </row>
    <row r="183" spans="1:12" x14ac:dyDescent="0.25">
      <c r="A183" s="8">
        <v>20</v>
      </c>
      <c r="B183" t="s">
        <v>47</v>
      </c>
      <c r="C183">
        <v>2027</v>
      </c>
      <c r="D183" s="13">
        <f>INDEX(Population!$C$3:$U$22,MATCH('Cost Calculations'!B183,Population!$B$3:$B$22,0),MATCH(C183,Population!$C$2:$U$2,0))</f>
        <v>55160.238780790671</v>
      </c>
      <c r="E183" s="108" t="str">
        <f t="shared" si="7"/>
        <v>Small</v>
      </c>
      <c r="F183" s="1"/>
      <c r="G183" s="44">
        <f>D183*Variables!$C$21</f>
        <v>0.49644214902711603</v>
      </c>
      <c r="H183" s="45">
        <f t="shared" si="8"/>
        <v>1.403877150594</v>
      </c>
      <c r="I183" s="45">
        <v>0</v>
      </c>
      <c r="J183" s="107">
        <v>148489405.06416112</v>
      </c>
      <c r="K183" s="53">
        <f>I183*(J183+Variables!$C$24*Variables!$C$16)</f>
        <v>0</v>
      </c>
      <c r="L183" s="105">
        <f>(G183*Variables!$C$26+D183*Variables!$C$29)*Variables!$C$16</f>
        <v>1470615.8379427157</v>
      </c>
    </row>
    <row r="184" spans="1:12" x14ac:dyDescent="0.25">
      <c r="A184" s="8">
        <v>1</v>
      </c>
      <c r="B184" t="s">
        <v>28</v>
      </c>
      <c r="C184">
        <v>2028</v>
      </c>
      <c r="D184" s="13">
        <f>INDEX(Population!$C$3:$U$22,MATCH('Cost Calculations'!B184,Population!$B$3:$B$22,0),MATCH(C184,Population!$C$2:$U$2,0))</f>
        <v>303031.21080872341</v>
      </c>
      <c r="E184" s="108" t="str">
        <f t="shared" si="7"/>
        <v>Medium</v>
      </c>
      <c r="F184" s="1"/>
      <c r="G184" s="44">
        <f>D184*Variables!$C$21</f>
        <v>2.7272808972785105</v>
      </c>
      <c r="H184" s="45">
        <f t="shared" si="8"/>
        <v>2.6869762534763657</v>
      </c>
      <c r="I184" s="45">
        <f t="shared" si="9"/>
        <v>4.0304643802144824E-2</v>
      </c>
      <c r="J184" s="106">
        <v>112666666.66666667</v>
      </c>
      <c r="K184" s="53">
        <f>I184*(J184+Variables!$C$24*Variables!$C$16)</f>
        <v>4853857.1482909136</v>
      </c>
      <c r="L184" s="105">
        <f>(G184*Variables!$C$26+D184*Variables!$C$29)*Variables!$C$16</f>
        <v>8079053.0979619278</v>
      </c>
    </row>
    <row r="185" spans="1:12" x14ac:dyDescent="0.25">
      <c r="A185" s="8">
        <v>2</v>
      </c>
      <c r="B185" t="s">
        <v>29</v>
      </c>
      <c r="C185">
        <v>2028</v>
      </c>
      <c r="D185" s="13">
        <f>INDEX(Population!$C$3:$U$22,MATCH('Cost Calculations'!B185,Population!$B$3:$B$22,0),MATCH(C185,Population!$C$2:$U$2,0))</f>
        <v>962963.33790963795</v>
      </c>
      <c r="E185" s="108" t="str">
        <f t="shared" si="7"/>
        <v>Medium</v>
      </c>
      <c r="F185" s="1"/>
      <c r="G185" s="44">
        <f>D185*Variables!$C$21</f>
        <v>8.666670041186741</v>
      </c>
      <c r="H185" s="45">
        <f t="shared" si="8"/>
        <v>8.5385911735829971</v>
      </c>
      <c r="I185" s="45">
        <f t="shared" si="9"/>
        <v>0.12807886760374387</v>
      </c>
      <c r="J185" s="106">
        <v>250000000</v>
      </c>
      <c r="K185" s="53">
        <f>I185*(J185+Variables!$C$24*Variables!$C$16)</f>
        <v>33013936.999210682</v>
      </c>
      <c r="L185" s="105">
        <f>(G185*Variables!$C$26+D185*Variables!$C$29)*Variables!$C$16</f>
        <v>25673368.487688001</v>
      </c>
    </row>
    <row r="186" spans="1:12" x14ac:dyDescent="0.25">
      <c r="A186" s="8">
        <v>3</v>
      </c>
      <c r="B186" t="s">
        <v>30</v>
      </c>
      <c r="C186">
        <v>2028</v>
      </c>
      <c r="D186" s="13">
        <f>INDEX(Population!$C$3:$U$22,MATCH('Cost Calculations'!B186,Population!$B$3:$B$22,0),MATCH(C186,Population!$C$2:$U$2,0))</f>
        <v>1074678.4805973738</v>
      </c>
      <c r="E186" s="108" t="str">
        <f t="shared" si="7"/>
        <v>Large</v>
      </c>
      <c r="F186" s="1"/>
      <c r="G186" s="44">
        <f>D186*Variables!$C$21</f>
        <v>9.6721063253763653</v>
      </c>
      <c r="H186" s="45">
        <f t="shared" si="8"/>
        <v>9.5291687934742519</v>
      </c>
      <c r="I186" s="45">
        <f t="shared" si="9"/>
        <v>0.14293753190211334</v>
      </c>
      <c r="J186" s="107">
        <v>148489405.06416112</v>
      </c>
      <c r="K186" s="53">
        <f>I186*(J186+Variables!$C$24*Variables!$C$16)</f>
        <v>22334270.468534593</v>
      </c>
      <c r="L186" s="105">
        <f>(G186*Variables!$C$26+D186*Variables!$C$29)*Variables!$C$16</f>
        <v>28651783.045092497</v>
      </c>
    </row>
    <row r="187" spans="1:12" x14ac:dyDescent="0.25">
      <c r="A187" s="8">
        <v>4</v>
      </c>
      <c r="B187" t="s">
        <v>31</v>
      </c>
      <c r="C187">
        <v>2028</v>
      </c>
      <c r="D187" s="13">
        <f>INDEX(Population!$C$3:$U$22,MATCH('Cost Calculations'!B187,Population!$B$3:$B$22,0),MATCH(C187,Population!$C$2:$U$2,0))</f>
        <v>79919.440805712744</v>
      </c>
      <c r="E187" s="108" t="str">
        <f t="shared" si="7"/>
        <v>Small</v>
      </c>
      <c r="F187" s="1"/>
      <c r="G187" s="44">
        <f>D187*Variables!$C$21</f>
        <v>0.71927496725141471</v>
      </c>
      <c r="H187" s="45">
        <f t="shared" si="8"/>
        <v>0.70864528793242842</v>
      </c>
      <c r="I187" s="45">
        <f t="shared" si="9"/>
        <v>1.0629679318986285E-2</v>
      </c>
      <c r="J187" s="107">
        <v>148489405.06416112</v>
      </c>
      <c r="K187" s="53">
        <f>I187*(J187+Variables!$C$24*Variables!$C$16)</f>
        <v>1660908.2985048955</v>
      </c>
      <c r="L187" s="105">
        <f>(G187*Variables!$C$26+D187*Variables!$C$29)*Variables!$C$16</f>
        <v>2130715.8563159835</v>
      </c>
    </row>
    <row r="188" spans="1:12" x14ac:dyDescent="0.25">
      <c r="A188" s="8">
        <v>5</v>
      </c>
      <c r="B188" t="s">
        <v>32</v>
      </c>
      <c r="C188">
        <v>2028</v>
      </c>
      <c r="D188" s="13">
        <f>INDEX(Population!$C$3:$U$22,MATCH('Cost Calculations'!B188,Population!$B$3:$B$22,0),MATCH(C188,Population!$C$2:$U$2,0))</f>
        <v>802015.36292956269</v>
      </c>
      <c r="E188" s="108" t="str">
        <f t="shared" si="7"/>
        <v>Medium</v>
      </c>
      <c r="F188" s="1"/>
      <c r="G188" s="44">
        <f>D188*Variables!$C$21</f>
        <v>7.218138266366064</v>
      </c>
      <c r="H188" s="45">
        <f t="shared" si="8"/>
        <v>7.111466272281838</v>
      </c>
      <c r="I188" s="45">
        <f t="shared" si="9"/>
        <v>0.10667199408422601</v>
      </c>
      <c r="J188" s="106">
        <v>119387755.10204081</v>
      </c>
      <c r="K188" s="53">
        <f>I188*(J188+Variables!$C$24*Variables!$C$16)</f>
        <v>13563377.830083447</v>
      </c>
      <c r="L188" s="105">
        <f>(G188*Variables!$C$26+D188*Variables!$C$29)*Variables!$C$16</f>
        <v>21382367.463723365</v>
      </c>
    </row>
    <row r="189" spans="1:12" x14ac:dyDescent="0.25">
      <c r="A189" s="8">
        <v>6</v>
      </c>
      <c r="B189" t="s">
        <v>33</v>
      </c>
      <c r="C189">
        <v>2028</v>
      </c>
      <c r="D189" s="13">
        <f>INDEX(Population!$C$3:$U$22,MATCH('Cost Calculations'!B189,Population!$B$3:$B$22,0),MATCH(C189,Population!$C$2:$U$2,0))</f>
        <v>149561.36766097427</v>
      </c>
      <c r="E189" s="108" t="str">
        <f t="shared" si="7"/>
        <v>Medium</v>
      </c>
      <c r="F189" s="1"/>
      <c r="G189" s="44">
        <f>D189*Variables!$C$21</f>
        <v>1.3460523089487684</v>
      </c>
      <c r="H189" s="45">
        <f t="shared" si="8"/>
        <v>1.3261599102943533</v>
      </c>
      <c r="I189" s="45">
        <f t="shared" si="9"/>
        <v>1.9892398654415056E-2</v>
      </c>
      <c r="J189" s="106">
        <v>196043165.46762589</v>
      </c>
      <c r="K189" s="53">
        <f>I189*(J189+Variables!$C$24*Variables!$C$16)</f>
        <v>4054184.7707023332</v>
      </c>
      <c r="L189" s="105">
        <f>(G189*Variables!$C$26+D189*Variables!$C$29)*Variables!$C$16</f>
        <v>3987425.0164268333</v>
      </c>
    </row>
    <row r="190" spans="1:12" x14ac:dyDescent="0.25">
      <c r="A190" s="8">
        <v>7</v>
      </c>
      <c r="B190" t="s">
        <v>34</v>
      </c>
      <c r="C190">
        <v>2028</v>
      </c>
      <c r="D190" s="13">
        <f>INDEX(Population!$C$3:$U$22,MATCH('Cost Calculations'!B190,Population!$B$3:$B$22,0),MATCH(C190,Population!$C$2:$U$2,0))</f>
        <v>62780.521999095356</v>
      </c>
      <c r="E190" s="108" t="str">
        <f t="shared" si="7"/>
        <v>Small</v>
      </c>
      <c r="F190" s="1"/>
      <c r="G190" s="44">
        <f>D190*Variables!$C$21</f>
        <v>0.56502469799185817</v>
      </c>
      <c r="H190" s="45">
        <f t="shared" si="8"/>
        <v>0.76316986217600002</v>
      </c>
      <c r="I190" s="45">
        <v>0</v>
      </c>
      <c r="J190" s="107">
        <v>148489405.06416112</v>
      </c>
      <c r="K190" s="53">
        <f>I190*(J190+Variables!$C$24*Variables!$C$16)</f>
        <v>0</v>
      </c>
      <c r="L190" s="105">
        <f>(G190*Variables!$C$26+D190*Variables!$C$29)*Variables!$C$16</f>
        <v>1673778.6493834555</v>
      </c>
    </row>
    <row r="191" spans="1:12" x14ac:dyDescent="0.25">
      <c r="A191" s="8">
        <v>8</v>
      </c>
      <c r="B191" t="s">
        <v>35</v>
      </c>
      <c r="C191">
        <v>2028</v>
      </c>
      <c r="D191" s="13">
        <f>INDEX(Population!$C$3:$U$22,MATCH('Cost Calculations'!B191,Population!$B$3:$B$22,0),MATCH(C191,Population!$C$2:$U$2,0))</f>
        <v>65974.558622540935</v>
      </c>
      <c r="E191" s="108" t="str">
        <f t="shared" si="7"/>
        <v>Small</v>
      </c>
      <c r="F191" s="1"/>
      <c r="G191" s="44">
        <f>D191*Variables!$C$21</f>
        <v>0.59377102760286848</v>
      </c>
      <c r="H191" s="45">
        <f t="shared" si="8"/>
        <v>0.58499608630824484</v>
      </c>
      <c r="I191" s="45">
        <f t="shared" si="9"/>
        <v>8.7749412946236394E-3</v>
      </c>
      <c r="J191" s="107">
        <v>148489405.06416112</v>
      </c>
      <c r="K191" s="53">
        <f>I191*(J191+Variables!$C$24*Variables!$C$16)</f>
        <v>1371101.8345681948</v>
      </c>
      <c r="L191" s="105">
        <f>(G191*Variables!$C$26+D191*Variables!$C$29)*Variables!$C$16</f>
        <v>1758934.2061618636</v>
      </c>
    </row>
    <row r="192" spans="1:12" x14ac:dyDescent="0.25">
      <c r="A192" s="8">
        <v>9</v>
      </c>
      <c r="B192" t="s">
        <v>36</v>
      </c>
      <c r="C192">
        <v>2028</v>
      </c>
      <c r="D192" s="13">
        <f>INDEX(Population!$C$3:$U$22,MATCH('Cost Calculations'!B192,Population!$B$3:$B$22,0),MATCH(C192,Population!$C$2:$U$2,0))</f>
        <v>190487.42055836931</v>
      </c>
      <c r="E192" s="108" t="str">
        <f t="shared" si="7"/>
        <v>Medium</v>
      </c>
      <c r="F192" s="1"/>
      <c r="G192" s="44">
        <f>D192*Variables!$C$21</f>
        <v>1.7143867850253238</v>
      </c>
      <c r="H192" s="45">
        <f t="shared" si="8"/>
        <v>1.6890510197293833</v>
      </c>
      <c r="I192" s="45">
        <f t="shared" si="9"/>
        <v>2.5335765295940504E-2</v>
      </c>
      <c r="J192" s="107">
        <v>148489405.06416112</v>
      </c>
      <c r="K192" s="53">
        <f>I192*(J192+Variables!$C$24*Variables!$C$16)</f>
        <v>3958763.1542033181</v>
      </c>
      <c r="L192" s="105">
        <f>(G192*Variables!$C$26+D192*Variables!$C$29)*Variables!$C$16</f>
        <v>5078546.1374679236</v>
      </c>
    </row>
    <row r="193" spans="1:12" x14ac:dyDescent="0.25">
      <c r="A193" s="8">
        <v>10</v>
      </c>
      <c r="B193" t="s">
        <v>37</v>
      </c>
      <c r="C193">
        <v>2028</v>
      </c>
      <c r="D193" s="13">
        <f>INDEX(Population!$C$3:$U$22,MATCH('Cost Calculations'!B193,Population!$B$3:$B$22,0),MATCH(C193,Population!$C$2:$U$2,0))</f>
        <v>336208.837952142</v>
      </c>
      <c r="E193" s="108" t="str">
        <f t="shared" si="7"/>
        <v>Medium</v>
      </c>
      <c r="F193" s="1"/>
      <c r="G193" s="44">
        <f>D193*Variables!$C$21</f>
        <v>3.0258795415692781</v>
      </c>
      <c r="H193" s="45">
        <f t="shared" si="8"/>
        <v>2.9811621099204713</v>
      </c>
      <c r="I193" s="45">
        <f t="shared" si="9"/>
        <v>4.4717431648806816E-2</v>
      </c>
      <c r="J193" s="106">
        <v>242734319.94362226</v>
      </c>
      <c r="K193" s="53">
        <f>I193*(J193+Variables!$C$24*Variables!$C$16)</f>
        <v>11201577.178262025</v>
      </c>
      <c r="L193" s="105">
        <f>(G193*Variables!$C$26+D193*Variables!$C$29)*Variables!$C$16</f>
        <v>8963595.025642287</v>
      </c>
    </row>
    <row r="194" spans="1:12" x14ac:dyDescent="0.25">
      <c r="A194" s="8">
        <v>11</v>
      </c>
      <c r="B194" t="s">
        <v>38</v>
      </c>
      <c r="C194">
        <v>2028</v>
      </c>
      <c r="D194" s="13">
        <f>INDEX(Population!$C$3:$U$22,MATCH('Cost Calculations'!B194,Population!$B$3:$B$22,0),MATCH(C194,Population!$C$2:$U$2,0))</f>
        <v>223369.37406918447</v>
      </c>
      <c r="E194" s="108" t="str">
        <f t="shared" si="7"/>
        <v>Medium</v>
      </c>
      <c r="F194" s="1"/>
      <c r="G194" s="44">
        <f>D194*Variables!$C$21</f>
        <v>2.0103243666226605</v>
      </c>
      <c r="H194" s="45">
        <f t="shared" si="8"/>
        <v>1.9806151395297149</v>
      </c>
      <c r="I194" s="45">
        <f t="shared" si="9"/>
        <v>2.9709227092945545E-2</v>
      </c>
      <c r="J194" s="107">
        <v>148489405.06416112</v>
      </c>
      <c r="K194" s="53">
        <f>I194*(J194+Variables!$C$24*Variables!$C$16)</f>
        <v>4642125.1610764042</v>
      </c>
      <c r="L194" s="105">
        <f>(G194*Variables!$C$26+D194*Variables!$C$29)*Variables!$C$16</f>
        <v>5955205.1709371712</v>
      </c>
    </row>
    <row r="195" spans="1:12" x14ac:dyDescent="0.25">
      <c r="A195" s="8">
        <v>12</v>
      </c>
      <c r="B195" t="s">
        <v>39</v>
      </c>
      <c r="C195">
        <v>2028</v>
      </c>
      <c r="D195" s="13">
        <f>INDEX(Population!$C$3:$U$22,MATCH('Cost Calculations'!B195,Population!$B$3:$B$22,0),MATCH(C195,Population!$C$2:$U$2,0))</f>
        <v>227860.31392233263</v>
      </c>
      <c r="E195" s="108" t="str">
        <f t="shared" si="7"/>
        <v>Medium</v>
      </c>
      <c r="F195" s="1"/>
      <c r="G195" s="44">
        <f>D195*Variables!$C$21</f>
        <v>2.0507428253009938</v>
      </c>
      <c r="H195" s="45">
        <f t="shared" si="8"/>
        <v>2.0838130428269999</v>
      </c>
      <c r="I195" s="45">
        <v>0</v>
      </c>
      <c r="J195" s="106">
        <v>32000000</v>
      </c>
      <c r="K195" s="53">
        <f>I195*(J195+Variables!$C$24*Variables!$C$16)</f>
        <v>0</v>
      </c>
      <c r="L195" s="105">
        <f>(G195*Variables!$C$26+D195*Variables!$C$29)*Variables!$C$16</f>
        <v>6074937.1993196839</v>
      </c>
    </row>
    <row r="196" spans="1:12" x14ac:dyDescent="0.25">
      <c r="A196" s="8">
        <v>13</v>
      </c>
      <c r="B196" t="s">
        <v>40</v>
      </c>
      <c r="C196">
        <v>2028</v>
      </c>
      <c r="D196" s="13">
        <f>INDEX(Population!$C$3:$U$22,MATCH('Cost Calculations'!B196,Population!$B$3:$B$22,0),MATCH(C196,Population!$C$2:$U$2,0))</f>
        <v>78571.778154104002</v>
      </c>
      <c r="E196" s="108" t="str">
        <f t="shared" si="7"/>
        <v>Small</v>
      </c>
      <c r="F196" s="1"/>
      <c r="G196" s="44">
        <f>D196*Variables!$C$21</f>
        <v>0.70714600338693601</v>
      </c>
      <c r="H196" s="45">
        <f t="shared" si="8"/>
        <v>0.69669556983934589</v>
      </c>
      <c r="I196" s="45">
        <f t="shared" si="9"/>
        <v>1.0450433547590121E-2</v>
      </c>
      <c r="J196" s="107">
        <v>148489405.06416112</v>
      </c>
      <c r="K196" s="53">
        <f>I196*(J196+Variables!$C$24*Variables!$C$16)</f>
        <v>1632900.7942096302</v>
      </c>
      <c r="L196" s="105">
        <f>(G196*Variables!$C$26+D196*Variables!$C$29)*Variables!$C$16</f>
        <v>2094786.098152031</v>
      </c>
    </row>
    <row r="197" spans="1:12" x14ac:dyDescent="0.25">
      <c r="A197" s="8">
        <v>14</v>
      </c>
      <c r="B197" t="s">
        <v>41</v>
      </c>
      <c r="C197">
        <v>2028</v>
      </c>
      <c r="D197" s="13">
        <f>INDEX(Population!$C$3:$U$22,MATCH('Cost Calculations'!B197,Population!$B$3:$B$22,0),MATCH(C197,Population!$C$2:$U$2,0))</f>
        <v>1830379.6779942019</v>
      </c>
      <c r="E197" s="108" t="str">
        <f t="shared" ref="E197:E243" si="10">IF(D197&lt;100000,"Small",IF(D197&lt;1000000,"Medium","Large"))</f>
        <v>Large</v>
      </c>
      <c r="F197" s="1"/>
      <c r="G197" s="44">
        <f>D197*Variables!$C$21</f>
        <v>16.473417101947817</v>
      </c>
      <c r="H197" s="45">
        <f t="shared" si="8"/>
        <v>20.624841791765</v>
      </c>
      <c r="I197" s="45">
        <v>0</v>
      </c>
      <c r="J197" s="106">
        <v>108333333.33333333</v>
      </c>
      <c r="K197" s="53">
        <f>I197*(J197+Variables!$C$24*Variables!$C$16)</f>
        <v>0</v>
      </c>
      <c r="L197" s="105">
        <f>(G197*Variables!$C$26+D197*Variables!$C$29)*Variables!$C$16</f>
        <v>48799378.019446954</v>
      </c>
    </row>
    <row r="198" spans="1:12" x14ac:dyDescent="0.25">
      <c r="A198" s="8">
        <v>15</v>
      </c>
      <c r="B198" t="s">
        <v>42</v>
      </c>
      <c r="C198">
        <v>2028</v>
      </c>
      <c r="D198" s="13">
        <f>INDEX(Population!$C$3:$U$22,MATCH('Cost Calculations'!B198,Population!$B$3:$B$22,0),MATCH(C198,Population!$C$2:$U$2,0))</f>
        <v>94597.796635428676</v>
      </c>
      <c r="E198" s="108" t="str">
        <f t="shared" si="10"/>
        <v>Small</v>
      </c>
      <c r="F198" s="1"/>
      <c r="G198" s="44">
        <f>D198*Variables!$C$21</f>
        <v>0.8513801697188581</v>
      </c>
      <c r="H198" s="45">
        <f t="shared" si="8"/>
        <v>1.688396291294</v>
      </c>
      <c r="I198" s="45">
        <v>0</v>
      </c>
      <c r="J198" s="107">
        <v>148489405.06416112</v>
      </c>
      <c r="K198" s="53">
        <f>I198*(J198+Variables!$C$24*Variables!$C$16)</f>
        <v>0</v>
      </c>
      <c r="L198" s="105">
        <f>(G198*Variables!$C$26+D198*Variables!$C$29)*Variables!$C$16</f>
        <v>2522052.4972599018</v>
      </c>
    </row>
    <row r="199" spans="1:12" x14ac:dyDescent="0.25">
      <c r="A199" s="8">
        <v>16</v>
      </c>
      <c r="B199" t="s">
        <v>43</v>
      </c>
      <c r="C199">
        <v>2028</v>
      </c>
      <c r="D199" s="13">
        <f>INDEX(Population!$C$3:$U$22,MATCH('Cost Calculations'!B199,Population!$B$3:$B$22,0),MATCH(C199,Population!$C$2:$U$2,0))</f>
        <v>98876.815902118571</v>
      </c>
      <c r="E199" s="108" t="str">
        <f t="shared" si="10"/>
        <v>Small</v>
      </c>
      <c r="F199" s="1"/>
      <c r="G199" s="44">
        <f>D199*Variables!$C$21</f>
        <v>0.88989134311906715</v>
      </c>
      <c r="H199" s="45">
        <f t="shared" si="8"/>
        <v>3.838561813059</v>
      </c>
      <c r="I199" s="45">
        <v>0</v>
      </c>
      <c r="J199" s="107">
        <v>148489405.06416112</v>
      </c>
      <c r="K199" s="53">
        <f>I199*(J199+Variables!$C$24*Variables!$C$16)</f>
        <v>0</v>
      </c>
      <c r="L199" s="105">
        <f>(G199*Variables!$C$26+D199*Variables!$C$29)*Variables!$C$16</f>
        <v>2636134.5542550506</v>
      </c>
    </row>
    <row r="200" spans="1:12" x14ac:dyDescent="0.25">
      <c r="A200" s="8">
        <v>17</v>
      </c>
      <c r="B200" t="s">
        <v>44</v>
      </c>
      <c r="C200">
        <v>2028</v>
      </c>
      <c r="D200" s="13">
        <f>INDEX(Population!$C$3:$U$22,MATCH('Cost Calculations'!B200,Population!$B$3:$B$22,0),MATCH(C200,Population!$C$2:$U$2,0))</f>
        <v>136159.61129219845</v>
      </c>
      <c r="E200" s="108" t="str">
        <f t="shared" si="10"/>
        <v>Medium</v>
      </c>
      <c r="F200" s="1"/>
      <c r="G200" s="44">
        <f>D200*Variables!$C$21</f>
        <v>1.2254365016297861</v>
      </c>
      <c r="H200" s="45">
        <f t="shared" si="8"/>
        <v>1.866970792936</v>
      </c>
      <c r="I200" s="45">
        <v>0</v>
      </c>
      <c r="J200" s="106">
        <v>126750000</v>
      </c>
      <c r="K200" s="53">
        <f>I200*(J200+Variables!$C$24*Variables!$C$16)</f>
        <v>0</v>
      </c>
      <c r="L200" s="105">
        <f>(G200*Variables!$C$26+D200*Variables!$C$29)*Variables!$C$16</f>
        <v>3630123.5324630821</v>
      </c>
    </row>
    <row r="201" spans="1:12" x14ac:dyDescent="0.25">
      <c r="A201" s="8">
        <v>18</v>
      </c>
      <c r="B201" t="s">
        <v>45</v>
      </c>
      <c r="C201">
        <v>2028</v>
      </c>
      <c r="D201" s="13">
        <f>INDEX(Population!$C$3:$U$22,MATCH('Cost Calculations'!B201,Population!$B$3:$B$22,0),MATCH(C201,Population!$C$2:$U$2,0))</f>
        <v>128964.46323699923</v>
      </c>
      <c r="E201" s="108" t="str">
        <f t="shared" si="10"/>
        <v>Medium</v>
      </c>
      <c r="F201" s="1"/>
      <c r="G201" s="44">
        <f>D201*Variables!$C$21</f>
        <v>1.1606801691329931</v>
      </c>
      <c r="H201" s="45">
        <f t="shared" si="8"/>
        <v>2.4912131370320001</v>
      </c>
      <c r="I201" s="45">
        <v>0</v>
      </c>
      <c r="J201" s="107">
        <v>148489405.06416112</v>
      </c>
      <c r="K201" s="53">
        <f>I201*(J201+Variables!$C$24*Variables!$C$16)</f>
        <v>0</v>
      </c>
      <c r="L201" s="105">
        <f>(G201*Variables!$C$26+D201*Variables!$C$29)*Variables!$C$16</f>
        <v>3438295.1626046905</v>
      </c>
    </row>
    <row r="202" spans="1:12" x14ac:dyDescent="0.25">
      <c r="A202" s="8">
        <v>19</v>
      </c>
      <c r="B202" t="s">
        <v>46</v>
      </c>
      <c r="C202">
        <v>2028</v>
      </c>
      <c r="D202" s="13">
        <f>INDEX(Population!$C$3:$U$22,MATCH('Cost Calculations'!B202,Population!$B$3:$B$22,0),MATCH(C202,Population!$C$2:$U$2,0))</f>
        <v>99961.798545362893</v>
      </c>
      <c r="E202" s="108" t="str">
        <f t="shared" si="10"/>
        <v>Small</v>
      </c>
      <c r="F202" s="1"/>
      <c r="G202" s="44">
        <f>D202*Variables!$C$21</f>
        <v>0.8996561869082661</v>
      </c>
      <c r="H202" s="45">
        <f t="shared" si="8"/>
        <v>1.69330868166</v>
      </c>
      <c r="I202" s="45">
        <v>0</v>
      </c>
      <c r="J202" s="107">
        <v>148489405.06416112</v>
      </c>
      <c r="K202" s="53">
        <f>I202*(J202+Variables!$C$24*Variables!$C$16)</f>
        <v>0</v>
      </c>
      <c r="L202" s="105">
        <f>(G202*Variables!$C$26+D202*Variables!$C$29)*Variables!$C$16</f>
        <v>2665061.0544717922</v>
      </c>
    </row>
    <row r="203" spans="1:12" x14ac:dyDescent="0.25">
      <c r="A203" s="8">
        <v>20</v>
      </c>
      <c r="B203" t="s">
        <v>47</v>
      </c>
      <c r="C203">
        <v>2028</v>
      </c>
      <c r="D203" s="13">
        <f>INDEX(Population!$C$3:$U$22,MATCH('Cost Calculations'!B203,Population!$B$3:$B$22,0),MATCH(C203,Population!$C$2:$U$2,0))</f>
        <v>55987.64236250252</v>
      </c>
      <c r="E203" s="108" t="str">
        <f t="shared" si="10"/>
        <v>Small</v>
      </c>
      <c r="F203" s="1"/>
      <c r="G203" s="44">
        <f>D203*Variables!$C$21</f>
        <v>0.50388878126252268</v>
      </c>
      <c r="H203" s="45">
        <f t="shared" si="8"/>
        <v>1.403877150594</v>
      </c>
      <c r="I203" s="45">
        <v>0</v>
      </c>
      <c r="J203" s="107">
        <v>148489405.06416112</v>
      </c>
      <c r="K203" s="53">
        <f>I203*(J203+Variables!$C$24*Variables!$C$16)</f>
        <v>0</v>
      </c>
      <c r="L203" s="105">
        <f>(G203*Variables!$C$26+D203*Variables!$C$29)*Variables!$C$16</f>
        <v>1492675.0755118562</v>
      </c>
    </row>
    <row r="204" spans="1:12" x14ac:dyDescent="0.25">
      <c r="A204" s="8">
        <v>1</v>
      </c>
      <c r="B204" t="s">
        <v>28</v>
      </c>
      <c r="C204">
        <v>2029</v>
      </c>
      <c r="D204" s="13">
        <f>INDEX(Population!$C$3:$U$22,MATCH('Cost Calculations'!B204,Population!$B$3:$B$22,0),MATCH(C204,Population!$C$2:$U$2,0))</f>
        <v>307576.67897085421</v>
      </c>
      <c r="E204" s="108" t="str">
        <f t="shared" si="10"/>
        <v>Medium</v>
      </c>
      <c r="F204" s="1"/>
      <c r="G204" s="44">
        <f>D204*Variables!$C$21</f>
        <v>2.7681901107376881</v>
      </c>
      <c r="H204" s="45">
        <f t="shared" si="8"/>
        <v>2.7272808972785105</v>
      </c>
      <c r="I204" s="45">
        <f t="shared" si="9"/>
        <v>4.0909213459177529E-2</v>
      </c>
      <c r="J204" s="106">
        <v>112666666.66666667</v>
      </c>
      <c r="K204" s="53">
        <f>I204*(J204+Variables!$C$24*Variables!$C$16)</f>
        <v>4926665.0055153407</v>
      </c>
      <c r="L204" s="105">
        <f>(G204*Variables!$C$26+D204*Variables!$C$29)*Variables!$C$16</f>
        <v>8200238.8944313554</v>
      </c>
    </row>
    <row r="205" spans="1:12" x14ac:dyDescent="0.25">
      <c r="A205" s="8">
        <v>2</v>
      </c>
      <c r="B205" t="s">
        <v>29</v>
      </c>
      <c r="C205">
        <v>2029</v>
      </c>
      <c r="D205" s="13">
        <f>INDEX(Population!$C$3:$U$22,MATCH('Cost Calculations'!B205,Population!$B$3:$B$22,0),MATCH(C205,Population!$C$2:$U$2,0))</f>
        <v>977407.78797828231</v>
      </c>
      <c r="E205" s="108" t="str">
        <f t="shared" si="10"/>
        <v>Medium</v>
      </c>
      <c r="F205" s="1"/>
      <c r="G205" s="44">
        <f>D205*Variables!$C$21</f>
        <v>8.7966700918045415</v>
      </c>
      <c r="H205" s="45">
        <f t="shared" si="8"/>
        <v>8.666670041186741</v>
      </c>
      <c r="I205" s="45">
        <f t="shared" si="9"/>
        <v>0.13000005061780051</v>
      </c>
      <c r="J205" s="106">
        <v>250000000</v>
      </c>
      <c r="K205" s="53">
        <f>I205*(J205+Variables!$C$24*Variables!$C$16)</f>
        <v>33509146.054198965</v>
      </c>
      <c r="L205" s="105">
        <f>(G205*Variables!$C$26+D205*Variables!$C$29)*Variables!$C$16</f>
        <v>26058469.01500332</v>
      </c>
    </row>
    <row r="206" spans="1:12" x14ac:dyDescent="0.25">
      <c r="A206" s="8">
        <v>3</v>
      </c>
      <c r="B206" t="s">
        <v>30</v>
      </c>
      <c r="C206">
        <v>2029</v>
      </c>
      <c r="D206" s="13">
        <f>INDEX(Population!$C$3:$U$22,MATCH('Cost Calculations'!B206,Population!$B$3:$B$22,0),MATCH(C206,Population!$C$2:$U$2,0))</f>
        <v>1090798.6578063343</v>
      </c>
      <c r="E206" s="108" t="str">
        <f t="shared" si="10"/>
        <v>Large</v>
      </c>
      <c r="F206" s="1"/>
      <c r="G206" s="44">
        <f>D206*Variables!$C$21</f>
        <v>9.8171879202570089</v>
      </c>
      <c r="H206" s="45">
        <f t="shared" si="8"/>
        <v>9.6721063253763653</v>
      </c>
      <c r="I206" s="45">
        <f t="shared" si="9"/>
        <v>0.14508159488064365</v>
      </c>
      <c r="J206" s="107">
        <v>148489405.06416112</v>
      </c>
      <c r="K206" s="53">
        <f>I206*(J206+Variables!$C$24*Variables!$C$16)</f>
        <v>22669284.525562394</v>
      </c>
      <c r="L206" s="105">
        <f>(G206*Variables!$C$26+D206*Variables!$C$29)*Variables!$C$16</f>
        <v>29081559.79076888</v>
      </c>
    </row>
    <row r="207" spans="1:12" x14ac:dyDescent="0.25">
      <c r="A207" s="8">
        <v>4</v>
      </c>
      <c r="B207" t="s">
        <v>31</v>
      </c>
      <c r="C207">
        <v>2029</v>
      </c>
      <c r="D207" s="13">
        <f>INDEX(Population!$C$3:$U$22,MATCH('Cost Calculations'!B207,Population!$B$3:$B$22,0),MATCH(C207,Population!$C$2:$U$2,0))</f>
        <v>81118.232417798426</v>
      </c>
      <c r="E207" s="108" t="str">
        <f t="shared" si="10"/>
        <v>Small</v>
      </c>
      <c r="F207" s="1"/>
      <c r="G207" s="44">
        <f>D207*Variables!$C$21</f>
        <v>0.73006409176018583</v>
      </c>
      <c r="H207" s="45">
        <f t="shared" si="8"/>
        <v>0.71927496725141471</v>
      </c>
      <c r="I207" s="45">
        <f t="shared" si="9"/>
        <v>1.078912450877112E-2</v>
      </c>
      <c r="J207" s="107">
        <v>148489405.06416112</v>
      </c>
      <c r="K207" s="53">
        <f>I207*(J207+Variables!$C$24*Variables!$C$16)</f>
        <v>1685821.9229824753</v>
      </c>
      <c r="L207" s="105">
        <f>(G207*Variables!$C$26+D207*Variables!$C$29)*Variables!$C$16</f>
        <v>2162676.5941607235</v>
      </c>
    </row>
    <row r="208" spans="1:12" x14ac:dyDescent="0.25">
      <c r="A208" s="8">
        <v>5</v>
      </c>
      <c r="B208" t="s">
        <v>32</v>
      </c>
      <c r="C208">
        <v>2029</v>
      </c>
      <c r="D208" s="13">
        <f>INDEX(Population!$C$3:$U$22,MATCH('Cost Calculations'!B208,Population!$B$3:$B$22,0),MATCH(C208,Population!$C$2:$U$2,0))</f>
        <v>814045.59337350598</v>
      </c>
      <c r="E208" s="108" t="str">
        <f t="shared" si="10"/>
        <v>Medium</v>
      </c>
      <c r="F208" s="1"/>
      <c r="G208" s="44">
        <f>D208*Variables!$C$21</f>
        <v>7.3264103403615541</v>
      </c>
      <c r="H208" s="45">
        <f t="shared" si="8"/>
        <v>7.218138266366064</v>
      </c>
      <c r="I208" s="45">
        <f t="shared" si="9"/>
        <v>0.1082720739954901</v>
      </c>
      <c r="J208" s="106">
        <v>119387755.10204081</v>
      </c>
      <c r="K208" s="53">
        <f>I208*(J208+Variables!$C$24*Variables!$C$16)</f>
        <v>13766828.497534789</v>
      </c>
      <c r="L208" s="105">
        <f>(G208*Variables!$C$26+D208*Variables!$C$29)*Variables!$C$16</f>
        <v>21703102.975679211</v>
      </c>
    </row>
    <row r="209" spans="1:12" x14ac:dyDescent="0.25">
      <c r="A209" s="8">
        <v>6</v>
      </c>
      <c r="B209" t="s">
        <v>33</v>
      </c>
      <c r="C209">
        <v>2029</v>
      </c>
      <c r="D209" s="13">
        <f>INDEX(Population!$C$3:$U$22,MATCH('Cost Calculations'!B209,Population!$B$3:$B$22,0),MATCH(C209,Population!$C$2:$U$2,0))</f>
        <v>151804.78817588885</v>
      </c>
      <c r="E209" s="108" t="str">
        <f t="shared" si="10"/>
        <v>Medium</v>
      </c>
      <c r="F209" s="1"/>
      <c r="G209" s="44">
        <f>D209*Variables!$C$21</f>
        <v>1.3662430935829997</v>
      </c>
      <c r="H209" s="45">
        <f t="shared" si="8"/>
        <v>1.3460523089487684</v>
      </c>
      <c r="I209" s="45">
        <f t="shared" si="9"/>
        <v>2.0190784634231296E-2</v>
      </c>
      <c r="J209" s="106">
        <v>196043165.46762589</v>
      </c>
      <c r="K209" s="53">
        <f>I209*(J209+Variables!$C$24*Variables!$C$16)</f>
        <v>4114997.5422628713</v>
      </c>
      <c r="L209" s="105">
        <f>(G209*Variables!$C$26+D209*Variables!$C$29)*Variables!$C$16</f>
        <v>4047236.3916732352</v>
      </c>
    </row>
    <row r="210" spans="1:12" x14ac:dyDescent="0.25">
      <c r="A210" s="8">
        <v>7</v>
      </c>
      <c r="B210" t="s">
        <v>34</v>
      </c>
      <c r="C210">
        <v>2029</v>
      </c>
      <c r="D210" s="13">
        <f>INDEX(Population!$C$3:$U$22,MATCH('Cost Calculations'!B210,Population!$B$3:$B$22,0),MATCH(C210,Population!$C$2:$U$2,0))</f>
        <v>63722.229829081778</v>
      </c>
      <c r="E210" s="108" t="str">
        <f t="shared" si="10"/>
        <v>Small</v>
      </c>
      <c r="F210" s="1"/>
      <c r="G210" s="44">
        <f>D210*Variables!$C$21</f>
        <v>0.57350006846173607</v>
      </c>
      <c r="H210" s="45">
        <f t="shared" si="8"/>
        <v>0.76316986217600002</v>
      </c>
      <c r="I210" s="45">
        <v>0</v>
      </c>
      <c r="J210" s="107">
        <v>148489405.06416112</v>
      </c>
      <c r="K210" s="53">
        <f>I210*(J210+Variables!$C$24*Variables!$C$16)</f>
        <v>0</v>
      </c>
      <c r="L210" s="105">
        <f>(G210*Variables!$C$26+D210*Variables!$C$29)*Variables!$C$16</f>
        <v>1698885.3291242074</v>
      </c>
    </row>
    <row r="211" spans="1:12" x14ac:dyDescent="0.25">
      <c r="A211" s="8">
        <v>8</v>
      </c>
      <c r="B211" t="s">
        <v>35</v>
      </c>
      <c r="C211">
        <v>2029</v>
      </c>
      <c r="D211" s="13">
        <f>INDEX(Population!$C$3:$U$22,MATCH('Cost Calculations'!B211,Population!$B$3:$B$22,0),MATCH(C211,Population!$C$2:$U$2,0))</f>
        <v>66964.177001879041</v>
      </c>
      <c r="E211" s="108" t="str">
        <f t="shared" si="10"/>
        <v>Small</v>
      </c>
      <c r="F211" s="1"/>
      <c r="G211" s="44">
        <f>D211*Variables!$C$21</f>
        <v>0.60267759301691137</v>
      </c>
      <c r="H211" s="45">
        <f t="shared" si="8"/>
        <v>0.59377102760286848</v>
      </c>
      <c r="I211" s="45">
        <f t="shared" si="9"/>
        <v>8.9065654140428885E-3</v>
      </c>
      <c r="J211" s="107">
        <v>148489405.06416112</v>
      </c>
      <c r="K211" s="53">
        <f>I211*(J211+Variables!$C$24*Variables!$C$16)</f>
        <v>1391668.3620867012</v>
      </c>
      <c r="L211" s="105">
        <f>(G211*Variables!$C$26+D211*Variables!$C$29)*Variables!$C$16</f>
        <v>1785318.2192542914</v>
      </c>
    </row>
    <row r="212" spans="1:12" x14ac:dyDescent="0.25">
      <c r="A212" s="8">
        <v>9</v>
      </c>
      <c r="B212" t="s">
        <v>36</v>
      </c>
      <c r="C212">
        <v>2029</v>
      </c>
      <c r="D212" s="13">
        <f>INDEX(Population!$C$3:$U$22,MATCH('Cost Calculations'!B212,Population!$B$3:$B$22,0),MATCH(C212,Population!$C$2:$U$2,0))</f>
        <v>193344.73186674481</v>
      </c>
      <c r="E212" s="108" t="str">
        <f t="shared" si="10"/>
        <v>Medium</v>
      </c>
      <c r="F212" s="1"/>
      <c r="G212" s="44">
        <f>D212*Variables!$C$21</f>
        <v>1.7401025868007034</v>
      </c>
      <c r="H212" s="45">
        <f t="shared" si="8"/>
        <v>1.7143867850253238</v>
      </c>
      <c r="I212" s="45">
        <f t="shared" si="9"/>
        <v>2.5715801775379576E-2</v>
      </c>
      <c r="J212" s="107">
        <v>148489405.06416112</v>
      </c>
      <c r="K212" s="53">
        <f>I212*(J212+Variables!$C$24*Variables!$C$16)</f>
        <v>4018144.6015163623</v>
      </c>
      <c r="L212" s="105">
        <f>(G212*Variables!$C$26+D212*Variables!$C$29)*Variables!$C$16</f>
        <v>5154724.3295299411</v>
      </c>
    </row>
    <row r="213" spans="1:12" x14ac:dyDescent="0.25">
      <c r="A213" s="8">
        <v>10</v>
      </c>
      <c r="B213" t="s">
        <v>37</v>
      </c>
      <c r="C213">
        <v>2029</v>
      </c>
      <c r="D213" s="13">
        <f>INDEX(Population!$C$3:$U$22,MATCH('Cost Calculations'!B213,Population!$B$3:$B$22,0),MATCH(C213,Population!$C$2:$U$2,0))</f>
        <v>341251.97052142408</v>
      </c>
      <c r="E213" s="108" t="str">
        <f t="shared" si="10"/>
        <v>Medium</v>
      </c>
      <c r="F213" s="1"/>
      <c r="G213" s="44">
        <f>D213*Variables!$C$21</f>
        <v>3.071267734692817</v>
      </c>
      <c r="H213" s="45">
        <f t="shared" si="8"/>
        <v>3.0258795415692781</v>
      </c>
      <c r="I213" s="45">
        <f t="shared" si="9"/>
        <v>4.5388193123538922E-2</v>
      </c>
      <c r="J213" s="106">
        <v>242734319.94362226</v>
      </c>
      <c r="K213" s="53">
        <f>I213*(J213+Variables!$C$24*Variables!$C$16)</f>
        <v>11369600.835935956</v>
      </c>
      <c r="L213" s="105">
        <f>(G213*Variables!$C$26+D213*Variables!$C$29)*Variables!$C$16</f>
        <v>9098048.9510269221</v>
      </c>
    </row>
    <row r="214" spans="1:12" x14ac:dyDescent="0.25">
      <c r="A214" s="8">
        <v>11</v>
      </c>
      <c r="B214" t="s">
        <v>38</v>
      </c>
      <c r="C214">
        <v>2029</v>
      </c>
      <c r="D214" s="13">
        <f>INDEX(Population!$C$3:$U$22,MATCH('Cost Calculations'!B214,Population!$B$3:$B$22,0),MATCH(C214,Population!$C$2:$U$2,0))</f>
        <v>226719.91468022219</v>
      </c>
      <c r="E214" s="108" t="str">
        <f t="shared" si="10"/>
        <v>Medium</v>
      </c>
      <c r="F214" s="1"/>
      <c r="G214" s="44">
        <f>D214*Variables!$C$21</f>
        <v>2.0404792321219998</v>
      </c>
      <c r="H214" s="45">
        <f t="shared" si="8"/>
        <v>2.0103243666226605</v>
      </c>
      <c r="I214" s="45">
        <f t="shared" si="9"/>
        <v>3.0154865499339323E-2</v>
      </c>
      <c r="J214" s="107">
        <v>148489405.06416112</v>
      </c>
      <c r="K214" s="53">
        <f>I214*(J214+Variables!$C$24*Variables!$C$16)</f>
        <v>4711757.0384924868</v>
      </c>
      <c r="L214" s="105">
        <f>(G214*Variables!$C$26+D214*Variables!$C$29)*Variables!$C$16</f>
        <v>6044533.2485012272</v>
      </c>
    </row>
    <row r="215" spans="1:12" x14ac:dyDescent="0.25">
      <c r="A215" s="8">
        <v>12</v>
      </c>
      <c r="B215" t="s">
        <v>39</v>
      </c>
      <c r="C215">
        <v>2029</v>
      </c>
      <c r="D215" s="13">
        <f>INDEX(Population!$C$3:$U$22,MATCH('Cost Calculations'!B215,Population!$B$3:$B$22,0),MATCH(C215,Population!$C$2:$U$2,0))</f>
        <v>231278.21863116758</v>
      </c>
      <c r="E215" s="108" t="str">
        <f t="shared" si="10"/>
        <v>Medium</v>
      </c>
      <c r="F215" s="1"/>
      <c r="G215" s="44">
        <f>D215*Variables!$C$21</f>
        <v>2.0815039676805083</v>
      </c>
      <c r="H215" s="45">
        <f t="shared" si="8"/>
        <v>2.0838130428269999</v>
      </c>
      <c r="I215" s="45">
        <f t="shared" si="9"/>
        <v>-2.3090751464915904E-3</v>
      </c>
      <c r="J215" s="106">
        <v>32000000</v>
      </c>
      <c r="K215" s="53">
        <f>I215*(J215+Variables!$C$24*Variables!$C$16)</f>
        <v>-91814.742730531187</v>
      </c>
      <c r="L215" s="105">
        <f>(G215*Variables!$C$26+D215*Variables!$C$29)*Variables!$C$16</f>
        <v>6166061.2573094778</v>
      </c>
    </row>
    <row r="216" spans="1:12" x14ac:dyDescent="0.25">
      <c r="A216" s="8">
        <v>13</v>
      </c>
      <c r="B216" t="s">
        <v>40</v>
      </c>
      <c r="C216">
        <v>2029</v>
      </c>
      <c r="D216" s="13">
        <f>INDEX(Population!$C$3:$U$22,MATCH('Cost Calculations'!B216,Population!$B$3:$B$22,0),MATCH(C216,Population!$C$2:$U$2,0))</f>
        <v>79750.354826415554</v>
      </c>
      <c r="E216" s="108" t="str">
        <f t="shared" si="10"/>
        <v>Small</v>
      </c>
      <c r="F216" s="1"/>
      <c r="G216" s="44">
        <f>D216*Variables!$C$21</f>
        <v>0.71775319343774002</v>
      </c>
      <c r="H216" s="45">
        <f t="shared" si="8"/>
        <v>0.70714600338693601</v>
      </c>
      <c r="I216" s="45">
        <f t="shared" si="9"/>
        <v>1.0607190050804016E-2</v>
      </c>
      <c r="J216" s="107">
        <v>148489405.06416112</v>
      </c>
      <c r="K216" s="53">
        <f>I216*(J216+Variables!$C$24*Variables!$C$16)</f>
        <v>1657394.3061227815</v>
      </c>
      <c r="L216" s="105">
        <f>(G216*Variables!$C$26+D216*Variables!$C$29)*Variables!$C$16</f>
        <v>2126207.8896243111</v>
      </c>
    </row>
    <row r="217" spans="1:12" x14ac:dyDescent="0.25">
      <c r="A217" s="8">
        <v>14</v>
      </c>
      <c r="B217" t="s">
        <v>41</v>
      </c>
      <c r="C217">
        <v>2029</v>
      </c>
      <c r="D217" s="13">
        <f>INDEX(Population!$C$3:$U$22,MATCH('Cost Calculations'!B217,Population!$B$3:$B$22,0),MATCH(C217,Population!$C$2:$U$2,0))</f>
        <v>1857835.3731641145</v>
      </c>
      <c r="E217" s="108" t="str">
        <f t="shared" si="10"/>
        <v>Large</v>
      </c>
      <c r="F217" s="1"/>
      <c r="G217" s="44">
        <f>D217*Variables!$C$21</f>
        <v>16.72051835847703</v>
      </c>
      <c r="H217" s="45">
        <f t="shared" ref="H217:H243" si="11">H197+I197</f>
        <v>20.624841791765</v>
      </c>
      <c r="I217" s="45">
        <v>0</v>
      </c>
      <c r="J217" s="106">
        <v>108333333.33333333</v>
      </c>
      <c r="K217" s="53">
        <f>I217*(J217+Variables!$C$24*Variables!$C$16)</f>
        <v>0</v>
      </c>
      <c r="L217" s="105">
        <f>(G217*Variables!$C$26+D217*Variables!$C$29)*Variables!$C$16</f>
        <v>49531368.689738646</v>
      </c>
    </row>
    <row r="218" spans="1:12" x14ac:dyDescent="0.25">
      <c r="A218" s="8">
        <v>15</v>
      </c>
      <c r="B218" t="s">
        <v>42</v>
      </c>
      <c r="C218">
        <v>2029</v>
      </c>
      <c r="D218" s="13">
        <f>INDEX(Population!$C$3:$U$22,MATCH('Cost Calculations'!B218,Population!$B$3:$B$22,0),MATCH(C218,Population!$C$2:$U$2,0))</f>
        <v>96016.763584960092</v>
      </c>
      <c r="E218" s="108" t="str">
        <f t="shared" si="10"/>
        <v>Small</v>
      </c>
      <c r="F218" s="1"/>
      <c r="G218" s="44">
        <f>D218*Variables!$C$21</f>
        <v>0.86415087226464082</v>
      </c>
      <c r="H218" s="45">
        <f t="shared" si="11"/>
        <v>1.688396291294</v>
      </c>
      <c r="I218" s="45">
        <v>0</v>
      </c>
      <c r="J218" s="107">
        <v>148489405.06416112</v>
      </c>
      <c r="K218" s="53">
        <f>I218*(J218+Variables!$C$24*Variables!$C$16)</f>
        <v>0</v>
      </c>
      <c r="L218" s="105">
        <f>(G218*Variables!$C$26+D218*Variables!$C$29)*Variables!$C$16</f>
        <v>2559883.2847187999</v>
      </c>
    </row>
    <row r="219" spans="1:12" x14ac:dyDescent="0.25">
      <c r="A219" s="8">
        <v>16</v>
      </c>
      <c r="B219" t="s">
        <v>43</v>
      </c>
      <c r="C219">
        <v>2029</v>
      </c>
      <c r="D219" s="13">
        <f>INDEX(Population!$C$3:$U$22,MATCH('Cost Calculations'!B219,Population!$B$3:$B$22,0),MATCH(C219,Population!$C$2:$U$2,0))</f>
        <v>100359.96814065034</v>
      </c>
      <c r="E219" s="108" t="str">
        <f t="shared" si="10"/>
        <v>Medium</v>
      </c>
      <c r="F219" s="1"/>
      <c r="G219" s="44">
        <f>D219*Variables!$C$21</f>
        <v>0.90323971326585306</v>
      </c>
      <c r="H219" s="45">
        <f t="shared" si="11"/>
        <v>3.838561813059</v>
      </c>
      <c r="I219" s="45">
        <v>0</v>
      </c>
      <c r="J219" s="107">
        <v>148489405.06416112</v>
      </c>
      <c r="K219" s="53">
        <f>I219*(J219+Variables!$C$24*Variables!$C$16)</f>
        <v>0</v>
      </c>
      <c r="L219" s="105">
        <f>(G219*Variables!$C$26+D219*Variables!$C$29)*Variables!$C$16</f>
        <v>2675676.5725688757</v>
      </c>
    </row>
    <row r="220" spans="1:12" x14ac:dyDescent="0.25">
      <c r="A220" s="8">
        <v>17</v>
      </c>
      <c r="B220" t="s">
        <v>44</v>
      </c>
      <c r="C220">
        <v>2029</v>
      </c>
      <c r="D220" s="13">
        <f>INDEX(Population!$C$3:$U$22,MATCH('Cost Calculations'!B220,Population!$B$3:$B$22,0),MATCH(C220,Population!$C$2:$U$2,0))</f>
        <v>138202.0054615814</v>
      </c>
      <c r="E220" s="108" t="str">
        <f t="shared" si="10"/>
        <v>Medium</v>
      </c>
      <c r="F220" s="1"/>
      <c r="G220" s="44">
        <f>D220*Variables!$C$21</f>
        <v>1.2438180491542326</v>
      </c>
      <c r="H220" s="45">
        <f t="shared" si="11"/>
        <v>1.866970792936</v>
      </c>
      <c r="I220" s="45">
        <v>0</v>
      </c>
      <c r="J220" s="106">
        <v>126750000</v>
      </c>
      <c r="K220" s="53">
        <f>I220*(J220+Variables!$C$24*Variables!$C$16)</f>
        <v>0</v>
      </c>
      <c r="L220" s="105">
        <f>(G220*Variables!$C$26+D220*Variables!$C$29)*Variables!$C$16</f>
        <v>3684575.3854500274</v>
      </c>
    </row>
    <row r="221" spans="1:12" x14ac:dyDescent="0.25">
      <c r="A221" s="8">
        <v>18</v>
      </c>
      <c r="B221" t="s">
        <v>45</v>
      </c>
      <c r="C221">
        <v>2029</v>
      </c>
      <c r="D221" s="13">
        <f>INDEX(Population!$C$3:$U$22,MATCH('Cost Calculations'!B221,Population!$B$3:$B$22,0),MATCH(C221,Population!$C$2:$U$2,0))</f>
        <v>130898.9301855542</v>
      </c>
      <c r="E221" s="108" t="str">
        <f t="shared" si="10"/>
        <v>Medium</v>
      </c>
      <c r="F221" s="1"/>
      <c r="G221" s="44">
        <f>D221*Variables!$C$21</f>
        <v>1.1780903716699878</v>
      </c>
      <c r="H221" s="45">
        <f t="shared" si="11"/>
        <v>2.4912131370320001</v>
      </c>
      <c r="I221" s="45">
        <v>0</v>
      </c>
      <c r="J221" s="107">
        <v>148489405.06416112</v>
      </c>
      <c r="K221" s="53">
        <f>I221*(J221+Variables!$C$24*Variables!$C$16)</f>
        <v>0</v>
      </c>
      <c r="L221" s="105">
        <f>(G221*Variables!$C$26+D221*Variables!$C$29)*Variables!$C$16</f>
        <v>3489869.5900437599</v>
      </c>
    </row>
    <row r="222" spans="1:12" x14ac:dyDescent="0.25">
      <c r="A222" s="8">
        <v>19</v>
      </c>
      <c r="B222" t="s">
        <v>46</v>
      </c>
      <c r="C222">
        <v>2029</v>
      </c>
      <c r="D222" s="13">
        <f>INDEX(Population!$C$3:$U$22,MATCH('Cost Calculations'!B222,Population!$B$3:$B$22,0),MATCH(C222,Population!$C$2:$U$2,0))</f>
        <v>101461.22552354333</v>
      </c>
      <c r="E222" s="108" t="str">
        <f t="shared" si="10"/>
        <v>Medium</v>
      </c>
      <c r="F222" s="1"/>
      <c r="G222" s="44">
        <f>D222*Variables!$C$21</f>
        <v>0.91315102971188999</v>
      </c>
      <c r="H222" s="45">
        <f t="shared" si="11"/>
        <v>1.69330868166</v>
      </c>
      <c r="I222" s="45">
        <v>0</v>
      </c>
      <c r="J222" s="107">
        <v>148489405.06416112</v>
      </c>
      <c r="K222" s="53">
        <f>I222*(J222+Variables!$C$24*Variables!$C$16)</f>
        <v>0</v>
      </c>
      <c r="L222" s="105">
        <f>(G222*Variables!$C$26+D222*Variables!$C$29)*Variables!$C$16</f>
        <v>2705036.970288869</v>
      </c>
    </row>
    <row r="223" spans="1:12" x14ac:dyDescent="0.25">
      <c r="A223" s="8">
        <v>20</v>
      </c>
      <c r="B223" t="s">
        <v>47</v>
      </c>
      <c r="C223">
        <v>2029</v>
      </c>
      <c r="D223" s="13">
        <f>INDEX(Population!$C$3:$U$22,MATCH('Cost Calculations'!B223,Population!$B$3:$B$22,0),MATCH(C223,Population!$C$2:$U$2,0))</f>
        <v>56827.456997940048</v>
      </c>
      <c r="E223" s="108" t="str">
        <f t="shared" si="10"/>
        <v>Small</v>
      </c>
      <c r="F223" s="1"/>
      <c r="G223" s="44">
        <f>D223*Variables!$C$21</f>
        <v>0.51144711298146039</v>
      </c>
      <c r="H223" s="45">
        <f t="shared" si="11"/>
        <v>1.403877150594</v>
      </c>
      <c r="I223" s="45">
        <v>0</v>
      </c>
      <c r="J223" s="107">
        <v>148489405.06416112</v>
      </c>
      <c r="K223" s="53">
        <f>I223*(J223+Variables!$C$24*Variables!$C$16)</f>
        <v>0</v>
      </c>
      <c r="L223" s="105">
        <f>(G223*Variables!$C$26+D223*Variables!$C$29)*Variables!$C$16</f>
        <v>1515065.201644534</v>
      </c>
    </row>
    <row r="224" spans="1:12" x14ac:dyDescent="0.25">
      <c r="A224" s="8">
        <v>1</v>
      </c>
      <c r="B224" t="s">
        <v>28</v>
      </c>
      <c r="C224">
        <v>2030</v>
      </c>
      <c r="D224" s="13">
        <f>INDEX(Population!$C$3:$U$22,MATCH('Cost Calculations'!B224,Population!$B$3:$B$22,0),MATCH(C224,Population!$C$2:$U$2,0))</f>
        <v>312190.32915541704</v>
      </c>
      <c r="E224" s="108" t="str">
        <f t="shared" si="10"/>
        <v>Medium</v>
      </c>
      <c r="F224" s="1"/>
      <c r="G224" s="44">
        <f>D224*Variables!$C$21</f>
        <v>2.8097129623987533</v>
      </c>
      <c r="H224" s="45">
        <f t="shared" si="11"/>
        <v>2.7681901107376881</v>
      </c>
      <c r="I224" s="45">
        <f t="shared" ref="I224:I236" si="12">G224-H224</f>
        <v>4.1522851661065285E-2</v>
      </c>
      <c r="J224" s="106">
        <v>112666666.66666667</v>
      </c>
      <c r="K224" s="53">
        <f>I224*(J224+Variables!$C$24*Variables!$C$16)</f>
        <v>5000564.9805980828</v>
      </c>
      <c r="L224" s="105">
        <f>(G224*Variables!$C$26+D224*Variables!$C$29)*Variables!$C$16</f>
        <v>8323242.4778478257</v>
      </c>
    </row>
    <row r="225" spans="1:12" x14ac:dyDescent="0.25">
      <c r="A225" s="8">
        <v>2</v>
      </c>
      <c r="B225" t="s">
        <v>29</v>
      </c>
      <c r="C225">
        <v>2030</v>
      </c>
      <c r="D225" s="13">
        <f>INDEX(Population!$C$3:$U$22,MATCH('Cost Calculations'!B225,Population!$B$3:$B$22,0),MATCH(C225,Population!$C$2:$U$2,0))</f>
        <v>992068.90479795658</v>
      </c>
      <c r="E225" s="108" t="str">
        <f t="shared" si="10"/>
        <v>Medium</v>
      </c>
      <c r="F225" s="1"/>
      <c r="G225" s="44">
        <f>D225*Variables!$C$21</f>
        <v>8.9286201431816092</v>
      </c>
      <c r="H225" s="45">
        <f t="shared" si="11"/>
        <v>8.7966700918045415</v>
      </c>
      <c r="I225" s="45">
        <f t="shared" si="12"/>
        <v>0.13195005137706772</v>
      </c>
      <c r="J225" s="106">
        <v>250000000</v>
      </c>
      <c r="K225" s="53">
        <f>I225*(J225+Variables!$C$24*Variables!$C$16)</f>
        <v>34011783.245012</v>
      </c>
      <c r="L225" s="105">
        <f>(G225*Variables!$C$26+D225*Variables!$C$29)*Variables!$C$16</f>
        <v>26449346.050228365</v>
      </c>
    </row>
    <row r="226" spans="1:12" x14ac:dyDescent="0.25">
      <c r="A226" s="8">
        <v>3</v>
      </c>
      <c r="B226" t="s">
        <v>30</v>
      </c>
      <c r="C226">
        <v>2030</v>
      </c>
      <c r="D226" s="13">
        <f>INDEX(Population!$C$3:$U$22,MATCH('Cost Calculations'!B226,Population!$B$3:$B$22,0),MATCH(C226,Population!$C$2:$U$2,0))</f>
        <v>1107160.6376734292</v>
      </c>
      <c r="E226" s="108" t="str">
        <f t="shared" si="10"/>
        <v>Large</v>
      </c>
      <c r="F226" s="1"/>
      <c r="G226" s="44">
        <f>D226*Variables!$C$21</f>
        <v>9.9644457390608636</v>
      </c>
      <c r="H226" s="45">
        <f t="shared" si="11"/>
        <v>9.8171879202570089</v>
      </c>
      <c r="I226" s="45">
        <f t="shared" si="12"/>
        <v>0.14725781880385469</v>
      </c>
      <c r="J226" s="107">
        <v>148489405.06416112</v>
      </c>
      <c r="K226" s="53">
        <f>I226*(J226+Variables!$C$24*Variables!$C$16)</f>
        <v>23009323.793446045</v>
      </c>
      <c r="L226" s="105">
        <f>(G226*Variables!$C$26+D226*Variables!$C$29)*Variables!$C$16</f>
        <v>29517783.187630411</v>
      </c>
    </row>
    <row r="227" spans="1:12" x14ac:dyDescent="0.25">
      <c r="A227" s="8">
        <v>4</v>
      </c>
      <c r="B227" t="s">
        <v>31</v>
      </c>
      <c r="C227">
        <v>2030</v>
      </c>
      <c r="D227" s="13">
        <f>INDEX(Population!$C$3:$U$22,MATCH('Cost Calculations'!B227,Population!$B$3:$B$22,0),MATCH(C227,Population!$C$2:$U$2,0))</f>
        <v>82335.005904065401</v>
      </c>
      <c r="E227" s="108" t="str">
        <f t="shared" si="10"/>
        <v>Small</v>
      </c>
      <c r="F227" s="1"/>
      <c r="G227" s="44">
        <f>D227*Variables!$C$21</f>
        <v>0.74101505313658866</v>
      </c>
      <c r="H227" s="45">
        <f t="shared" si="11"/>
        <v>0.73006409176018583</v>
      </c>
      <c r="I227" s="45">
        <f t="shared" si="12"/>
        <v>1.0950961376402835E-2</v>
      </c>
      <c r="J227" s="107">
        <v>148489405.06416112</v>
      </c>
      <c r="K227" s="53">
        <f>I227*(J227+Variables!$C$24*Variables!$C$16)</f>
        <v>1711109.2518272356</v>
      </c>
      <c r="L227" s="105">
        <f>(G227*Variables!$C$26+D227*Variables!$C$29)*Variables!$C$16</f>
        <v>2195116.7430731342</v>
      </c>
    </row>
    <row r="228" spans="1:12" x14ac:dyDescent="0.25">
      <c r="A228" s="8">
        <v>5</v>
      </c>
      <c r="B228" t="s">
        <v>32</v>
      </c>
      <c r="C228">
        <v>2030</v>
      </c>
      <c r="D228" s="13">
        <f>INDEX(Population!$C$3:$U$22,MATCH('Cost Calculations'!B228,Population!$B$3:$B$22,0),MATCH(C228,Population!$C$2:$U$2,0))</f>
        <v>826256.27727410849</v>
      </c>
      <c r="E228" s="108" t="str">
        <f t="shared" si="10"/>
        <v>Medium</v>
      </c>
      <c r="F228" s="1"/>
      <c r="G228" s="44">
        <f>D228*Variables!$C$21</f>
        <v>7.4363064954669769</v>
      </c>
      <c r="H228" s="45">
        <f t="shared" si="11"/>
        <v>7.3264103403615541</v>
      </c>
      <c r="I228" s="45">
        <f t="shared" si="12"/>
        <v>0.10989615510542272</v>
      </c>
      <c r="J228" s="106">
        <v>119387755.10204081</v>
      </c>
      <c r="K228" s="53">
        <f>I228*(J228+Variables!$C$24*Variables!$C$16)</f>
        <v>13973330.924997844</v>
      </c>
      <c r="L228" s="105">
        <f>(G228*Variables!$C$26+D228*Variables!$C$29)*Variables!$C$16</f>
        <v>22028649.520314403</v>
      </c>
    </row>
    <row r="229" spans="1:12" x14ac:dyDescent="0.25">
      <c r="A229" s="8">
        <v>6</v>
      </c>
      <c r="B229" t="s">
        <v>33</v>
      </c>
      <c r="C229">
        <v>2030</v>
      </c>
      <c r="D229" s="13">
        <f>INDEX(Population!$C$3:$U$22,MATCH('Cost Calculations'!B229,Population!$B$3:$B$22,0),MATCH(C229,Population!$C$2:$U$2,0))</f>
        <v>154081.85999852719</v>
      </c>
      <c r="E229" s="108" t="str">
        <f t="shared" si="10"/>
        <v>Medium</v>
      </c>
      <c r="F229" s="1"/>
      <c r="G229" s="44">
        <f>D229*Variables!$C$21</f>
        <v>1.3867367399867447</v>
      </c>
      <c r="H229" s="45">
        <f t="shared" si="11"/>
        <v>1.3662430935829997</v>
      </c>
      <c r="I229" s="45">
        <f t="shared" si="12"/>
        <v>2.0493646403745069E-2</v>
      </c>
      <c r="J229" s="106">
        <v>196043165.46762589</v>
      </c>
      <c r="K229" s="53">
        <f>I229*(J229+Variables!$C$24*Variables!$C$16)</f>
        <v>4176722.505396876</v>
      </c>
      <c r="L229" s="105">
        <f>(G229*Variables!$C$26+D229*Variables!$C$29)*Variables!$C$16</f>
        <v>4107944.9375483338</v>
      </c>
    </row>
    <row r="230" spans="1:12" x14ac:dyDescent="0.25">
      <c r="A230" s="8">
        <v>7</v>
      </c>
      <c r="B230" t="s">
        <v>34</v>
      </c>
      <c r="C230">
        <v>2030</v>
      </c>
      <c r="D230" s="13">
        <f>INDEX(Population!$C$3:$U$22,MATCH('Cost Calculations'!B230,Population!$B$3:$B$22,0),MATCH(C230,Population!$C$2:$U$2,0))</f>
        <v>64678.063276518005</v>
      </c>
      <c r="E230" s="108" t="str">
        <f t="shared" si="10"/>
        <v>Small</v>
      </c>
      <c r="F230" s="1"/>
      <c r="G230" s="44">
        <f>D230*Variables!$C$21</f>
        <v>0.58210256948866201</v>
      </c>
      <c r="H230" s="45">
        <f t="shared" si="11"/>
        <v>0.76316986217600002</v>
      </c>
      <c r="I230" s="45">
        <v>0</v>
      </c>
      <c r="J230" s="107">
        <v>148489405.06416112</v>
      </c>
      <c r="K230" s="53">
        <f>I230*(J230+Variables!$C$24*Variables!$C$16)</f>
        <v>0</v>
      </c>
      <c r="L230" s="105">
        <f>(G230*Variables!$C$26+D230*Variables!$C$29)*Variables!$C$16</f>
        <v>1724368.6090610703</v>
      </c>
    </row>
    <row r="231" spans="1:12" x14ac:dyDescent="0.25">
      <c r="A231" s="8">
        <v>8</v>
      </c>
      <c r="B231" t="s">
        <v>35</v>
      </c>
      <c r="C231">
        <v>2030</v>
      </c>
      <c r="D231" s="13">
        <f>INDEX(Population!$C$3:$U$22,MATCH('Cost Calculations'!B231,Population!$B$3:$B$22,0),MATCH(C231,Population!$C$2:$U$2,0))</f>
        <v>67968.639656907224</v>
      </c>
      <c r="E231" s="108" t="str">
        <f t="shared" si="10"/>
        <v>Small</v>
      </c>
      <c r="F231" s="1"/>
      <c r="G231" s="44">
        <f>D231*Variables!$C$21</f>
        <v>0.61171775691216501</v>
      </c>
      <c r="H231" s="45">
        <f t="shared" si="11"/>
        <v>0.60267759301691137</v>
      </c>
      <c r="I231" s="45">
        <f t="shared" si="12"/>
        <v>9.0401638952536389E-3</v>
      </c>
      <c r="J231" s="107">
        <v>148489405.06416112</v>
      </c>
      <c r="K231" s="53">
        <f>I231*(J231+Variables!$C$24*Variables!$C$16)</f>
        <v>1412543.3875180185</v>
      </c>
      <c r="L231" s="105">
        <f>(G231*Variables!$C$26+D231*Variables!$C$29)*Variables!$C$16</f>
        <v>1812097.9925431053</v>
      </c>
    </row>
    <row r="232" spans="1:12" x14ac:dyDescent="0.25">
      <c r="A232" s="8">
        <v>9</v>
      </c>
      <c r="B232" t="s">
        <v>36</v>
      </c>
      <c r="C232">
        <v>2030</v>
      </c>
      <c r="D232" s="13">
        <f>INDEX(Population!$C$3:$U$22,MATCH('Cost Calculations'!B232,Population!$B$3:$B$22,0),MATCH(C232,Population!$C$2:$U$2,0))</f>
        <v>196244.90284474596</v>
      </c>
      <c r="E232" s="108" t="str">
        <f t="shared" si="10"/>
        <v>Medium</v>
      </c>
      <c r="F232" s="1"/>
      <c r="G232" s="44">
        <f>D232*Variables!$C$21</f>
        <v>1.7662041256027137</v>
      </c>
      <c r="H232" s="45">
        <f t="shared" si="11"/>
        <v>1.7401025868007034</v>
      </c>
      <c r="I232" s="45">
        <f t="shared" si="12"/>
        <v>2.6101538802010271E-2</v>
      </c>
      <c r="J232" s="107">
        <v>148489405.06416112</v>
      </c>
      <c r="K232" s="53">
        <f>I232*(J232+Variables!$C$24*Variables!$C$16)</f>
        <v>4078416.7705391077</v>
      </c>
      <c r="L232" s="105">
        <f>(G232*Variables!$C$26+D232*Variables!$C$29)*Variables!$C$16</f>
        <v>5232045.1944728894</v>
      </c>
    </row>
    <row r="233" spans="1:12" x14ac:dyDescent="0.25">
      <c r="A233" s="8">
        <v>10</v>
      </c>
      <c r="B233" t="s">
        <v>37</v>
      </c>
      <c r="C233">
        <v>2030</v>
      </c>
      <c r="D233" s="13">
        <f>INDEX(Population!$C$3:$U$22,MATCH('Cost Calculations'!B233,Population!$B$3:$B$22,0),MATCH(C233,Population!$C$2:$U$2,0))</f>
        <v>346370.75007924542</v>
      </c>
      <c r="E233" s="108" t="str">
        <f t="shared" si="10"/>
        <v>Medium</v>
      </c>
      <c r="F233" s="1"/>
      <c r="G233" s="44">
        <f>D233*Variables!$C$21</f>
        <v>3.1173367507132088</v>
      </c>
      <c r="H233" s="45">
        <f t="shared" si="11"/>
        <v>3.071267734692817</v>
      </c>
      <c r="I233" s="45">
        <f t="shared" si="12"/>
        <v>4.6069016020391818E-2</v>
      </c>
      <c r="J233" s="106">
        <v>242734319.94362226</v>
      </c>
      <c r="K233" s="53">
        <f>I233*(J233+Variables!$C$24*Variables!$C$16)</f>
        <v>11540144.848474948</v>
      </c>
      <c r="L233" s="105">
        <f>(G233*Variables!$C$26+D233*Variables!$C$29)*Variables!$C$16</f>
        <v>9234519.6852923259</v>
      </c>
    </row>
    <row r="234" spans="1:12" x14ac:dyDescent="0.25">
      <c r="A234" s="8">
        <v>11</v>
      </c>
      <c r="B234" t="s">
        <v>38</v>
      </c>
      <c r="C234">
        <v>2030</v>
      </c>
      <c r="D234" s="13">
        <f>INDEX(Population!$C$3:$U$22,MATCH('Cost Calculations'!B234,Population!$B$3:$B$22,0),MATCH(C234,Population!$C$2:$U$2,0))</f>
        <v>230120.71340042553</v>
      </c>
      <c r="E234" s="108" t="str">
        <f t="shared" si="10"/>
        <v>Medium</v>
      </c>
      <c r="F234" s="1"/>
      <c r="G234" s="44">
        <f>D234*Variables!$C$21</f>
        <v>2.0710864206038297</v>
      </c>
      <c r="H234" s="45">
        <f t="shared" si="11"/>
        <v>2.0404792321219998</v>
      </c>
      <c r="I234" s="45">
        <f t="shared" si="12"/>
        <v>3.0607188481829972E-2</v>
      </c>
      <c r="J234" s="107">
        <v>148489405.06416112</v>
      </c>
      <c r="K234" s="53">
        <f>I234*(J234+Variables!$C$24*Variables!$C$16)</f>
        <v>4782433.3940699613</v>
      </c>
      <c r="L234" s="105">
        <f>(G234*Variables!$C$26+D234*Variables!$C$29)*Variables!$C$16</f>
        <v>6135201.2472287454</v>
      </c>
    </row>
    <row r="235" spans="1:12" x14ac:dyDescent="0.25">
      <c r="A235" s="8">
        <v>12</v>
      </c>
      <c r="B235" t="s">
        <v>39</v>
      </c>
      <c r="C235">
        <v>2030</v>
      </c>
      <c r="D235" s="13">
        <f>INDEX(Population!$C$3:$U$22,MATCH('Cost Calculations'!B235,Population!$B$3:$B$22,0),MATCH(C235,Population!$C$2:$U$2,0))</f>
        <v>234747.39191063508</v>
      </c>
      <c r="E235" s="108" t="str">
        <f t="shared" si="10"/>
        <v>Medium</v>
      </c>
      <c r="F235" s="1"/>
      <c r="G235" s="44">
        <f>D235*Variables!$C$21</f>
        <v>2.1127265271957159</v>
      </c>
      <c r="H235" s="45">
        <f t="shared" si="11"/>
        <v>2.0815039676805083</v>
      </c>
      <c r="I235" s="45">
        <f t="shared" si="12"/>
        <v>3.1222559515207582E-2</v>
      </c>
      <c r="J235" s="106">
        <v>32000000</v>
      </c>
      <c r="K235" s="53">
        <f>I235*(J235+Variables!$C$24*Variables!$C$16)</f>
        <v>1241488.9457509145</v>
      </c>
      <c r="L235" s="105">
        <f>(G235*Variables!$C$26+D235*Variables!$C$29)*Variables!$C$16</f>
        <v>6258552.1761691198</v>
      </c>
    </row>
    <row r="236" spans="1:12" x14ac:dyDescent="0.25">
      <c r="A236" s="8">
        <v>13</v>
      </c>
      <c r="B236" t="s">
        <v>40</v>
      </c>
      <c r="C236">
        <v>2030</v>
      </c>
      <c r="D236" s="13">
        <f>INDEX(Population!$C$3:$U$22,MATCH('Cost Calculations'!B236,Population!$B$3:$B$22,0),MATCH(C236,Population!$C$2:$U$2,0))</f>
        <v>80946.610148811786</v>
      </c>
      <c r="E236" s="108" t="str">
        <f t="shared" si="10"/>
        <v>Small</v>
      </c>
      <c r="F236" s="1"/>
      <c r="G236" s="44">
        <f>D236*Variables!$C$21</f>
        <v>0.72851949133930605</v>
      </c>
      <c r="H236" s="45">
        <f t="shared" si="11"/>
        <v>0.71775319343774002</v>
      </c>
      <c r="I236" s="45">
        <f t="shared" si="12"/>
        <v>1.0766297901566024E-2</v>
      </c>
      <c r="J236" s="107">
        <v>148489405.06416112</v>
      </c>
      <c r="K236" s="53">
        <f>I236*(J236+Variables!$C$24*Variables!$C$16)</f>
        <v>1682255.2207146152</v>
      </c>
      <c r="L236" s="105">
        <f>(G236*Variables!$C$26+D236*Variables!$C$29)*Variables!$C$16</f>
        <v>2158101.0079686758</v>
      </c>
    </row>
    <row r="237" spans="1:12" x14ac:dyDescent="0.25">
      <c r="A237" s="8">
        <v>14</v>
      </c>
      <c r="B237" t="s">
        <v>41</v>
      </c>
      <c r="C237">
        <v>2030</v>
      </c>
      <c r="D237" s="13">
        <f>INDEX(Population!$C$3:$U$22,MATCH('Cost Calculations'!B237,Population!$B$3:$B$22,0),MATCH(C237,Population!$C$2:$U$2,0))</f>
        <v>1885702.9037615762</v>
      </c>
      <c r="E237" s="108" t="str">
        <f t="shared" si="10"/>
        <v>Large</v>
      </c>
      <c r="F237" s="1"/>
      <c r="G237" s="44">
        <f>D237*Variables!$C$21</f>
        <v>16.971326133854188</v>
      </c>
      <c r="H237" s="45">
        <f t="shared" si="11"/>
        <v>20.624841791765</v>
      </c>
      <c r="I237" s="45">
        <v>0</v>
      </c>
      <c r="J237" s="106">
        <v>108333333.33333333</v>
      </c>
      <c r="K237" s="53">
        <f>I237*(J237+Variables!$C$24*Variables!$C$16)</f>
        <v>0</v>
      </c>
      <c r="L237" s="105">
        <f>(G237*Variables!$C$26+D237*Variables!$C$29)*Variables!$C$16</f>
        <v>50274339.220084727</v>
      </c>
    </row>
    <row r="238" spans="1:12" x14ac:dyDescent="0.25">
      <c r="A238" s="8">
        <v>15</v>
      </c>
      <c r="B238" t="s">
        <v>42</v>
      </c>
      <c r="C238">
        <v>2030</v>
      </c>
      <c r="D238" s="13">
        <f>INDEX(Population!$C$3:$U$22,MATCH('Cost Calculations'!B238,Population!$B$3:$B$22,0),MATCH(C238,Population!$C$2:$U$2,0))</f>
        <v>97457.015038734477</v>
      </c>
      <c r="E238" s="108" t="str">
        <f t="shared" si="10"/>
        <v>Small</v>
      </c>
      <c r="F238" s="1"/>
      <c r="G238" s="44">
        <f>D238*Variables!$C$21</f>
        <v>0.87711313534861035</v>
      </c>
      <c r="H238" s="45">
        <f t="shared" si="11"/>
        <v>1.688396291294</v>
      </c>
      <c r="I238" s="45">
        <v>0</v>
      </c>
      <c r="J238" s="107">
        <v>148489405.06416112</v>
      </c>
      <c r="K238" s="53">
        <f>I238*(J238+Variables!$C$24*Variables!$C$16)</f>
        <v>0</v>
      </c>
      <c r="L238" s="105">
        <f>(G238*Variables!$C$26+D238*Variables!$C$29)*Variables!$C$16</f>
        <v>2598281.5339895808</v>
      </c>
    </row>
    <row r="239" spans="1:12" x14ac:dyDescent="0.25">
      <c r="A239" s="8">
        <v>16</v>
      </c>
      <c r="B239" t="s">
        <v>43</v>
      </c>
      <c r="C239">
        <v>2030</v>
      </c>
      <c r="D239" s="13">
        <f>INDEX(Population!$C$3:$U$22,MATCH('Cost Calculations'!B239,Population!$B$3:$B$22,0),MATCH(C239,Population!$C$2:$U$2,0))</f>
        <v>101865.36766276008</v>
      </c>
      <c r="E239" s="108" t="str">
        <f t="shared" si="10"/>
        <v>Medium</v>
      </c>
      <c r="F239" s="1"/>
      <c r="G239" s="44">
        <f>D239*Variables!$C$21</f>
        <v>0.91678830896484076</v>
      </c>
      <c r="H239" s="45">
        <f t="shared" si="11"/>
        <v>3.838561813059</v>
      </c>
      <c r="I239" s="45">
        <v>0</v>
      </c>
      <c r="J239" s="107">
        <v>148489405.06416112</v>
      </c>
      <c r="K239" s="53">
        <f>I239*(J239+Variables!$C$24*Variables!$C$16)</f>
        <v>0</v>
      </c>
      <c r="L239" s="105">
        <f>(G239*Variables!$C$26+D239*Variables!$C$29)*Variables!$C$16</f>
        <v>2715811.7211574088</v>
      </c>
    </row>
    <row r="240" spans="1:12" x14ac:dyDescent="0.25">
      <c r="A240" s="8">
        <v>17</v>
      </c>
      <c r="B240" t="s">
        <v>44</v>
      </c>
      <c r="C240">
        <v>2030</v>
      </c>
      <c r="D240" s="13">
        <f>INDEX(Population!$C$3:$U$22,MATCH('Cost Calculations'!B240,Population!$B$3:$B$22,0),MATCH(C240,Population!$C$2:$U$2,0))</f>
        <v>140275.0355435051</v>
      </c>
      <c r="E240" s="108" t="str">
        <f t="shared" si="10"/>
        <v>Medium</v>
      </c>
      <c r="F240" s="1"/>
      <c r="G240" s="44">
        <f>D240*Variables!$C$21</f>
        <v>1.2624753198915459</v>
      </c>
      <c r="H240" s="45">
        <f t="shared" si="11"/>
        <v>1.866970792936</v>
      </c>
      <c r="I240" s="45">
        <v>0</v>
      </c>
      <c r="J240" s="106">
        <v>126750000</v>
      </c>
      <c r="K240" s="53">
        <f>I240*(J240+Variables!$C$24*Variables!$C$16)</f>
        <v>0</v>
      </c>
      <c r="L240" s="105">
        <f>(G240*Variables!$C$26+D240*Variables!$C$29)*Variables!$C$16</f>
        <v>3739844.0162317771</v>
      </c>
    </row>
    <row r="241" spans="1:12" x14ac:dyDescent="0.25">
      <c r="A241" s="8">
        <v>18</v>
      </c>
      <c r="B241" t="s">
        <v>45</v>
      </c>
      <c r="C241">
        <v>2030</v>
      </c>
      <c r="D241" s="13">
        <f>INDEX(Population!$C$3:$U$22,MATCH('Cost Calculations'!B241,Population!$B$3:$B$22,0),MATCH(C241,Population!$C$2:$U$2,0))</f>
        <v>132862.41413833751</v>
      </c>
      <c r="E241" s="108" t="str">
        <f t="shared" si="10"/>
        <v>Medium</v>
      </c>
      <c r="F241" s="1"/>
      <c r="G241" s="44">
        <f>D241*Variables!$C$21</f>
        <v>1.1957617272450376</v>
      </c>
      <c r="H241" s="45">
        <f t="shared" si="11"/>
        <v>2.4912131370320001</v>
      </c>
      <c r="I241" s="45">
        <v>0</v>
      </c>
      <c r="J241" s="107">
        <v>148489405.06416112</v>
      </c>
      <c r="K241" s="53">
        <f>I241*(J241+Variables!$C$24*Variables!$C$16)</f>
        <v>0</v>
      </c>
      <c r="L241" s="105">
        <f>(G241*Variables!$C$26+D241*Variables!$C$29)*Variables!$C$16</f>
        <v>3542217.6338944165</v>
      </c>
    </row>
    <row r="242" spans="1:12" x14ac:dyDescent="0.25">
      <c r="A242" s="8">
        <v>19</v>
      </c>
      <c r="B242" t="s">
        <v>46</v>
      </c>
      <c r="C242">
        <v>2030</v>
      </c>
      <c r="D242" s="13">
        <f>INDEX(Population!$C$3:$U$22,MATCH('Cost Calculations'!B242,Population!$B$3:$B$22,0),MATCH(C242,Population!$C$2:$U$2,0))</f>
        <v>102983.14390639646</v>
      </c>
      <c r="E242" s="108" t="str">
        <f t="shared" si="10"/>
        <v>Medium</v>
      </c>
      <c r="F242" s="1"/>
      <c r="G242" s="44">
        <f>D242*Variables!$C$21</f>
        <v>0.92684829515756817</v>
      </c>
      <c r="H242" s="45">
        <f t="shared" si="11"/>
        <v>1.69330868166</v>
      </c>
      <c r="I242" s="45">
        <v>0</v>
      </c>
      <c r="J242" s="107">
        <v>148489405.06416112</v>
      </c>
      <c r="K242" s="53">
        <f>I242*(J242+Variables!$C$24*Variables!$C$16)</f>
        <v>0</v>
      </c>
      <c r="L242" s="105">
        <f>(G242*Variables!$C$26+D242*Variables!$C$29)*Variables!$C$16</f>
        <v>2745612.524843201</v>
      </c>
    </row>
    <row r="243" spans="1:12" x14ac:dyDescent="0.25">
      <c r="A243" s="8">
        <v>20</v>
      </c>
      <c r="B243" t="s">
        <v>47</v>
      </c>
      <c r="C243">
        <v>2030</v>
      </c>
      <c r="D243" s="13">
        <f>INDEX(Population!$C$3:$U$22,MATCH('Cost Calculations'!B243,Population!$B$3:$B$22,0),MATCH(C243,Population!$C$2:$U$2,0))</f>
        <v>57679.868852909145</v>
      </c>
      <c r="E243" s="108" t="str">
        <f t="shared" si="10"/>
        <v>Small</v>
      </c>
      <c r="F243" s="1"/>
      <c r="G243" s="44">
        <f>D243*Variables!$C$21</f>
        <v>0.51911881967618234</v>
      </c>
      <c r="H243" s="45">
        <f t="shared" si="11"/>
        <v>1.403877150594</v>
      </c>
      <c r="I243" s="45">
        <v>0</v>
      </c>
      <c r="J243" s="107">
        <v>148489405.06416112</v>
      </c>
      <c r="K243" s="53">
        <f>I243*(J243+Variables!$C$24*Variables!$C$16)</f>
        <v>0</v>
      </c>
      <c r="L243" s="105">
        <f>(G243*Variables!$C$26+D243*Variables!$C$29)*Variables!$C$16</f>
        <v>1537791.1796692018</v>
      </c>
    </row>
    <row r="244" spans="1:12" ht="15.75" thickBot="1" x14ac:dyDescent="0.3">
      <c r="H244" s="41"/>
      <c r="I244" s="41"/>
      <c r="J244" s="41"/>
      <c r="K244" s="14">
        <f>SUM(K4:K243)</f>
        <v>4390838490.5468416</v>
      </c>
      <c r="L244" s="14">
        <f>SUM(L4:L243)</f>
        <v>2129317678.490725</v>
      </c>
    </row>
    <row r="245" spans="1:12" ht="15.75" thickTop="1" x14ac:dyDescent="0.25"/>
  </sheetData>
  <mergeCells count="2">
    <mergeCell ref="G1:L1"/>
    <mergeCell ref="G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42"/>
  <sheetViews>
    <sheetView topLeftCell="A2" workbookViewId="0">
      <selection activeCell="A30" sqref="A30"/>
    </sheetView>
  </sheetViews>
  <sheetFormatPr defaultColWidth="8.85546875" defaultRowHeight="15" x14ac:dyDescent="0.25"/>
  <cols>
    <col min="1" max="1" width="82.42578125" bestFit="1" customWidth="1"/>
    <col min="2" max="2" width="16.28515625" bestFit="1" customWidth="1"/>
    <col min="3" max="3" width="18.42578125" style="15" bestFit="1" customWidth="1"/>
    <col min="4" max="4" width="158.7109375" style="2" bestFit="1" customWidth="1"/>
    <col min="5" max="5" width="255.7109375" bestFit="1" customWidth="1"/>
    <col min="6" max="6" width="206" bestFit="1" customWidth="1"/>
  </cols>
  <sheetData>
    <row r="1" spans="1:10" s="97" customFormat="1" ht="45" x14ac:dyDescent="0.25">
      <c r="A1" s="95" t="s">
        <v>2</v>
      </c>
      <c r="B1" s="95" t="s">
        <v>3</v>
      </c>
      <c r="C1" s="95" t="s">
        <v>121</v>
      </c>
      <c r="D1" s="95" t="s">
        <v>4</v>
      </c>
      <c r="E1" s="96" t="s">
        <v>5</v>
      </c>
      <c r="F1" s="96" t="s">
        <v>6</v>
      </c>
      <c r="G1" s="40"/>
      <c r="H1" s="40"/>
      <c r="I1" s="40"/>
      <c r="J1" s="40"/>
    </row>
    <row r="2" spans="1:10" x14ac:dyDescent="0.25">
      <c r="A2" s="20" t="s">
        <v>119</v>
      </c>
      <c r="B2" s="24" t="s">
        <v>8</v>
      </c>
      <c r="C2" s="25">
        <v>1.02</v>
      </c>
      <c r="D2" s="21" t="s">
        <v>9</v>
      </c>
      <c r="E2" s="21"/>
      <c r="F2" s="21"/>
      <c r="G2" s="21"/>
      <c r="H2" s="21"/>
      <c r="I2" s="21"/>
      <c r="J2" s="21"/>
    </row>
    <row r="3" spans="1:10" x14ac:dyDescent="0.25">
      <c r="A3" s="20" t="s">
        <v>10</v>
      </c>
      <c r="B3" s="24" t="s">
        <v>8</v>
      </c>
      <c r="C3" s="25">
        <v>1.02</v>
      </c>
      <c r="D3" s="21" t="s">
        <v>9</v>
      </c>
      <c r="E3" s="21"/>
      <c r="F3" s="21"/>
      <c r="G3" s="21"/>
      <c r="H3" s="21"/>
      <c r="I3" s="21"/>
      <c r="J3" s="21"/>
    </row>
    <row r="4" spans="1:10" x14ac:dyDescent="0.25">
      <c r="A4" s="20" t="s">
        <v>11</v>
      </c>
      <c r="B4" s="24" t="s">
        <v>8</v>
      </c>
      <c r="C4" s="25">
        <v>1.08</v>
      </c>
      <c r="D4" s="21" t="s">
        <v>9</v>
      </c>
      <c r="E4" s="21"/>
      <c r="F4" s="21"/>
      <c r="G4" s="21"/>
      <c r="H4" s="21"/>
      <c r="I4" s="21"/>
      <c r="J4" s="21"/>
    </row>
    <row r="5" spans="1:10" x14ac:dyDescent="0.25">
      <c r="A5" s="20" t="s">
        <v>12</v>
      </c>
      <c r="B5" s="24" t="s">
        <v>8</v>
      </c>
      <c r="C5" s="25">
        <v>1.08</v>
      </c>
      <c r="D5" s="21" t="s">
        <v>9</v>
      </c>
      <c r="E5" s="21"/>
      <c r="F5" s="21"/>
      <c r="G5" s="21"/>
      <c r="H5" s="21"/>
      <c r="I5" s="21"/>
      <c r="J5" s="21"/>
    </row>
    <row r="6" spans="1:10" x14ac:dyDescent="0.25">
      <c r="A6" s="20" t="s">
        <v>13</v>
      </c>
      <c r="B6" s="24" t="s">
        <v>8</v>
      </c>
      <c r="C6" s="25">
        <v>1.1200000000000001</v>
      </c>
      <c r="D6" s="21" t="s">
        <v>9</v>
      </c>
      <c r="E6" s="21"/>
      <c r="F6" s="21"/>
      <c r="G6" s="21"/>
      <c r="H6" s="21"/>
      <c r="I6" s="21"/>
      <c r="J6" s="21"/>
    </row>
    <row r="7" spans="1:10" x14ac:dyDescent="0.25">
      <c r="A7" s="20" t="s">
        <v>14</v>
      </c>
      <c r="B7" s="24" t="s">
        <v>8</v>
      </c>
      <c r="C7" s="25">
        <v>1.31</v>
      </c>
      <c r="D7" s="21" t="s">
        <v>9</v>
      </c>
      <c r="E7" s="21"/>
      <c r="F7" s="21"/>
      <c r="G7" s="21"/>
      <c r="H7" s="21"/>
      <c r="I7" s="21"/>
      <c r="J7" s="21"/>
    </row>
    <row r="8" spans="1:10" x14ac:dyDescent="0.25">
      <c r="A8" s="20" t="s">
        <v>118</v>
      </c>
      <c r="B8" s="24" t="s">
        <v>8</v>
      </c>
      <c r="C8" s="25">
        <v>1.39</v>
      </c>
      <c r="D8" s="21" t="s">
        <v>9</v>
      </c>
      <c r="E8" s="21"/>
      <c r="F8" s="21"/>
      <c r="G8" s="21"/>
      <c r="H8" s="21"/>
      <c r="I8" s="21"/>
      <c r="J8" s="21"/>
    </row>
    <row r="9" spans="1:10" x14ac:dyDescent="0.25">
      <c r="A9" s="20" t="s">
        <v>15</v>
      </c>
      <c r="B9" s="24" t="s">
        <v>8</v>
      </c>
      <c r="C9" s="25">
        <v>1.6</v>
      </c>
      <c r="D9" s="21" t="s">
        <v>9</v>
      </c>
      <c r="E9" s="21"/>
      <c r="F9" s="21"/>
      <c r="G9" s="21"/>
      <c r="H9" s="21"/>
      <c r="I9" s="21"/>
      <c r="J9" s="21"/>
    </row>
    <row r="10" spans="1:10" x14ac:dyDescent="0.25">
      <c r="A10" s="20" t="s">
        <v>16</v>
      </c>
      <c r="B10" s="24" t="s">
        <v>8</v>
      </c>
      <c r="C10" s="25">
        <v>1.63</v>
      </c>
      <c r="D10" s="21" t="s">
        <v>9</v>
      </c>
      <c r="E10" s="21"/>
      <c r="F10" s="21"/>
      <c r="G10" s="21"/>
      <c r="H10" s="21"/>
      <c r="I10" s="21"/>
      <c r="J10" s="21"/>
    </row>
    <row r="11" spans="1:10" x14ac:dyDescent="0.25">
      <c r="A11" s="21" t="s">
        <v>17</v>
      </c>
      <c r="B11" s="24" t="s">
        <v>8</v>
      </c>
      <c r="C11" s="21">
        <v>0.25</v>
      </c>
      <c r="D11" s="21" t="s">
        <v>9</v>
      </c>
      <c r="E11" s="19"/>
      <c r="F11" s="22" t="s">
        <v>18</v>
      </c>
      <c r="G11" s="19"/>
      <c r="H11" s="19"/>
      <c r="I11" s="19"/>
      <c r="J11" s="19"/>
    </row>
    <row r="12" spans="1:10" x14ac:dyDescent="0.25">
      <c r="A12" s="20" t="s">
        <v>19</v>
      </c>
      <c r="B12" s="24" t="s">
        <v>8</v>
      </c>
      <c r="C12" s="21">
        <v>0.441</v>
      </c>
      <c r="D12" s="21" t="s">
        <v>9</v>
      </c>
      <c r="E12" s="21"/>
      <c r="F12" s="21"/>
      <c r="G12" s="21"/>
      <c r="H12" s="21"/>
      <c r="I12" s="21"/>
      <c r="J12" s="21"/>
    </row>
    <row r="13" spans="1:10" x14ac:dyDescent="0.25">
      <c r="A13" s="20" t="s">
        <v>20</v>
      </c>
      <c r="B13" s="24" t="s">
        <v>8</v>
      </c>
      <c r="C13" s="28">
        <v>0.441</v>
      </c>
      <c r="D13" s="22" t="s">
        <v>18</v>
      </c>
      <c r="E13" s="20"/>
      <c r="F13" s="20"/>
      <c r="G13" s="21"/>
      <c r="H13" s="21"/>
      <c r="I13" s="21"/>
      <c r="J13" s="21"/>
    </row>
    <row r="14" spans="1:10" x14ac:dyDescent="0.25">
      <c r="A14" s="20" t="s">
        <v>21</v>
      </c>
      <c r="B14" s="24" t="s">
        <v>8</v>
      </c>
      <c r="C14" s="28">
        <v>0.43</v>
      </c>
      <c r="D14" s="21" t="s">
        <v>9</v>
      </c>
      <c r="E14" s="20"/>
      <c r="F14" s="20"/>
      <c r="G14" s="21"/>
      <c r="H14" s="21"/>
      <c r="I14" s="21"/>
      <c r="J14" s="21"/>
    </row>
    <row r="15" spans="1:10" x14ac:dyDescent="0.25">
      <c r="A15" s="20" t="s">
        <v>56</v>
      </c>
      <c r="B15" s="24" t="s">
        <v>8</v>
      </c>
      <c r="C15" s="28">
        <v>0.24399999999999999</v>
      </c>
      <c r="D15" s="21" t="s">
        <v>9</v>
      </c>
      <c r="E15" s="20"/>
      <c r="F15" s="20"/>
      <c r="G15" s="21"/>
      <c r="H15" s="21"/>
      <c r="I15" s="21"/>
      <c r="J15" s="21"/>
    </row>
    <row r="16" spans="1:10" x14ac:dyDescent="0.25">
      <c r="A16" s="26" t="s">
        <v>57</v>
      </c>
      <c r="B16" s="27" t="s">
        <v>8</v>
      </c>
      <c r="C16" s="29">
        <v>0.45200000000000001</v>
      </c>
      <c r="D16" s="21" t="s">
        <v>9</v>
      </c>
      <c r="E16" s="26"/>
      <c r="F16" s="26"/>
      <c r="G16" s="26"/>
      <c r="H16" s="26"/>
      <c r="I16" s="26"/>
      <c r="J16" s="26"/>
    </row>
    <row r="17" spans="1:10" x14ac:dyDescent="0.25">
      <c r="A17" s="20" t="s">
        <v>22</v>
      </c>
      <c r="B17" s="24" t="s">
        <v>8</v>
      </c>
      <c r="C17" s="21">
        <v>0.26100000000000001</v>
      </c>
      <c r="D17" s="22" t="s">
        <v>23</v>
      </c>
      <c r="E17" s="21"/>
      <c r="F17" s="21"/>
      <c r="G17" s="21"/>
      <c r="H17" s="21"/>
      <c r="I17" s="21"/>
      <c r="J17" s="21"/>
    </row>
    <row r="18" spans="1:10" x14ac:dyDescent="0.25">
      <c r="A18" s="20" t="s">
        <v>120</v>
      </c>
      <c r="B18" s="24" t="s">
        <v>8</v>
      </c>
      <c r="C18" s="24">
        <v>2955.7040000000002</v>
      </c>
      <c r="D18" s="22" t="s">
        <v>24</v>
      </c>
      <c r="E18" s="20"/>
      <c r="F18" s="20"/>
      <c r="G18" s="21"/>
      <c r="H18" s="21"/>
      <c r="I18" s="21"/>
      <c r="J18" s="21"/>
    </row>
    <row r="19" spans="1:10" x14ac:dyDescent="0.25">
      <c r="A19" s="20" t="s">
        <v>127</v>
      </c>
      <c r="B19" s="24" t="s">
        <v>8</v>
      </c>
      <c r="C19" s="28">
        <v>1.4999999999999999E-2</v>
      </c>
      <c r="D19" s="20"/>
      <c r="E19" s="20"/>
      <c r="F19" s="20"/>
      <c r="G19" s="21"/>
      <c r="H19" s="21"/>
      <c r="I19" s="21"/>
      <c r="J19" s="21"/>
    </row>
    <row r="20" spans="1:10" x14ac:dyDescent="0.25">
      <c r="A20" s="20"/>
      <c r="B20" s="24"/>
      <c r="C20" s="24"/>
      <c r="D20" s="20"/>
      <c r="E20" s="20"/>
      <c r="F20" s="20" t="s">
        <v>58</v>
      </c>
      <c r="G20" s="21"/>
      <c r="H20" s="21"/>
      <c r="I20" s="21"/>
      <c r="J20" s="21"/>
    </row>
    <row r="21" spans="1:10" x14ac:dyDescent="0.25">
      <c r="A21" s="20" t="s">
        <v>59</v>
      </c>
      <c r="B21" s="24" t="s">
        <v>7</v>
      </c>
      <c r="C21" s="30">
        <f>9/(10^6)</f>
        <v>9.0000000000000002E-6</v>
      </c>
      <c r="D21" s="20" t="s">
        <v>60</v>
      </c>
      <c r="E21" s="20"/>
      <c r="F21" s="20" t="s">
        <v>61</v>
      </c>
      <c r="G21" s="21"/>
      <c r="H21" s="21"/>
      <c r="I21" s="21"/>
      <c r="J21" s="21"/>
    </row>
    <row r="22" spans="1:10" x14ac:dyDescent="0.25">
      <c r="A22" s="20" t="s">
        <v>62</v>
      </c>
      <c r="B22" s="24" t="s">
        <v>7</v>
      </c>
      <c r="C22" s="31">
        <v>15</v>
      </c>
      <c r="D22" s="20"/>
      <c r="E22" s="20"/>
      <c r="F22" s="20"/>
      <c r="G22" s="21"/>
      <c r="H22" s="21"/>
      <c r="I22" s="21"/>
      <c r="J22" s="21"/>
    </row>
    <row r="23" spans="1:10" x14ac:dyDescent="0.25">
      <c r="A23" s="20"/>
      <c r="B23" s="24"/>
      <c r="C23" s="24"/>
      <c r="D23" s="20"/>
      <c r="E23" s="20"/>
      <c r="F23" s="20"/>
      <c r="G23" s="21"/>
      <c r="H23" s="21"/>
      <c r="I23" s="21"/>
      <c r="J23" s="21"/>
    </row>
    <row r="24" spans="1:10" x14ac:dyDescent="0.25">
      <c r="A24" s="20" t="s">
        <v>124</v>
      </c>
      <c r="B24" s="20" t="s">
        <v>63</v>
      </c>
      <c r="C24" s="32">
        <f>'Calc Variable Numbers'!D3</f>
        <v>17173808.829561684</v>
      </c>
      <c r="D24" s="102" t="s">
        <v>123</v>
      </c>
      <c r="E24" s="21"/>
      <c r="F24" s="21"/>
      <c r="G24" s="19"/>
      <c r="H24" s="19"/>
      <c r="I24" s="19"/>
      <c r="J24" s="19"/>
    </row>
    <row r="25" spans="1:10" x14ac:dyDescent="0.25">
      <c r="A25" s="20"/>
      <c r="B25" s="20"/>
      <c r="C25" s="21"/>
      <c r="D25" s="19"/>
      <c r="E25" s="21"/>
      <c r="F25" s="21"/>
      <c r="G25" s="19"/>
      <c r="H25" s="19"/>
      <c r="I25" s="19"/>
      <c r="J25" s="19"/>
    </row>
    <row r="26" spans="1:10" x14ac:dyDescent="0.25">
      <c r="A26" s="26" t="s">
        <v>125</v>
      </c>
      <c r="B26" s="26" t="s">
        <v>27</v>
      </c>
      <c r="C26" s="35">
        <f>'Calc Variable Numbers'!D6</f>
        <v>6182571.1786422059</v>
      </c>
      <c r="D26" s="102" t="s">
        <v>123</v>
      </c>
      <c r="E26" s="21"/>
      <c r="F26" s="21" t="s">
        <v>64</v>
      </c>
      <c r="G26" s="21"/>
      <c r="H26" s="21"/>
      <c r="I26" s="21"/>
      <c r="J26" s="21"/>
    </row>
    <row r="27" spans="1:10" x14ac:dyDescent="0.25">
      <c r="A27" s="18"/>
      <c r="B27" s="18"/>
      <c r="C27" s="21"/>
      <c r="D27" s="18"/>
      <c r="E27" s="21"/>
      <c r="F27" s="21"/>
      <c r="G27" s="21"/>
      <c r="H27" s="21"/>
      <c r="I27" s="21"/>
      <c r="J27" s="21"/>
    </row>
    <row r="28" spans="1:10" x14ac:dyDescent="0.25">
      <c r="A28" s="21"/>
      <c r="B28" s="21"/>
      <c r="C28" s="36"/>
      <c r="D28" s="37"/>
      <c r="E28" s="20"/>
      <c r="F28" s="20"/>
      <c r="G28" s="21"/>
      <c r="H28" s="21"/>
      <c r="I28" s="21"/>
      <c r="J28" s="21"/>
    </row>
    <row r="29" spans="1:10" x14ac:dyDescent="0.25">
      <c r="A29" s="19" t="s">
        <v>65</v>
      </c>
      <c r="B29" s="38" t="s">
        <v>66</v>
      </c>
      <c r="C29" s="35">
        <f>'Calc Variable Numbers'!E18</f>
        <v>3.3409199151446378</v>
      </c>
      <c r="D29" s="39" t="s">
        <v>67</v>
      </c>
      <c r="E29" s="26">
        <v>2018</v>
      </c>
      <c r="F29" s="20"/>
      <c r="G29" s="21"/>
      <c r="H29" s="21"/>
      <c r="I29" s="21"/>
      <c r="J29" s="21"/>
    </row>
    <row r="32" spans="1:10" ht="45" x14ac:dyDescent="0.25">
      <c r="A32" s="40" t="s">
        <v>1</v>
      </c>
      <c r="B32" s="46" t="s">
        <v>72</v>
      </c>
      <c r="C32" s="46" t="s">
        <v>73</v>
      </c>
      <c r="D32" s="46" t="s">
        <v>74</v>
      </c>
      <c r="E32" s="40"/>
      <c r="F32" s="40"/>
      <c r="G32" s="40"/>
      <c r="H32" s="40"/>
    </row>
    <row r="33" spans="1:8" x14ac:dyDescent="0.25">
      <c r="A33" s="47" t="s">
        <v>75</v>
      </c>
      <c r="B33" s="48">
        <f t="shared" ref="B33:B40" si="0">C33*10^6</f>
        <v>112666666.66666667</v>
      </c>
      <c r="C33" s="19">
        <f>16900/150</f>
        <v>112.66666666666667</v>
      </c>
      <c r="D33" s="49" t="s">
        <v>76</v>
      </c>
      <c r="E33" s="19"/>
      <c r="F33" s="19"/>
      <c r="G33" s="19"/>
      <c r="H33" s="19"/>
    </row>
    <row r="34" spans="1:8" x14ac:dyDescent="0.25">
      <c r="A34" s="47" t="s">
        <v>77</v>
      </c>
      <c r="B34" s="48">
        <f t="shared" si="0"/>
        <v>119387755.10204081</v>
      </c>
      <c r="C34" s="19">
        <f>58500/490</f>
        <v>119.38775510204081</v>
      </c>
      <c r="D34" s="49" t="s">
        <v>78</v>
      </c>
      <c r="E34" s="19"/>
      <c r="F34" s="19"/>
      <c r="G34" s="19"/>
      <c r="H34" s="19"/>
    </row>
    <row r="35" spans="1:8" x14ac:dyDescent="0.25">
      <c r="A35" s="47" t="s">
        <v>79</v>
      </c>
      <c r="B35" s="48">
        <f t="shared" si="0"/>
        <v>250000000</v>
      </c>
      <c r="C35" s="19">
        <f>150000/600</f>
        <v>250</v>
      </c>
      <c r="D35" s="49" t="s">
        <v>80</v>
      </c>
      <c r="E35" s="19"/>
      <c r="F35" s="19"/>
      <c r="G35" s="19"/>
      <c r="H35" s="19"/>
    </row>
    <row r="36" spans="1:8" x14ac:dyDescent="0.25">
      <c r="A36" s="47" t="s">
        <v>81</v>
      </c>
      <c r="B36" s="48">
        <f t="shared" si="0"/>
        <v>242734319.94362226</v>
      </c>
      <c r="C36" s="19">
        <f>(400/645+1600000/3300)/2</f>
        <v>242.73431994362227</v>
      </c>
      <c r="D36" s="52"/>
      <c r="E36" s="19"/>
      <c r="F36" s="19"/>
      <c r="G36" s="19"/>
      <c r="H36" s="19"/>
    </row>
    <row r="37" spans="1:8" x14ac:dyDescent="0.25">
      <c r="A37" s="47" t="s">
        <v>82</v>
      </c>
      <c r="B37" s="48">
        <f t="shared" si="0"/>
        <v>108333333.33333333</v>
      </c>
      <c r="C37" s="19">
        <f>26000/240</f>
        <v>108.33333333333333</v>
      </c>
      <c r="D37" s="49" t="s">
        <v>83</v>
      </c>
      <c r="E37" s="23"/>
      <c r="F37" s="23"/>
      <c r="G37" s="23"/>
      <c r="H37" s="23"/>
    </row>
    <row r="38" spans="1:8" x14ac:dyDescent="0.25">
      <c r="A38" s="47" t="s">
        <v>84</v>
      </c>
      <c r="B38" s="48">
        <f t="shared" si="0"/>
        <v>32000000</v>
      </c>
      <c r="C38" s="19">
        <f>32000/1000</f>
        <v>32</v>
      </c>
      <c r="D38" s="49" t="s">
        <v>85</v>
      </c>
      <c r="E38" s="23"/>
      <c r="F38" s="23"/>
      <c r="G38" s="23"/>
      <c r="H38" s="23"/>
    </row>
    <row r="39" spans="1:8" x14ac:dyDescent="0.25">
      <c r="A39" s="50" t="s">
        <v>86</v>
      </c>
      <c r="B39" s="48">
        <f t="shared" si="0"/>
        <v>196043165.46762589</v>
      </c>
      <c r="C39" s="19">
        <f>54500/278</f>
        <v>196.0431654676259</v>
      </c>
      <c r="D39" s="49" t="s">
        <v>87</v>
      </c>
      <c r="E39" s="23"/>
      <c r="F39" s="23"/>
      <c r="G39" s="23"/>
      <c r="H39" s="23"/>
    </row>
    <row r="40" spans="1:8" x14ac:dyDescent="0.25">
      <c r="A40" s="26" t="s">
        <v>88</v>
      </c>
      <c r="B40" s="48">
        <f t="shared" si="0"/>
        <v>126750000</v>
      </c>
      <c r="C40" s="19">
        <f>(875000/250000+380000/1520)/2</f>
        <v>126.75</v>
      </c>
      <c r="D40" s="49" t="s">
        <v>89</v>
      </c>
      <c r="E40" s="19"/>
      <c r="F40" s="19"/>
      <c r="G40" s="19"/>
      <c r="H40" s="19"/>
    </row>
    <row r="42" spans="1:8" x14ac:dyDescent="0.25">
      <c r="A42" t="s">
        <v>90</v>
      </c>
      <c r="B42" s="51">
        <f>AVERAGE(B33:B40)</f>
        <v>148489405.06416112</v>
      </c>
    </row>
  </sheetData>
  <hyperlinks>
    <hyperlink ref="F11" r:id="rId1" xr:uid="{00000000-0004-0000-0200-000000000000}"/>
    <hyperlink ref="D13" r:id="rId2" xr:uid="{00000000-0004-0000-0200-000001000000}"/>
    <hyperlink ref="D17" r:id="rId3" xr:uid="{00000000-0004-0000-0200-000002000000}"/>
    <hyperlink ref="D18" r:id="rId4" xr:uid="{00000000-0004-0000-0200-000003000000}"/>
    <hyperlink ref="D29" r:id="rId5" xr:uid="{00000000-0004-0000-0200-000004000000}"/>
    <hyperlink ref="D37" r:id="rId6" xr:uid="{00000000-0004-0000-0200-000005000000}"/>
    <hyperlink ref="D34" r:id="rId7" xr:uid="{00000000-0004-0000-0200-000006000000}"/>
    <hyperlink ref="D38" r:id="rId8" xr:uid="{00000000-0004-0000-0200-000007000000}"/>
    <hyperlink ref="D35" r:id="rId9" xr:uid="{00000000-0004-0000-0200-000008000000}"/>
    <hyperlink ref="D39" r:id="rId10" xr:uid="{00000000-0004-0000-0200-000009000000}"/>
    <hyperlink ref="D33" r:id="rId11" xr:uid="{00000000-0004-0000-0200-00000A000000}"/>
    <hyperlink ref="D40" r:id="rId12" xr:uid="{00000000-0004-0000-0200-00000B000000}"/>
    <hyperlink ref="D30" r:id="rId13" display="https://www.idu.gov.co/Archivos_Portal/2019/Transparencia/Presupuesto/Ejecuciones%20Presupuestales/01_Enero/PRESUPUESTO_IDU_VIGENCIA_2019.pdf" xr:uid="{00000000-0004-0000-0200-00000C000000}"/>
    <hyperlink ref="D24" r:id="rId14" xr:uid="{00000000-0004-0000-0200-00000D000000}"/>
    <hyperlink ref="D26" r:id="rId15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3" sqref="D3"/>
    </sheetView>
  </sheetViews>
  <sheetFormatPr defaultColWidth="14.42578125" defaultRowHeight="15" x14ac:dyDescent="0.25"/>
  <cols>
    <col min="1" max="1" width="27.7109375" style="19" customWidth="1"/>
    <col min="2" max="2" width="38.42578125" style="19" customWidth="1"/>
    <col min="3" max="3" width="22.7109375" style="19" customWidth="1"/>
    <col min="4" max="4" width="26.28515625" style="19" customWidth="1"/>
    <col min="5" max="16384" width="14.42578125" style="19"/>
  </cols>
  <sheetData>
    <row r="1" spans="1:26" ht="15" customHeight="1" x14ac:dyDescent="0.3">
      <c r="A1" s="54" t="s">
        <v>93</v>
      </c>
      <c r="B1" s="55"/>
      <c r="C1" s="56"/>
      <c r="D1" s="57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0" x14ac:dyDescent="0.25">
      <c r="A2" s="58" t="s">
        <v>94</v>
      </c>
      <c r="B2" s="59" t="s">
        <v>95</v>
      </c>
      <c r="C2" s="59"/>
      <c r="D2" s="59" t="s">
        <v>96</v>
      </c>
      <c r="E2" s="59"/>
      <c r="F2" s="59"/>
      <c r="G2" s="59"/>
      <c r="H2" s="59"/>
      <c r="I2" s="40"/>
      <c r="J2" s="60"/>
      <c r="K2" s="60"/>
      <c r="L2" s="61"/>
      <c r="M2" s="61"/>
      <c r="N2" s="61"/>
      <c r="O2" s="61"/>
      <c r="P2" s="61"/>
      <c r="Q2" s="61"/>
      <c r="R2" s="61"/>
      <c r="S2" s="61"/>
      <c r="T2" s="61"/>
      <c r="U2" s="61"/>
      <c r="V2" s="21"/>
      <c r="W2" s="21"/>
      <c r="X2" s="21"/>
      <c r="Y2" s="21"/>
      <c r="Z2" s="21"/>
    </row>
    <row r="3" spans="1:26" x14ac:dyDescent="0.25">
      <c r="A3" s="62">
        <v>50000</v>
      </c>
      <c r="B3" s="63">
        <f>A3/0.00404686</f>
        <v>12355258.150763802</v>
      </c>
      <c r="C3" s="64"/>
      <c r="D3" s="65">
        <f>B3*Variables!C8</f>
        <v>17173808.829561684</v>
      </c>
      <c r="E3" s="66"/>
      <c r="F3" s="66"/>
      <c r="G3" s="66"/>
      <c r="H3" s="21"/>
      <c r="I3" s="21"/>
      <c r="J3" s="33"/>
      <c r="K3" s="60"/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.75" x14ac:dyDescent="0.3">
      <c r="A4" s="67" t="s">
        <v>97</v>
      </c>
      <c r="B4" s="68"/>
      <c r="C4" s="69"/>
      <c r="D4" s="70"/>
      <c r="E4" s="71"/>
      <c r="F4" s="71"/>
      <c r="G4" s="71"/>
      <c r="H4" s="21"/>
      <c r="I4" s="17"/>
      <c r="J4" s="34"/>
      <c r="K4" s="60"/>
      <c r="L4" s="18"/>
      <c r="M4" s="18"/>
      <c r="N4" s="18"/>
      <c r="O4" s="18"/>
      <c r="P4" s="18"/>
      <c r="Q4" s="18"/>
      <c r="R4" s="18"/>
      <c r="S4" s="18"/>
      <c r="T4" s="18"/>
      <c r="U4" s="18"/>
      <c r="V4" s="21"/>
      <c r="W4" s="21"/>
      <c r="X4" s="21"/>
      <c r="Y4" s="21"/>
      <c r="Z4" s="21"/>
    </row>
    <row r="5" spans="1:26" ht="30" x14ac:dyDescent="0.25">
      <c r="A5" s="58" t="s">
        <v>94</v>
      </c>
      <c r="B5" s="59" t="s">
        <v>95</v>
      </c>
      <c r="C5" s="59"/>
      <c r="D5" s="59" t="s">
        <v>96</v>
      </c>
      <c r="E5" s="66"/>
      <c r="F5" s="66"/>
      <c r="G5" s="66"/>
      <c r="H5" s="21"/>
      <c r="I5" s="21"/>
      <c r="J5" s="33"/>
      <c r="K5" s="60"/>
      <c r="L5" s="20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72">
        <v>18000</v>
      </c>
      <c r="B6" s="63">
        <f>A6/0.00404686</f>
        <v>4447892.9342749687</v>
      </c>
      <c r="C6" s="64"/>
      <c r="D6" s="65">
        <f>B6*Variables!C8</f>
        <v>6182571.1786422059</v>
      </c>
      <c r="E6" s="21"/>
      <c r="F6" s="21"/>
      <c r="G6" s="21"/>
      <c r="H6" s="21"/>
      <c r="I6" s="21"/>
      <c r="K6" s="60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73" t="s">
        <v>116</v>
      </c>
      <c r="C7" s="21"/>
      <c r="D7" s="74"/>
      <c r="E7" s="21"/>
      <c r="F7" s="21"/>
      <c r="G7" s="21"/>
      <c r="H7" s="21"/>
      <c r="I7" s="21"/>
      <c r="J7" s="21"/>
      <c r="K7" s="6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75" t="s">
        <v>122</v>
      </c>
      <c r="B8" s="21"/>
      <c r="C8" s="21"/>
      <c r="D8" s="74"/>
      <c r="E8" s="21"/>
      <c r="F8" s="21"/>
      <c r="G8" s="21"/>
      <c r="H8" s="21"/>
      <c r="I8" s="21"/>
      <c r="J8" s="76"/>
      <c r="K8" s="60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77"/>
      <c r="B9" s="56"/>
      <c r="C9" s="56"/>
      <c r="D9" s="57"/>
      <c r="E9" s="21"/>
      <c r="F9" s="21"/>
      <c r="G9" s="21"/>
      <c r="H9" s="21"/>
      <c r="I9" s="21"/>
      <c r="J9" s="76"/>
      <c r="K9" s="60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60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17" t="s">
        <v>98</v>
      </c>
      <c r="B11" s="32"/>
      <c r="C11" s="21"/>
      <c r="D11" s="21"/>
      <c r="E11" s="21"/>
      <c r="F11" s="21"/>
      <c r="G11" s="21"/>
      <c r="H11" s="21"/>
      <c r="I11" s="21"/>
      <c r="J11" s="21"/>
      <c r="K11" s="60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6" t="s">
        <v>99</v>
      </c>
      <c r="B12" s="21"/>
      <c r="C12" s="21"/>
      <c r="D12" s="21"/>
      <c r="E12" s="78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39" t="s">
        <v>100</v>
      </c>
      <c r="B13" s="20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6" t="s">
        <v>101</v>
      </c>
      <c r="B14" s="20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39" t="s">
        <v>67</v>
      </c>
      <c r="B15" s="20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0"/>
      <c r="B16" s="20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79" t="s">
        <v>3</v>
      </c>
      <c r="B17" s="80" t="s">
        <v>102</v>
      </c>
      <c r="C17" s="80" t="s">
        <v>103</v>
      </c>
      <c r="D17" s="80" t="s">
        <v>117</v>
      </c>
      <c r="E17" s="80" t="s">
        <v>104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30" x14ac:dyDescent="0.25">
      <c r="A18" s="19" t="s">
        <v>105</v>
      </c>
      <c r="B18" s="40" t="s">
        <v>106</v>
      </c>
      <c r="C18" s="81">
        <v>69524860000</v>
      </c>
      <c r="D18" s="35">
        <f>C18/Variables!$C$18</f>
        <v>23522267.453033183</v>
      </c>
      <c r="E18" s="82">
        <f>(D18/$B$24)*Variables!$C$2</f>
        <v>3.3409199151446378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75" x14ac:dyDescent="0.25">
      <c r="A19" s="83" t="s">
        <v>107</v>
      </c>
      <c r="B19" s="84" t="s">
        <v>108</v>
      </c>
      <c r="C19" s="85">
        <f>2535976308000+4241540003000</f>
        <v>6777516311000</v>
      </c>
      <c r="D19" s="93">
        <f>C19/Variables!$C$18</f>
        <v>2293029447.8066816</v>
      </c>
      <c r="E19" s="94">
        <f>(D19/$B$24)*Variables!$C$2</f>
        <v>325.68406780880281</v>
      </c>
      <c r="F19" s="86" t="s">
        <v>109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 s="100" customFormat="1" ht="45" x14ac:dyDescent="0.25">
      <c r="A20" s="98" t="s">
        <v>110</v>
      </c>
      <c r="B20" s="98" t="s">
        <v>111</v>
      </c>
      <c r="C20" s="99">
        <f>197768655000</f>
        <v>197768655000</v>
      </c>
      <c r="D20" s="99">
        <f>C20/Variables!$C$18</f>
        <v>66910845.943978146</v>
      </c>
      <c r="E20" s="94">
        <f>(D20/$B$24)*Variables!$C$2</f>
        <v>9.5034961318997144</v>
      </c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spans="1:26" ht="15.75" customHeight="1" x14ac:dyDescent="0.25">
      <c r="A21" s="84" t="s">
        <v>112</v>
      </c>
      <c r="B21" s="84" t="s">
        <v>113</v>
      </c>
      <c r="C21" s="88">
        <v>732131018000</v>
      </c>
      <c r="D21" s="93">
        <f>C21/Variables!$C$18</f>
        <v>247701061.40533692</v>
      </c>
      <c r="E21" s="94">
        <f>(D21/$B$24)*Variables!$C$2</f>
        <v>35.181532167505516</v>
      </c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 ht="15" customHeight="1" x14ac:dyDescent="0.25">
      <c r="A22" s="90"/>
      <c r="B22" s="40"/>
      <c r="C22" s="35"/>
      <c r="D22" s="35"/>
      <c r="E22" s="35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19" t="s">
        <v>114</v>
      </c>
      <c r="B24" s="38">
        <v>7181469</v>
      </c>
      <c r="C24" s="19" t="s">
        <v>115</v>
      </c>
      <c r="D24" s="21"/>
      <c r="E24" s="35"/>
      <c r="F24" s="21"/>
      <c r="G24" s="35"/>
      <c r="H24" s="3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35"/>
      <c r="F25" s="21"/>
      <c r="G25" s="35"/>
      <c r="H25" s="3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35"/>
      <c r="F26" s="21"/>
      <c r="G26" s="35"/>
      <c r="H26" s="3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35"/>
      <c r="F27" s="21"/>
      <c r="G27" s="35"/>
      <c r="H27" s="3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customHeight="1" x14ac:dyDescent="0.25">
      <c r="A33" s="1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customHeight="1" x14ac:dyDescent="0.25">
      <c r="A44" s="17"/>
      <c r="B44" s="52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customHeight="1" x14ac:dyDescent="0.25">
      <c r="A45" s="21"/>
      <c r="B45" s="91"/>
      <c r="C45" s="23"/>
      <c r="D45" s="23"/>
      <c r="E45" s="23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customHeight="1" x14ac:dyDescent="0.25">
      <c r="A46" s="21"/>
      <c r="B46" s="91"/>
      <c r="C46" s="23"/>
      <c r="D46" s="23"/>
      <c r="E46" s="23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x14ac:dyDescent="0.25">
      <c r="A47" s="21"/>
      <c r="B47" s="91"/>
      <c r="C47" s="23"/>
      <c r="D47" s="23"/>
      <c r="E47" s="23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customHeight="1" x14ac:dyDescent="0.25">
      <c r="A48" s="21"/>
      <c r="B48" s="91"/>
      <c r="C48" s="23"/>
      <c r="D48" s="23"/>
      <c r="E48" s="23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x14ac:dyDescent="0.25">
      <c r="A49" s="21"/>
      <c r="B49" s="23"/>
      <c r="C49" s="23"/>
      <c r="D49" s="23"/>
      <c r="E49" s="23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customHeight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 x14ac:dyDescent="0.25">
      <c r="A51" s="21"/>
      <c r="B51" s="9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x14ac:dyDescent="0.25">
      <c r="A53" s="17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customHeight="1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36" customHeight="1" x14ac:dyDescent="0.25">
      <c r="A55" s="40"/>
      <c r="B55" s="40"/>
      <c r="C55" s="21"/>
      <c r="D55" s="21"/>
      <c r="E55" s="4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customHeight="1" x14ac:dyDescent="0.25">
      <c r="A56" s="21"/>
      <c r="B56" s="91"/>
      <c r="C56" s="23"/>
      <c r="D56" s="23"/>
      <c r="E56" s="23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customHeight="1" x14ac:dyDescent="0.25">
      <c r="A57" s="21"/>
      <c r="B57" s="91"/>
      <c r="C57" s="23"/>
      <c r="D57" s="23"/>
      <c r="E57" s="23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" customHeight="1" x14ac:dyDescent="0.25">
      <c r="A58" s="21"/>
      <c r="B58" s="91"/>
      <c r="C58" s="23"/>
      <c r="D58" s="23"/>
      <c r="E58" s="23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customHeight="1" x14ac:dyDescent="0.25">
      <c r="A59" s="21"/>
      <c r="B59" s="91"/>
      <c r="C59" s="23"/>
      <c r="D59" s="23"/>
      <c r="E59" s="23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" customHeight="1" x14ac:dyDescent="0.25">
      <c r="A60" s="21"/>
      <c r="B60" s="91"/>
      <c r="C60" s="23"/>
      <c r="D60" s="23"/>
      <c r="E60" s="23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customHeight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" customHeight="1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customHeight="1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hyperlinks>
    <hyperlink ref="A13" r:id="rId1" xr:uid="{00000000-0004-0000-0300-000000000000}"/>
    <hyperlink ref="A15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22"/>
  <sheetViews>
    <sheetView workbookViewId="0">
      <selection activeCell="Q13" sqref="Q13"/>
    </sheetView>
  </sheetViews>
  <sheetFormatPr defaultColWidth="8.85546875" defaultRowHeight="15" x14ac:dyDescent="0.25"/>
  <cols>
    <col min="3" max="21" width="13.28515625" bestFit="1" customWidth="1"/>
  </cols>
  <sheetData>
    <row r="2" spans="2:22" x14ac:dyDescent="0.25">
      <c r="B2" s="10"/>
      <c r="C2" s="10">
        <v>2012</v>
      </c>
      <c r="D2" s="10">
        <v>2013</v>
      </c>
      <c r="E2" s="10">
        <v>2014</v>
      </c>
      <c r="F2" s="10">
        <v>2015</v>
      </c>
      <c r="G2" s="10">
        <v>2016</v>
      </c>
      <c r="H2" s="10">
        <v>2017</v>
      </c>
      <c r="I2" s="10">
        <v>2018</v>
      </c>
      <c r="J2" s="10">
        <v>2019</v>
      </c>
      <c r="K2" s="10">
        <v>2020</v>
      </c>
      <c r="L2" s="10">
        <v>2021</v>
      </c>
      <c r="M2" s="10">
        <v>2022</v>
      </c>
      <c r="N2" s="10">
        <v>2023</v>
      </c>
      <c r="O2" s="10">
        <v>2024</v>
      </c>
      <c r="P2" s="10">
        <v>2025</v>
      </c>
      <c r="Q2" s="10">
        <v>2026</v>
      </c>
      <c r="R2" s="10">
        <v>2027</v>
      </c>
      <c r="S2" s="10">
        <v>2028</v>
      </c>
      <c r="T2" s="10">
        <v>2029</v>
      </c>
      <c r="U2" s="10">
        <v>2030</v>
      </c>
    </row>
    <row r="3" spans="2:22" x14ac:dyDescent="0.25">
      <c r="B3" s="10" t="s">
        <v>28</v>
      </c>
      <c r="C3" s="16">
        <v>238798</v>
      </c>
      <c r="D3" s="9">
        <f>$C$3*POWER(SUM(1,Variables!$C$19), D2-$C$2)</f>
        <v>242379.96999999997</v>
      </c>
      <c r="E3" s="9">
        <f>$C$3*POWER(SUM(1,Variables!$C$19), E2-$C$2)</f>
        <v>246015.66954999993</v>
      </c>
      <c r="F3" s="9">
        <f>$C$3*POWER(SUM(1,Variables!$C$19), F2-$C$2)</f>
        <v>249705.9045932499</v>
      </c>
      <c r="G3" s="9">
        <f>$C$3*POWER(SUM(1,Variables!$C$19), G2-$C$2)</f>
        <v>253451.4931621486</v>
      </c>
      <c r="H3" s="9">
        <f>$C$3*POWER(SUM(1,Variables!$C$19), H2-$C$2)</f>
        <v>257253.26555958082</v>
      </c>
      <c r="I3" s="9">
        <f>$C$3*POWER(SUM(1,Variables!$C$19), I2-$C$2)</f>
        <v>261112.06454297446</v>
      </c>
      <c r="J3" s="9">
        <f>$C$3*POWER(SUM(1,Variables!$C$19), J2-$C$2)</f>
        <v>265028.74551111902</v>
      </c>
      <c r="K3" s="9">
        <f>$C$3*POWER(SUM(1,Variables!$C$19), K2-$C$2)</f>
        <v>269004.17669378582</v>
      </c>
      <c r="L3" s="9">
        <f>$C$3*POWER(SUM(1,Variables!$C$19), L2-$C$2)</f>
        <v>273039.23934419255</v>
      </c>
      <c r="M3" s="9">
        <f>$C$3*POWER(SUM(1,Variables!$C$19), M2-$C$2)</f>
        <v>277134.82793435542</v>
      </c>
      <c r="N3" s="9">
        <f>$C$3*POWER(SUM(1,Variables!$C$19), N2-$C$2)</f>
        <v>281291.85035337071</v>
      </c>
      <c r="O3" s="9">
        <f>$C$3*POWER(SUM(1,Variables!$C$19), O2-$C$2)</f>
        <v>285511.2281086712</v>
      </c>
      <c r="P3" s="9">
        <f>$C$3*POWER(SUM(1,Variables!$C$19), P2-$C$2)</f>
        <v>289793.89653030125</v>
      </c>
      <c r="Q3" s="9">
        <f>$C$3*POWER(SUM(1,Variables!$C$19), Q2-$C$2)</f>
        <v>294140.80497825571</v>
      </c>
      <c r="R3" s="9">
        <f>$C$3*POWER(SUM(1,Variables!$C$19), R2-$C$2)</f>
        <v>298552.91705292952</v>
      </c>
      <c r="S3" s="9">
        <f>$C$3*POWER(SUM(1,Variables!$C$19), S2-$C$2)</f>
        <v>303031.21080872341</v>
      </c>
      <c r="T3" s="9">
        <f>$C$3*POWER(SUM(1,Variables!$C$19), T2-$C$2)</f>
        <v>307576.67897085421</v>
      </c>
      <c r="U3" s="9">
        <f>$C$3*POWER(SUM(1,Variables!$C$19), U2-$C$2)</f>
        <v>312190.32915541704</v>
      </c>
    </row>
    <row r="4" spans="2:22" x14ac:dyDescent="0.25">
      <c r="B4" s="10" t="s">
        <v>29</v>
      </c>
      <c r="C4" s="16">
        <v>758845</v>
      </c>
      <c r="D4" s="9">
        <f>$C$4*POWER(SUM(1,Variables!$C$19), D2-$C$2)</f>
        <v>770227.67499999993</v>
      </c>
      <c r="E4" s="9">
        <f>$C$4*POWER(SUM(1,Variables!$C$19), E2-$C$2)</f>
        <v>781781.09012499976</v>
      </c>
      <c r="F4" s="9">
        <f>$C$4*POWER(SUM(1,Variables!$C$19), F2-$C$2)</f>
        <v>793507.80647687474</v>
      </c>
      <c r="G4" s="9">
        <f>$C$4*POWER(SUM(1,Variables!$C$19), G2-$C$2)</f>
        <v>805410.42357402772</v>
      </c>
      <c r="H4" s="9">
        <f>$C$4*POWER(SUM(1,Variables!$C$19), H2-$C$2)</f>
        <v>817491.57992763806</v>
      </c>
      <c r="I4" s="9">
        <f>$C$4*POWER(SUM(1,Variables!$C$19), I2-$C$2)</f>
        <v>829753.95362655236</v>
      </c>
      <c r="J4" s="9">
        <f>$C$4*POWER(SUM(1,Variables!$C$19), J2-$C$2)</f>
        <v>842200.26293095062</v>
      </c>
      <c r="K4" s="9">
        <f>$C$4*POWER(SUM(1,Variables!$C$19), K2-$C$2)</f>
        <v>854833.26687491476</v>
      </c>
      <c r="L4" s="9">
        <f>$C$4*POWER(SUM(1,Variables!$C$19), L2-$C$2)</f>
        <v>867655.76587803836</v>
      </c>
      <c r="M4" s="9">
        <f>$C$4*POWER(SUM(1,Variables!$C$19), M2-$C$2)</f>
        <v>880670.6023662088</v>
      </c>
      <c r="N4" s="9">
        <f>$C$4*POWER(SUM(1,Variables!$C$19), N2-$C$2)</f>
        <v>893880.66140170186</v>
      </c>
      <c r="O4" s="9">
        <f>$C$4*POWER(SUM(1,Variables!$C$19), O2-$C$2)</f>
        <v>907288.87132272718</v>
      </c>
      <c r="P4" s="9">
        <f>$C$4*POWER(SUM(1,Variables!$C$19), P2-$C$2)</f>
        <v>920898.20439256809</v>
      </c>
      <c r="Q4" s="9">
        <f>$C$4*POWER(SUM(1,Variables!$C$19), Q2-$C$2)</f>
        <v>934711.67745845637</v>
      </c>
      <c r="R4" s="9">
        <f>$C$4*POWER(SUM(1,Variables!$C$19), R2-$C$2)</f>
        <v>948732.35262033308</v>
      </c>
      <c r="S4" s="9">
        <f>$C$4*POWER(SUM(1,Variables!$C$19), S2-$C$2)</f>
        <v>962963.33790963795</v>
      </c>
      <c r="T4" s="9">
        <f>$C$4*POWER(SUM(1,Variables!$C$19), T2-$C$2)</f>
        <v>977407.78797828231</v>
      </c>
      <c r="U4" s="9">
        <f>$C$4*POWER(SUM(1,Variables!$C$19), U2-$C$2)</f>
        <v>992068.90479795658</v>
      </c>
      <c r="V4" s="9"/>
    </row>
    <row r="5" spans="2:22" x14ac:dyDescent="0.25">
      <c r="B5" s="10" t="s">
        <v>30</v>
      </c>
      <c r="C5" s="16">
        <v>846880</v>
      </c>
      <c r="D5" s="9">
        <f>$C$5*POWER(SUM(1,Variables!$C$19), D2-$C$2)</f>
        <v>859583.2</v>
      </c>
      <c r="E5" s="9">
        <f>$C$5*POWER(SUM(1,Variables!$C$19), E2-$C$2)</f>
        <v>872476.94799999974</v>
      </c>
      <c r="F5" s="9">
        <f>$C$5*POWER(SUM(1,Variables!$C$19), F2-$C$2)</f>
        <v>885564.10221999965</v>
      </c>
      <c r="G5" s="9">
        <f>$C$5*POWER(SUM(1,Variables!$C$19), G2-$C$2)</f>
        <v>898847.56375329953</v>
      </c>
      <c r="H5" s="9">
        <f>$C$5*POWER(SUM(1,Variables!$C$19), H2-$C$2)</f>
        <v>912330.27720959892</v>
      </c>
      <c r="I5" s="9">
        <f>$C$5*POWER(SUM(1,Variables!$C$19), I2-$C$2)</f>
        <v>926015.23136774264</v>
      </c>
      <c r="J5" s="9">
        <f>$C$5*POWER(SUM(1,Variables!$C$19), J2-$C$2)</f>
        <v>939905.45983825868</v>
      </c>
      <c r="K5" s="9">
        <f>$C$5*POWER(SUM(1,Variables!$C$19), K2-$C$2)</f>
        <v>954004.04173583246</v>
      </c>
      <c r="L5" s="9">
        <f>$C$5*POWER(SUM(1,Variables!$C$19), L2-$C$2)</f>
        <v>968314.10236186988</v>
      </c>
      <c r="M5" s="9">
        <f>$C$5*POWER(SUM(1,Variables!$C$19), M2-$C$2)</f>
        <v>982838.81389729783</v>
      </c>
      <c r="N5" s="9">
        <f>$C$5*POWER(SUM(1,Variables!$C$19), N2-$C$2)</f>
        <v>997581.3961057571</v>
      </c>
      <c r="O5" s="9">
        <f>$C$5*POWER(SUM(1,Variables!$C$19), O2-$C$2)</f>
        <v>1012545.1170473433</v>
      </c>
      <c r="P5" s="9">
        <f>$C$5*POWER(SUM(1,Variables!$C$19), P2-$C$2)</f>
        <v>1027733.2938030533</v>
      </c>
      <c r="Q5" s="9">
        <f>$C$5*POWER(SUM(1,Variables!$C$19), Q2-$C$2)</f>
        <v>1043149.2932100989</v>
      </c>
      <c r="R5" s="9">
        <f>$C$5*POWER(SUM(1,Variables!$C$19), R2-$C$2)</f>
        <v>1058796.5326082502</v>
      </c>
      <c r="S5" s="9">
        <f>$C$5*POWER(SUM(1,Variables!$C$19), S2-$C$2)</f>
        <v>1074678.4805973738</v>
      </c>
      <c r="T5" s="9">
        <f>$C$5*POWER(SUM(1,Variables!$C$19), T2-$C$2)</f>
        <v>1090798.6578063343</v>
      </c>
      <c r="U5" s="9">
        <f>$C$5*POWER(SUM(1,Variables!$C$19), U2-$C$2)</f>
        <v>1107160.6376734292</v>
      </c>
    </row>
    <row r="6" spans="2:22" x14ac:dyDescent="0.25">
      <c r="B6" s="10" t="s">
        <v>31</v>
      </c>
      <c r="C6" s="16">
        <v>62979</v>
      </c>
      <c r="D6" s="9">
        <f>$C$6*POWER(SUM(1,Variables!$C$19), D2-$C$2)</f>
        <v>63923.68499999999</v>
      </c>
      <c r="E6" s="9">
        <f>$C$6*POWER(SUM(1,Variables!$C$19), E2-$C$2)</f>
        <v>64882.540274999985</v>
      </c>
      <c r="F6" s="9">
        <f>$C$6*POWER(SUM(1,Variables!$C$19), F2-$C$2)</f>
        <v>65855.778379124982</v>
      </c>
      <c r="G6" s="9">
        <f>$C$6*POWER(SUM(1,Variables!$C$19), G2-$C$2)</f>
        <v>66843.615054811846</v>
      </c>
      <c r="H6" s="9">
        <f>$C$6*POWER(SUM(1,Variables!$C$19), H2-$C$2)</f>
        <v>67846.269280634006</v>
      </c>
      <c r="I6" s="9">
        <f>$C$6*POWER(SUM(1,Variables!$C$19), I2-$C$2)</f>
        <v>68863.963319843504</v>
      </c>
      <c r="J6" s="9">
        <f>$C$6*POWER(SUM(1,Variables!$C$19), J2-$C$2)</f>
        <v>69896.92276964114</v>
      </c>
      <c r="K6" s="9">
        <f>$C$6*POWER(SUM(1,Variables!$C$19), K2-$C$2)</f>
        <v>70945.376611185755</v>
      </c>
      <c r="L6" s="9">
        <f>$C$6*POWER(SUM(1,Variables!$C$19), L2-$C$2)</f>
        <v>72009.55726035354</v>
      </c>
      <c r="M6" s="9">
        <f>$C$6*POWER(SUM(1,Variables!$C$19), M2-$C$2)</f>
        <v>73089.700619258831</v>
      </c>
      <c r="N6" s="9">
        <f>$C$6*POWER(SUM(1,Variables!$C$19), N2-$C$2)</f>
        <v>74186.046128547707</v>
      </c>
      <c r="O6" s="9">
        <f>$C$6*POWER(SUM(1,Variables!$C$19), O2-$C$2)</f>
        <v>75298.836820475903</v>
      </c>
      <c r="P6" s="9">
        <f>$C$6*POWER(SUM(1,Variables!$C$19), P2-$C$2)</f>
        <v>76428.319372783037</v>
      </c>
      <c r="Q6" s="9">
        <f>$C$6*POWER(SUM(1,Variables!$C$19), Q2-$C$2)</f>
        <v>77574.744163374766</v>
      </c>
      <c r="R6" s="9">
        <f>$C$6*POWER(SUM(1,Variables!$C$19), R2-$C$2)</f>
        <v>78738.365325825376</v>
      </c>
      <c r="S6" s="9">
        <f>$C$6*POWER(SUM(1,Variables!$C$19), S2-$C$2)</f>
        <v>79919.440805712744</v>
      </c>
      <c r="T6" s="9">
        <f>$C$6*POWER(SUM(1,Variables!$C$19), T2-$C$2)</f>
        <v>81118.232417798426</v>
      </c>
      <c r="U6" s="9">
        <f>$C$6*POWER(SUM(1,Variables!$C$19), U2-$C$2)</f>
        <v>82335.005904065401</v>
      </c>
    </row>
    <row r="7" spans="2:22" x14ac:dyDescent="0.25">
      <c r="B7" s="10" t="s">
        <v>32</v>
      </c>
      <c r="C7" s="16">
        <v>632013</v>
      </c>
      <c r="D7" s="9">
        <f>$C$7*POWER(SUM(1,Variables!$C$19), D2-$C$2)</f>
        <v>641493.19499999995</v>
      </c>
      <c r="E7" s="9">
        <f>$C$7*POWER(SUM(1,Variables!$C$19), E2-$C$2)</f>
        <v>651115.59292499977</v>
      </c>
      <c r="F7" s="9">
        <f>$C$7*POWER(SUM(1,Variables!$C$19), F2-$C$2)</f>
        <v>660882.3268188748</v>
      </c>
      <c r="G7" s="9">
        <f>$C$7*POWER(SUM(1,Variables!$C$19), G2-$C$2)</f>
        <v>670795.56172115775</v>
      </c>
      <c r="H7" s="9">
        <f>$C$7*POWER(SUM(1,Variables!$C$19), H2-$C$2)</f>
        <v>680857.49514697504</v>
      </c>
      <c r="I7" s="9">
        <f>$C$7*POWER(SUM(1,Variables!$C$19), I2-$C$2)</f>
        <v>691070.35757417954</v>
      </c>
      <c r="J7" s="9">
        <f>$C$7*POWER(SUM(1,Variables!$C$19), J2-$C$2)</f>
        <v>701436.41293779213</v>
      </c>
      <c r="K7" s="9">
        <f>$C$7*POWER(SUM(1,Variables!$C$19), K2-$C$2)</f>
        <v>711957.95913185889</v>
      </c>
      <c r="L7" s="9">
        <f>$C$7*POWER(SUM(1,Variables!$C$19), L2-$C$2)</f>
        <v>722637.32851883676</v>
      </c>
      <c r="M7" s="9">
        <f>$C$7*POWER(SUM(1,Variables!$C$19), M2-$C$2)</f>
        <v>733476.88844661915</v>
      </c>
      <c r="N7" s="9">
        <f>$C$7*POWER(SUM(1,Variables!$C$19), N2-$C$2)</f>
        <v>744479.04177331843</v>
      </c>
      <c r="O7" s="9">
        <f>$C$7*POWER(SUM(1,Variables!$C$19), O2-$C$2)</f>
        <v>755646.22739991802</v>
      </c>
      <c r="P7" s="9">
        <f>$C$7*POWER(SUM(1,Variables!$C$19), P2-$C$2)</f>
        <v>766980.92081091669</v>
      </c>
      <c r="Q7" s="9">
        <f>$C$7*POWER(SUM(1,Variables!$C$19), Q2-$C$2)</f>
        <v>778485.63462308026</v>
      </c>
      <c r="R7" s="9">
        <f>$C$7*POWER(SUM(1,Variables!$C$19), R2-$C$2)</f>
        <v>790162.91914242646</v>
      </c>
      <c r="S7" s="9">
        <f>$C$7*POWER(SUM(1,Variables!$C$19), S2-$C$2)</f>
        <v>802015.36292956269</v>
      </c>
      <c r="T7" s="9">
        <f>$C$7*POWER(SUM(1,Variables!$C$19), T2-$C$2)</f>
        <v>814045.59337350598</v>
      </c>
      <c r="U7" s="9">
        <f>$C$7*POWER(SUM(1,Variables!$C$19), U2-$C$2)</f>
        <v>826256.27727410849</v>
      </c>
    </row>
    <row r="8" spans="2:22" x14ac:dyDescent="0.25">
      <c r="B8" s="10" t="s">
        <v>33</v>
      </c>
      <c r="C8" s="16">
        <v>117859</v>
      </c>
      <c r="D8" s="9">
        <f>$C$8*POWER(SUM(1,Variables!$C$19), D2-$C$2)</f>
        <v>119626.88499999999</v>
      </c>
      <c r="E8" s="9">
        <f>$C$8*POWER(SUM(1,Variables!$C$19), E2-$C$2)</f>
        <v>121421.28827499997</v>
      </c>
      <c r="F8" s="9">
        <f>$C$8*POWER(SUM(1,Variables!$C$19), F2-$C$2)</f>
        <v>123242.60759912495</v>
      </c>
      <c r="G8" s="9">
        <f>$C$8*POWER(SUM(1,Variables!$C$19), G2-$C$2)</f>
        <v>125091.2467131118</v>
      </c>
      <c r="H8" s="9">
        <f>$C$8*POWER(SUM(1,Variables!$C$19), H2-$C$2)</f>
        <v>126967.61541380847</v>
      </c>
      <c r="I8" s="9">
        <f>$C$8*POWER(SUM(1,Variables!$C$19), I2-$C$2)</f>
        <v>128872.12964501556</v>
      </c>
      <c r="J8" s="9">
        <f>$C$8*POWER(SUM(1,Variables!$C$19), J2-$C$2)</f>
        <v>130805.21158969078</v>
      </c>
      <c r="K8" s="9">
        <f>$C$8*POWER(SUM(1,Variables!$C$19), K2-$C$2)</f>
        <v>132767.28976353613</v>
      </c>
      <c r="L8" s="9">
        <f>$C$8*POWER(SUM(1,Variables!$C$19), L2-$C$2)</f>
        <v>134758.79910998917</v>
      </c>
      <c r="M8" s="9">
        <f>$C$8*POWER(SUM(1,Variables!$C$19), M2-$C$2)</f>
        <v>136780.18109663899</v>
      </c>
      <c r="N8" s="9">
        <f>$C$8*POWER(SUM(1,Variables!$C$19), N2-$C$2)</f>
        <v>138831.88381308856</v>
      </c>
      <c r="O8" s="9">
        <f>$C$8*POWER(SUM(1,Variables!$C$19), O2-$C$2)</f>
        <v>140914.36207028484</v>
      </c>
      <c r="P8" s="9">
        <f>$C$8*POWER(SUM(1,Variables!$C$19), P2-$C$2)</f>
        <v>143028.07750133911</v>
      </c>
      <c r="Q8" s="9">
        <f>$C$8*POWER(SUM(1,Variables!$C$19), Q2-$C$2)</f>
        <v>145173.49866385915</v>
      </c>
      <c r="R8" s="9">
        <f>$C$8*POWER(SUM(1,Variables!$C$19), R2-$C$2)</f>
        <v>147351.10114381704</v>
      </c>
      <c r="S8" s="9">
        <f>$C$8*POWER(SUM(1,Variables!$C$19), S2-$C$2)</f>
        <v>149561.36766097427</v>
      </c>
      <c r="T8" s="9">
        <f>$C$8*POWER(SUM(1,Variables!$C$19), T2-$C$2)</f>
        <v>151804.78817588885</v>
      </c>
      <c r="U8" s="9">
        <f>$C$8*POWER(SUM(1,Variables!$C$19), U2-$C$2)</f>
        <v>154081.85999852719</v>
      </c>
    </row>
    <row r="9" spans="2:22" x14ac:dyDescent="0.25">
      <c r="B9" s="10" t="s">
        <v>34</v>
      </c>
      <c r="C9" s="16">
        <v>49473</v>
      </c>
      <c r="D9" s="9">
        <f>$C$9*POWER(SUM(1,Variables!$C$19), D2-$C$2)</f>
        <v>50215.094999999994</v>
      </c>
      <c r="E9" s="9">
        <f>$C$9*POWER(SUM(1,Variables!$C$19), E2-$C$2)</f>
        <v>50968.321424999987</v>
      </c>
      <c r="F9" s="9">
        <f>$C$9*POWER(SUM(1,Variables!$C$19), F2-$C$2)</f>
        <v>51732.846246374982</v>
      </c>
      <c r="G9" s="9">
        <f>$C$9*POWER(SUM(1,Variables!$C$19), G2-$C$2)</f>
        <v>52508.8389400706</v>
      </c>
      <c r="H9" s="9">
        <f>$C$9*POWER(SUM(1,Variables!$C$19), H2-$C$2)</f>
        <v>53296.471524171648</v>
      </c>
      <c r="I9" s="9">
        <f>$C$9*POWER(SUM(1,Variables!$C$19), I2-$C$2)</f>
        <v>54095.918597034215</v>
      </c>
      <c r="J9" s="9">
        <f>$C$9*POWER(SUM(1,Variables!$C$19), J2-$C$2)</f>
        <v>54907.357375989719</v>
      </c>
      <c r="K9" s="9">
        <f>$C$9*POWER(SUM(1,Variables!$C$19), K2-$C$2)</f>
        <v>55730.967736629558</v>
      </c>
      <c r="L9" s="9">
        <f>$C$9*POWER(SUM(1,Variables!$C$19), L2-$C$2)</f>
        <v>56566.932252678998</v>
      </c>
      <c r="M9" s="9">
        <f>$C$9*POWER(SUM(1,Variables!$C$19), M2-$C$2)</f>
        <v>57415.436236469177</v>
      </c>
      <c r="N9" s="9">
        <f>$C$9*POWER(SUM(1,Variables!$C$19), N2-$C$2)</f>
        <v>58276.667780016207</v>
      </c>
      <c r="O9" s="9">
        <f>$C$9*POWER(SUM(1,Variables!$C$19), O2-$C$2)</f>
        <v>59150.817796716437</v>
      </c>
      <c r="P9" s="9">
        <f>$C$9*POWER(SUM(1,Variables!$C$19), P2-$C$2)</f>
        <v>60038.080063667177</v>
      </c>
      <c r="Q9" s="9">
        <f>$C$9*POWER(SUM(1,Variables!$C$19), Q2-$C$2)</f>
        <v>60938.651264622167</v>
      </c>
      <c r="R9" s="9">
        <f>$C$9*POWER(SUM(1,Variables!$C$19), R2-$C$2)</f>
        <v>61852.731033591495</v>
      </c>
      <c r="S9" s="9">
        <f>$C$9*POWER(SUM(1,Variables!$C$19), S2-$C$2)</f>
        <v>62780.521999095356</v>
      </c>
      <c r="T9" s="9">
        <f>$C$9*POWER(SUM(1,Variables!$C$19), T2-$C$2)</f>
        <v>63722.229829081778</v>
      </c>
      <c r="U9" s="9">
        <f>$C$9*POWER(SUM(1,Variables!$C$19), U2-$C$2)</f>
        <v>64678.063276518005</v>
      </c>
    </row>
    <row r="10" spans="2:22" x14ac:dyDescent="0.25">
      <c r="B10" s="10" t="s">
        <v>35</v>
      </c>
      <c r="C10" s="16">
        <v>51990</v>
      </c>
      <c r="D10" s="9">
        <f>$C$10*POWER(SUM(1,Variables!$C$19), D2-$C$2)</f>
        <v>52769.85</v>
      </c>
      <c r="E10" s="9">
        <f>$C$10*POWER(SUM(1,Variables!$C$19), E2-$C$2)</f>
        <v>53561.397749999989</v>
      </c>
      <c r="F10" s="9">
        <f>$C$10*POWER(SUM(1,Variables!$C$19), F2-$C$2)</f>
        <v>54364.818716249982</v>
      </c>
      <c r="G10" s="9">
        <f>$C$10*POWER(SUM(1,Variables!$C$19), G2-$C$2)</f>
        <v>55180.290996993717</v>
      </c>
      <c r="H10" s="9">
        <f>$C$10*POWER(SUM(1,Variables!$C$19), H2-$C$2)</f>
        <v>56007.995361948619</v>
      </c>
      <c r="I10" s="9">
        <f>$C$10*POWER(SUM(1,Variables!$C$19), I2-$C$2)</f>
        <v>56848.115292377835</v>
      </c>
      <c r="J10" s="9">
        <f>$C$10*POWER(SUM(1,Variables!$C$19), J2-$C$2)</f>
        <v>57700.837021763495</v>
      </c>
      <c r="K10" s="9">
        <f>$C$10*POWER(SUM(1,Variables!$C$19), K2-$C$2)</f>
        <v>58566.349577089946</v>
      </c>
      <c r="L10" s="9">
        <f>$C$10*POWER(SUM(1,Variables!$C$19), L2-$C$2)</f>
        <v>59444.844820746286</v>
      </c>
      <c r="M10" s="9">
        <f>$C$10*POWER(SUM(1,Variables!$C$19), M2-$C$2)</f>
        <v>60336.517493057472</v>
      </c>
      <c r="N10" s="9">
        <f>$C$10*POWER(SUM(1,Variables!$C$19), N2-$C$2)</f>
        <v>61241.56525545333</v>
      </c>
      <c r="O10" s="9">
        <f>$C$10*POWER(SUM(1,Variables!$C$19), O2-$C$2)</f>
        <v>62160.188734285111</v>
      </c>
      <c r="P10" s="9">
        <f>$C$10*POWER(SUM(1,Variables!$C$19), P2-$C$2)</f>
        <v>63092.591565299386</v>
      </c>
      <c r="Q10" s="9">
        <f>$C$10*POWER(SUM(1,Variables!$C$19), Q2-$C$2)</f>
        <v>64038.980438778861</v>
      </c>
      <c r="R10" s="9">
        <f>$C$10*POWER(SUM(1,Variables!$C$19), R2-$C$2)</f>
        <v>64999.565145360539</v>
      </c>
      <c r="S10" s="9">
        <f>$C$10*POWER(SUM(1,Variables!$C$19), S2-$C$2)</f>
        <v>65974.558622540935</v>
      </c>
      <c r="T10" s="9">
        <f>$C$10*POWER(SUM(1,Variables!$C$19), T2-$C$2)</f>
        <v>66964.177001879041</v>
      </c>
      <c r="U10" s="9">
        <f>$C$10*POWER(SUM(1,Variables!$C$19), U2-$C$2)</f>
        <v>67968.639656907224</v>
      </c>
    </row>
    <row r="11" spans="2:22" x14ac:dyDescent="0.25">
      <c r="B11" s="10" t="s">
        <v>36</v>
      </c>
      <c r="C11" s="16">
        <v>150110</v>
      </c>
      <c r="D11" s="9">
        <f>$C$11*POWER(SUM(1,Variables!$C$19), D2-$C$2)</f>
        <v>152361.65</v>
      </c>
      <c r="E11" s="9">
        <f>$C$11*POWER(SUM(1,Variables!$C$19), E2-$C$2)</f>
        <v>154647.07474999997</v>
      </c>
      <c r="F11" s="9">
        <f>$C$11*POWER(SUM(1,Variables!$C$19), F2-$C$2)</f>
        <v>156966.78087124994</v>
      </c>
      <c r="G11" s="9">
        <f>$C$11*POWER(SUM(1,Variables!$C$19), G2-$C$2)</f>
        <v>159321.28258431866</v>
      </c>
      <c r="H11" s="9">
        <f>$C$11*POWER(SUM(1,Variables!$C$19), H2-$C$2)</f>
        <v>161711.10182308342</v>
      </c>
      <c r="I11" s="9">
        <f>$C$11*POWER(SUM(1,Variables!$C$19), I2-$C$2)</f>
        <v>164136.76835042963</v>
      </c>
      <c r="J11" s="9">
        <f>$C$11*POWER(SUM(1,Variables!$C$19), J2-$C$2)</f>
        <v>166598.81987568605</v>
      </c>
      <c r="K11" s="9">
        <f>$C$11*POWER(SUM(1,Variables!$C$19), K2-$C$2)</f>
        <v>169097.80217382134</v>
      </c>
      <c r="L11" s="9">
        <f>$C$11*POWER(SUM(1,Variables!$C$19), L2-$C$2)</f>
        <v>171634.26920642864</v>
      </c>
      <c r="M11" s="9">
        <f>$C$11*POWER(SUM(1,Variables!$C$19), M2-$C$2)</f>
        <v>174208.78324452505</v>
      </c>
      <c r="N11" s="9">
        <f>$C$11*POWER(SUM(1,Variables!$C$19), N2-$C$2)</f>
        <v>176821.91499319291</v>
      </c>
      <c r="O11" s="9">
        <f>$C$11*POWER(SUM(1,Variables!$C$19), O2-$C$2)</f>
        <v>179474.24371809076</v>
      </c>
      <c r="P11" s="9">
        <f>$C$11*POWER(SUM(1,Variables!$C$19), P2-$C$2)</f>
        <v>182166.35737386212</v>
      </c>
      <c r="Q11" s="9">
        <f>$C$11*POWER(SUM(1,Variables!$C$19), Q2-$C$2)</f>
        <v>184898.85273446998</v>
      </c>
      <c r="R11" s="9">
        <f>$C$11*POWER(SUM(1,Variables!$C$19), R2-$C$2)</f>
        <v>187672.33552548703</v>
      </c>
      <c r="S11" s="9">
        <f>$C$11*POWER(SUM(1,Variables!$C$19), S2-$C$2)</f>
        <v>190487.42055836931</v>
      </c>
      <c r="T11" s="9">
        <f>$C$11*POWER(SUM(1,Variables!$C$19), T2-$C$2)</f>
        <v>193344.73186674481</v>
      </c>
      <c r="U11" s="9">
        <f>$C$11*POWER(SUM(1,Variables!$C$19), U2-$C$2)</f>
        <v>196244.90284474596</v>
      </c>
    </row>
    <row r="12" spans="2:22" x14ac:dyDescent="0.25">
      <c r="B12" s="10" t="s">
        <v>37</v>
      </c>
      <c r="C12" s="16">
        <v>264943</v>
      </c>
      <c r="D12" s="9">
        <f>$C$12*POWER(SUM(1,Variables!$C$19), D2-$C$2)</f>
        <v>268917.14499999996</v>
      </c>
      <c r="E12" s="9">
        <f>$C$12*POWER(SUM(1,Variables!$C$19), E2-$C$2)</f>
        <v>272950.90217499994</v>
      </c>
      <c r="F12" s="9">
        <f>$C$12*POWER(SUM(1,Variables!$C$19), F2-$C$2)</f>
        <v>277045.16570762487</v>
      </c>
      <c r="G12" s="9">
        <f>$C$12*POWER(SUM(1,Variables!$C$19), G2-$C$2)</f>
        <v>281200.84319323924</v>
      </c>
      <c r="H12" s="9">
        <f>$C$12*POWER(SUM(1,Variables!$C$19), H2-$C$2)</f>
        <v>285418.85584113776</v>
      </c>
      <c r="I12" s="9">
        <f>$C$12*POWER(SUM(1,Variables!$C$19), I2-$C$2)</f>
        <v>289700.1386787548</v>
      </c>
      <c r="J12" s="9">
        <f>$C$12*POWER(SUM(1,Variables!$C$19), J2-$C$2)</f>
        <v>294045.64075893606</v>
      </c>
      <c r="K12" s="9">
        <f>$C$12*POWER(SUM(1,Variables!$C$19), K2-$C$2)</f>
        <v>298456.32537032006</v>
      </c>
      <c r="L12" s="9">
        <f>$C$12*POWER(SUM(1,Variables!$C$19), L2-$C$2)</f>
        <v>302933.17025087483</v>
      </c>
      <c r="M12" s="9">
        <f>$C$12*POWER(SUM(1,Variables!$C$19), M2-$C$2)</f>
        <v>307477.16780463792</v>
      </c>
      <c r="N12" s="9">
        <f>$C$12*POWER(SUM(1,Variables!$C$19), N2-$C$2)</f>
        <v>312089.32532170747</v>
      </c>
      <c r="O12" s="9">
        <f>$C$12*POWER(SUM(1,Variables!$C$19), O2-$C$2)</f>
        <v>316770.665201533</v>
      </c>
      <c r="P12" s="9">
        <f>$C$12*POWER(SUM(1,Variables!$C$19), P2-$C$2)</f>
        <v>321522.225179556</v>
      </c>
      <c r="Q12" s="9">
        <f>$C$12*POWER(SUM(1,Variables!$C$19), Q2-$C$2)</f>
        <v>326345.05855724926</v>
      </c>
      <c r="R12" s="9">
        <f>$C$12*POWER(SUM(1,Variables!$C$19), R2-$C$2)</f>
        <v>331240.23443560791</v>
      </c>
      <c r="S12" s="9">
        <f>$C$12*POWER(SUM(1,Variables!$C$19), S2-$C$2)</f>
        <v>336208.837952142</v>
      </c>
      <c r="T12" s="9">
        <f>$C$12*POWER(SUM(1,Variables!$C$19), T2-$C$2)</f>
        <v>341251.97052142408</v>
      </c>
      <c r="U12" s="9">
        <f>$C$12*POWER(SUM(1,Variables!$C$19), U2-$C$2)</f>
        <v>346370.75007924542</v>
      </c>
    </row>
    <row r="13" spans="2:22" x14ac:dyDescent="0.25">
      <c r="B13" s="10" t="s">
        <v>38</v>
      </c>
      <c r="C13" s="16">
        <v>176022</v>
      </c>
      <c r="D13" s="9">
        <f>$C$13*POWER(SUM(1,Variables!$C$19), D2-$C$2)</f>
        <v>178662.33</v>
      </c>
      <c r="E13" s="9">
        <f>$C$13*POWER(SUM(1,Variables!$C$19), E2-$C$2)</f>
        <v>181342.26494999995</v>
      </c>
      <c r="F13" s="9">
        <f>$C$13*POWER(SUM(1,Variables!$C$19), F2-$C$2)</f>
        <v>184062.39892424992</v>
      </c>
      <c r="G13" s="9">
        <f>$C$13*POWER(SUM(1,Variables!$C$19), G2-$C$2)</f>
        <v>186823.33490811364</v>
      </c>
      <c r="H13" s="9">
        <f>$C$13*POWER(SUM(1,Variables!$C$19), H2-$C$2)</f>
        <v>189625.68493173533</v>
      </c>
      <c r="I13" s="9">
        <f>$C$13*POWER(SUM(1,Variables!$C$19), I2-$C$2)</f>
        <v>192470.07020571132</v>
      </c>
      <c r="J13" s="9">
        <f>$C$13*POWER(SUM(1,Variables!$C$19), J2-$C$2)</f>
        <v>195357.12125879695</v>
      </c>
      <c r="K13" s="9">
        <f>$C$13*POWER(SUM(1,Variables!$C$19), K2-$C$2)</f>
        <v>198287.47807767891</v>
      </c>
      <c r="L13" s="9">
        <f>$C$13*POWER(SUM(1,Variables!$C$19), L2-$C$2)</f>
        <v>201261.79024884404</v>
      </c>
      <c r="M13" s="9">
        <f>$C$13*POWER(SUM(1,Variables!$C$19), M2-$C$2)</f>
        <v>204280.71710257669</v>
      </c>
      <c r="N13" s="9">
        <f>$C$13*POWER(SUM(1,Variables!$C$19), N2-$C$2)</f>
        <v>207344.92785911533</v>
      </c>
      <c r="O13" s="9">
        <f>$C$13*POWER(SUM(1,Variables!$C$19), O2-$C$2)</f>
        <v>210455.10177700201</v>
      </c>
      <c r="P13" s="9">
        <f>$C$13*POWER(SUM(1,Variables!$C$19), P2-$C$2)</f>
        <v>213611.92830365701</v>
      </c>
      <c r="Q13" s="9">
        <f>$C$13*POWER(SUM(1,Variables!$C$19), Q2-$C$2)</f>
        <v>216816.10722821183</v>
      </c>
      <c r="R13" s="9">
        <f>$C$13*POWER(SUM(1,Variables!$C$19), R2-$C$2)</f>
        <v>220068.34883663498</v>
      </c>
      <c r="S13" s="9">
        <f>$C$13*POWER(SUM(1,Variables!$C$19), S2-$C$2)</f>
        <v>223369.37406918447</v>
      </c>
      <c r="T13" s="9">
        <f>$C$13*POWER(SUM(1,Variables!$C$19), T2-$C$2)</f>
        <v>226719.91468022219</v>
      </c>
      <c r="U13" s="9">
        <f>$C$13*POWER(SUM(1,Variables!$C$19), U2-$C$2)</f>
        <v>230120.71340042553</v>
      </c>
    </row>
    <row r="14" spans="2:22" x14ac:dyDescent="0.25">
      <c r="B14" s="10" t="s">
        <v>39</v>
      </c>
      <c r="C14" s="16">
        <v>179561</v>
      </c>
      <c r="D14" s="9">
        <f>$C$14*POWER(SUM(1,Variables!$C$19), D2-$C$2)</f>
        <v>182254.41499999998</v>
      </c>
      <c r="E14" s="9">
        <f>$C$14*POWER(SUM(1,Variables!$C$19), E2-$C$2)</f>
        <v>184988.23122499994</v>
      </c>
      <c r="F14" s="9">
        <f>$C$14*POWER(SUM(1,Variables!$C$19), F2-$C$2)</f>
        <v>187763.05469337493</v>
      </c>
      <c r="G14" s="9">
        <f>$C$14*POWER(SUM(1,Variables!$C$19), G2-$C$2)</f>
        <v>190579.50051377554</v>
      </c>
      <c r="H14" s="9">
        <f>$C$14*POWER(SUM(1,Variables!$C$19), H2-$C$2)</f>
        <v>193438.19302148212</v>
      </c>
      <c r="I14" s="9">
        <f>$C$14*POWER(SUM(1,Variables!$C$19), I2-$C$2)</f>
        <v>196339.76591680432</v>
      </c>
      <c r="J14" s="9">
        <f>$C$14*POWER(SUM(1,Variables!$C$19), J2-$C$2)</f>
        <v>199284.86240555637</v>
      </c>
      <c r="K14" s="9">
        <f>$C$14*POWER(SUM(1,Variables!$C$19), K2-$C$2)</f>
        <v>202274.13534163969</v>
      </c>
      <c r="L14" s="9">
        <f>$C$14*POWER(SUM(1,Variables!$C$19), L2-$C$2)</f>
        <v>205308.24737176427</v>
      </c>
      <c r="M14" s="9">
        <f>$C$14*POWER(SUM(1,Variables!$C$19), M2-$C$2)</f>
        <v>208387.87108234069</v>
      </c>
      <c r="N14" s="9">
        <f>$C$14*POWER(SUM(1,Variables!$C$19), N2-$C$2)</f>
        <v>211513.6891485758</v>
      </c>
      <c r="O14" s="9">
        <f>$C$14*POWER(SUM(1,Variables!$C$19), O2-$C$2)</f>
        <v>214686.39448580437</v>
      </c>
      <c r="P14" s="9">
        <f>$C$14*POWER(SUM(1,Variables!$C$19), P2-$C$2)</f>
        <v>217906.69040309143</v>
      </c>
      <c r="Q14" s="9">
        <f>$C$14*POWER(SUM(1,Variables!$C$19), Q2-$C$2)</f>
        <v>221175.29075913774</v>
      </c>
      <c r="R14" s="9">
        <f>$C$14*POWER(SUM(1,Variables!$C$19), R2-$C$2)</f>
        <v>224492.92012052477</v>
      </c>
      <c r="S14" s="9">
        <f>$C$14*POWER(SUM(1,Variables!$C$19), S2-$C$2)</f>
        <v>227860.31392233263</v>
      </c>
      <c r="T14" s="9">
        <f>$C$14*POWER(SUM(1,Variables!$C$19), T2-$C$2)</f>
        <v>231278.21863116758</v>
      </c>
      <c r="U14" s="9">
        <f>$C$14*POWER(SUM(1,Variables!$C$19), U2-$C$2)</f>
        <v>234747.39191063508</v>
      </c>
    </row>
    <row r="15" spans="2:22" x14ac:dyDescent="0.25">
      <c r="B15" s="10" t="s">
        <v>40</v>
      </c>
      <c r="C15" s="16">
        <v>61917</v>
      </c>
      <c r="D15" s="9">
        <f>$C$15*POWER(SUM(1,Variables!$C$19), D2-$C$2)</f>
        <v>62845.754999999997</v>
      </c>
      <c r="E15" s="9">
        <f>$C$15*POWER(SUM(1,Variables!$C$19), E2-$C$2)</f>
        <v>63788.441324999985</v>
      </c>
      <c r="F15" s="9">
        <f>$C$15*POWER(SUM(1,Variables!$C$19), F2-$C$2)</f>
        <v>64745.267944874977</v>
      </c>
      <c r="G15" s="9">
        <f>$C$15*POWER(SUM(1,Variables!$C$19), G2-$C$2)</f>
        <v>65716.446964048097</v>
      </c>
      <c r="H15" s="9">
        <f>$C$15*POWER(SUM(1,Variables!$C$19), H2-$C$2)</f>
        <v>66702.1936685088</v>
      </c>
      <c r="I15" s="9">
        <f>$C$15*POWER(SUM(1,Variables!$C$19), I2-$C$2)</f>
        <v>67702.72657353642</v>
      </c>
      <c r="J15" s="9">
        <f>$C$15*POWER(SUM(1,Variables!$C$19), J2-$C$2)</f>
        <v>68718.267472139458</v>
      </c>
      <c r="K15" s="9">
        <f>$C$15*POWER(SUM(1,Variables!$C$19), K2-$C$2)</f>
        <v>69749.04148422154</v>
      </c>
      <c r="L15" s="9">
        <f>$C$15*POWER(SUM(1,Variables!$C$19), L2-$C$2)</f>
        <v>70795.277106484864</v>
      </c>
      <c r="M15" s="9">
        <f>$C$15*POWER(SUM(1,Variables!$C$19), M2-$C$2)</f>
        <v>71857.206263082116</v>
      </c>
      <c r="N15" s="9">
        <f>$C$15*POWER(SUM(1,Variables!$C$19), N2-$C$2)</f>
        <v>72935.064357028343</v>
      </c>
      <c r="O15" s="9">
        <f>$C$15*POWER(SUM(1,Variables!$C$19), O2-$C$2)</f>
        <v>74029.090322383752</v>
      </c>
      <c r="P15" s="9">
        <f>$C$15*POWER(SUM(1,Variables!$C$19), P2-$C$2)</f>
        <v>75139.526677219503</v>
      </c>
      <c r="Q15" s="9">
        <f>$C$15*POWER(SUM(1,Variables!$C$19), Q2-$C$2)</f>
        <v>76266.619577377787</v>
      </c>
      <c r="R15" s="9">
        <f>$C$15*POWER(SUM(1,Variables!$C$19), R2-$C$2)</f>
        <v>77410.61887103843</v>
      </c>
      <c r="S15" s="9">
        <f>$C$15*POWER(SUM(1,Variables!$C$19), S2-$C$2)</f>
        <v>78571.778154104002</v>
      </c>
      <c r="T15" s="9">
        <f>$C$15*POWER(SUM(1,Variables!$C$19), T2-$C$2)</f>
        <v>79750.354826415554</v>
      </c>
      <c r="U15" s="9">
        <f>$C$15*POWER(SUM(1,Variables!$C$19), U2-$C$2)</f>
        <v>80946.610148811786</v>
      </c>
    </row>
    <row r="16" spans="2:22" x14ac:dyDescent="0.25">
      <c r="B16" s="10" t="s">
        <v>41</v>
      </c>
      <c r="C16" s="16">
        <v>1442396</v>
      </c>
      <c r="D16" s="9">
        <f>$C$16*POWER(SUM(1,Variables!$C$19), D2-$C$2)</f>
        <v>1464031.94</v>
      </c>
      <c r="E16" s="9">
        <f>$C$16*POWER(SUM(1,Variables!$C$19), E2-$C$2)</f>
        <v>1485992.4190999996</v>
      </c>
      <c r="F16" s="9">
        <f>$C$16*POWER(SUM(1,Variables!$C$19), F2-$C$2)</f>
        <v>1508282.3053864995</v>
      </c>
      <c r="G16" s="9">
        <f>$C$16*POWER(SUM(1,Variables!$C$19), G2-$C$2)</f>
        <v>1530906.5399672966</v>
      </c>
      <c r="H16" s="9">
        <f>$C$16*POWER(SUM(1,Variables!$C$19), H2-$C$2)</f>
        <v>1553870.1380668059</v>
      </c>
      <c r="I16" s="9">
        <f>$C$16*POWER(SUM(1,Variables!$C$19), I2-$C$2)</f>
        <v>1577178.1901378077</v>
      </c>
      <c r="J16" s="9">
        <f>$C$16*POWER(SUM(1,Variables!$C$19), J2-$C$2)</f>
        <v>1600835.8629898746</v>
      </c>
      <c r="K16" s="9">
        <f>$C$16*POWER(SUM(1,Variables!$C$19), K2-$C$2)</f>
        <v>1624848.4009347225</v>
      </c>
      <c r="L16" s="9">
        <f>$C$16*POWER(SUM(1,Variables!$C$19), L2-$C$2)</f>
        <v>1649221.1269487431</v>
      </c>
      <c r="M16" s="9">
        <f>$C$16*POWER(SUM(1,Variables!$C$19), M2-$C$2)</f>
        <v>1673959.4438529741</v>
      </c>
      <c r="N16" s="9">
        <f>$C$16*POWER(SUM(1,Variables!$C$19), N2-$C$2)</f>
        <v>1699068.8355107687</v>
      </c>
      <c r="O16" s="9">
        <f>$C$16*POWER(SUM(1,Variables!$C$19), O2-$C$2)</f>
        <v>1724554.8680434297</v>
      </c>
      <c r="P16" s="9">
        <f>$C$16*POWER(SUM(1,Variables!$C$19), P2-$C$2)</f>
        <v>1750423.1910640812</v>
      </c>
      <c r="Q16" s="9">
        <f>$C$16*POWER(SUM(1,Variables!$C$19), Q2-$C$2)</f>
        <v>1776679.5389300419</v>
      </c>
      <c r="R16" s="9">
        <f>$C$16*POWER(SUM(1,Variables!$C$19), R2-$C$2)</f>
        <v>1803329.7320139923</v>
      </c>
      <c r="S16" s="9">
        <f>$C$16*POWER(SUM(1,Variables!$C$19), S2-$C$2)</f>
        <v>1830379.6779942019</v>
      </c>
      <c r="T16" s="9">
        <f>$C$16*POWER(SUM(1,Variables!$C$19), T2-$C$2)</f>
        <v>1857835.3731641145</v>
      </c>
      <c r="U16" s="9">
        <f>$C$16*POWER(SUM(1,Variables!$C$19), U2-$C$2)</f>
        <v>1885702.9037615762</v>
      </c>
    </row>
    <row r="17" spans="2:21" x14ac:dyDescent="0.25">
      <c r="B17" s="10" t="s">
        <v>42</v>
      </c>
      <c r="C17" s="16">
        <v>74546</v>
      </c>
      <c r="D17" s="9">
        <f>$C$17*POWER(SUM(1,Variables!$C$19), D2-$C$2)</f>
        <v>75664.189999999988</v>
      </c>
      <c r="E17" s="9">
        <f>$C$17*POWER(SUM(1,Variables!$C$19), E2-$C$2)</f>
        <v>76799.152849999984</v>
      </c>
      <c r="F17" s="9">
        <f>$C$17*POWER(SUM(1,Variables!$C$19), F2-$C$2)</f>
        <v>77951.140142749966</v>
      </c>
      <c r="G17" s="9">
        <f>$C$17*POWER(SUM(1,Variables!$C$19), G2-$C$2)</f>
        <v>79120.407244891205</v>
      </c>
      <c r="H17" s="9">
        <f>$C$17*POWER(SUM(1,Variables!$C$19), H2-$C$2)</f>
        <v>80307.21335356457</v>
      </c>
      <c r="I17" s="9">
        <f>$C$17*POWER(SUM(1,Variables!$C$19), I2-$C$2)</f>
        <v>81511.821553868023</v>
      </c>
      <c r="J17" s="9">
        <f>$C$17*POWER(SUM(1,Variables!$C$19), J2-$C$2)</f>
        <v>82734.498877176025</v>
      </c>
      <c r="K17" s="9">
        <f>$C$17*POWER(SUM(1,Variables!$C$19), K2-$C$2)</f>
        <v>83975.516360333655</v>
      </c>
      <c r="L17" s="9">
        <f>$C$17*POWER(SUM(1,Variables!$C$19), L2-$C$2)</f>
        <v>85235.149105738659</v>
      </c>
      <c r="M17" s="9">
        <f>$C$17*POWER(SUM(1,Variables!$C$19), M2-$C$2)</f>
        <v>86513.676342324718</v>
      </c>
      <c r="N17" s="9">
        <f>$C$17*POWER(SUM(1,Variables!$C$19), N2-$C$2)</f>
        <v>87811.381487459585</v>
      </c>
      <c r="O17" s="9">
        <f>$C$17*POWER(SUM(1,Variables!$C$19), O2-$C$2)</f>
        <v>89128.552209771457</v>
      </c>
      <c r="P17" s="9">
        <f>$C$17*POWER(SUM(1,Variables!$C$19), P2-$C$2)</f>
        <v>90465.480492918025</v>
      </c>
      <c r="Q17" s="9">
        <f>$C$17*POWER(SUM(1,Variables!$C$19), Q2-$C$2)</f>
        <v>91822.462700311778</v>
      </c>
      <c r="R17" s="9">
        <f>$C$17*POWER(SUM(1,Variables!$C$19), R2-$C$2)</f>
        <v>93199.799640816433</v>
      </c>
      <c r="S17" s="9">
        <f>$C$17*POWER(SUM(1,Variables!$C$19), S2-$C$2)</f>
        <v>94597.796635428676</v>
      </c>
      <c r="T17" s="9">
        <f>$C$17*POWER(SUM(1,Variables!$C$19), T2-$C$2)</f>
        <v>96016.763584960092</v>
      </c>
      <c r="U17" s="9">
        <f>$C$17*POWER(SUM(1,Variables!$C$19), U2-$C$2)</f>
        <v>97457.015038734477</v>
      </c>
    </row>
    <row r="18" spans="2:21" x14ac:dyDescent="0.25">
      <c r="B18" s="10" t="s">
        <v>43</v>
      </c>
      <c r="C18" s="16">
        <v>77918</v>
      </c>
      <c r="D18" s="9">
        <f>$C$18*POWER(SUM(1,Variables!$C$19), D2-$C$2)</f>
        <v>79086.76999999999</v>
      </c>
      <c r="E18" s="9">
        <f>$C$18*POWER(SUM(1,Variables!$C$19), E2-$C$2)</f>
        <v>80273.071549999979</v>
      </c>
      <c r="F18" s="9">
        <f>$C$18*POWER(SUM(1,Variables!$C$19), F2-$C$2)</f>
        <v>81477.167623249974</v>
      </c>
      <c r="G18" s="9">
        <f>$C$18*POWER(SUM(1,Variables!$C$19), G2-$C$2)</f>
        <v>82699.325137598702</v>
      </c>
      <c r="H18" s="9">
        <f>$C$18*POWER(SUM(1,Variables!$C$19), H2-$C$2)</f>
        <v>83939.815014662672</v>
      </c>
      <c r="I18" s="9">
        <f>$C$18*POWER(SUM(1,Variables!$C$19), I2-$C$2)</f>
        <v>85198.9122398826</v>
      </c>
      <c r="J18" s="9">
        <f>$C$18*POWER(SUM(1,Variables!$C$19), J2-$C$2)</f>
        <v>86476.895923480828</v>
      </c>
      <c r="K18" s="9">
        <f>$C$18*POWER(SUM(1,Variables!$C$19), K2-$C$2)</f>
        <v>87774.049362333026</v>
      </c>
      <c r="L18" s="9">
        <f>$C$18*POWER(SUM(1,Variables!$C$19), L2-$C$2)</f>
        <v>89090.660102768015</v>
      </c>
      <c r="M18" s="9">
        <f>$C$18*POWER(SUM(1,Variables!$C$19), M2-$C$2)</f>
        <v>90427.020004309525</v>
      </c>
      <c r="N18" s="9">
        <f>$C$18*POWER(SUM(1,Variables!$C$19), N2-$C$2)</f>
        <v>91783.425304374163</v>
      </c>
      <c r="O18" s="9">
        <f>$C$18*POWER(SUM(1,Variables!$C$19), O2-$C$2)</f>
        <v>93160.176683939746</v>
      </c>
      <c r="P18" s="9">
        <f>$C$18*POWER(SUM(1,Variables!$C$19), P2-$C$2)</f>
        <v>94557.579334198846</v>
      </c>
      <c r="Q18" s="9">
        <f>$C$18*POWER(SUM(1,Variables!$C$19), Q2-$C$2)</f>
        <v>95975.943024211796</v>
      </c>
      <c r="R18" s="9">
        <f>$C$18*POWER(SUM(1,Variables!$C$19), R2-$C$2)</f>
        <v>97415.582169574962</v>
      </c>
      <c r="S18" s="9">
        <f>$C$18*POWER(SUM(1,Variables!$C$19), S2-$C$2)</f>
        <v>98876.815902118571</v>
      </c>
      <c r="T18" s="9">
        <f>$C$18*POWER(SUM(1,Variables!$C$19), T2-$C$2)</f>
        <v>100359.96814065034</v>
      </c>
      <c r="U18" s="9">
        <f>$C$18*POWER(SUM(1,Variables!$C$19), U2-$C$2)</f>
        <v>101865.36766276008</v>
      </c>
    </row>
    <row r="19" spans="2:21" x14ac:dyDescent="0.25">
      <c r="B19" s="10" t="s">
        <v>44</v>
      </c>
      <c r="C19" s="16">
        <v>107298</v>
      </c>
      <c r="D19" s="9">
        <f>$C$19*POWER(SUM(1,Variables!$C$19), D2-$C$2)</f>
        <v>108907.46999999999</v>
      </c>
      <c r="E19" s="9">
        <f>$C$19*POWER(SUM(1,Variables!$C$19), E2-$C$2)</f>
        <v>110541.08204999997</v>
      </c>
      <c r="F19" s="9">
        <f>$C$19*POWER(SUM(1,Variables!$C$19), F2-$C$2)</f>
        <v>112199.19828074996</v>
      </c>
      <c r="G19" s="9">
        <f>$C$19*POWER(SUM(1,Variables!$C$19), G2-$C$2)</f>
        <v>113882.18625496118</v>
      </c>
      <c r="H19" s="9">
        <f>$C$19*POWER(SUM(1,Variables!$C$19), H2-$C$2)</f>
        <v>115590.4190487856</v>
      </c>
      <c r="I19" s="9">
        <f>$C$19*POWER(SUM(1,Variables!$C$19), I2-$C$2)</f>
        <v>117324.27533451736</v>
      </c>
      <c r="J19" s="9">
        <f>$C$19*POWER(SUM(1,Variables!$C$19), J2-$C$2)</f>
        <v>119084.1394645351</v>
      </c>
      <c r="K19" s="9">
        <f>$C$19*POWER(SUM(1,Variables!$C$19), K2-$C$2)</f>
        <v>120870.40155650311</v>
      </c>
      <c r="L19" s="9">
        <f>$C$19*POWER(SUM(1,Variables!$C$19), L2-$C$2)</f>
        <v>122683.45757985064</v>
      </c>
      <c r="M19" s="9">
        <f>$C$19*POWER(SUM(1,Variables!$C$19), M2-$C$2)</f>
        <v>124523.70944354839</v>
      </c>
      <c r="N19" s="9">
        <f>$C$19*POWER(SUM(1,Variables!$C$19), N2-$C$2)</f>
        <v>126391.5650852016</v>
      </c>
      <c r="O19" s="9">
        <f>$C$19*POWER(SUM(1,Variables!$C$19), O2-$C$2)</f>
        <v>128287.43856147959</v>
      </c>
      <c r="P19" s="9">
        <f>$C$19*POWER(SUM(1,Variables!$C$19), P2-$C$2)</f>
        <v>130211.75013990178</v>
      </c>
      <c r="Q19" s="9">
        <f>$C$19*POWER(SUM(1,Variables!$C$19), Q2-$C$2)</f>
        <v>132164.92639200028</v>
      </c>
      <c r="R19" s="9">
        <f>$C$19*POWER(SUM(1,Variables!$C$19), R2-$C$2)</f>
        <v>134147.40028788027</v>
      </c>
      <c r="S19" s="9">
        <f>$C$19*POWER(SUM(1,Variables!$C$19), S2-$C$2)</f>
        <v>136159.61129219845</v>
      </c>
      <c r="T19" s="9">
        <f>$C$19*POWER(SUM(1,Variables!$C$19), T2-$C$2)</f>
        <v>138202.0054615814</v>
      </c>
      <c r="U19" s="9">
        <f>$C$19*POWER(SUM(1,Variables!$C$19), U2-$C$2)</f>
        <v>140275.0355435051</v>
      </c>
    </row>
    <row r="20" spans="2:21" x14ac:dyDescent="0.25">
      <c r="B20" s="10" t="s">
        <v>45</v>
      </c>
      <c r="C20" s="16">
        <v>101628</v>
      </c>
      <c r="D20" s="9">
        <f>$C$20*POWER(SUM(1,Variables!$C$19), D2-$C$2)</f>
        <v>103152.41999999998</v>
      </c>
      <c r="E20" s="9">
        <f>$C$20*POWER(SUM(1,Variables!$C$19), E2-$C$2)</f>
        <v>104699.70629999998</v>
      </c>
      <c r="F20" s="9">
        <f>$C$20*POWER(SUM(1,Variables!$C$19), F2-$C$2)</f>
        <v>106270.20189449996</v>
      </c>
      <c r="G20" s="9">
        <f>$C$20*POWER(SUM(1,Variables!$C$19), G2-$C$2)</f>
        <v>107864.25492291745</v>
      </c>
      <c r="H20" s="9">
        <f>$C$20*POWER(SUM(1,Variables!$C$19), H2-$C$2)</f>
        <v>109482.21874676119</v>
      </c>
      <c r="I20" s="9">
        <f>$C$20*POWER(SUM(1,Variables!$C$19), I2-$C$2)</f>
        <v>111124.45202796259</v>
      </c>
      <c r="J20" s="9">
        <f>$C$20*POWER(SUM(1,Variables!$C$19), J2-$C$2)</f>
        <v>112791.31880838201</v>
      </c>
      <c r="K20" s="9">
        <f>$C$20*POWER(SUM(1,Variables!$C$19), K2-$C$2)</f>
        <v>114483.18859050774</v>
      </c>
      <c r="L20" s="9">
        <f>$C$20*POWER(SUM(1,Variables!$C$19), L2-$C$2)</f>
        <v>116200.43641936533</v>
      </c>
      <c r="M20" s="9">
        <f>$C$20*POWER(SUM(1,Variables!$C$19), M2-$C$2)</f>
        <v>117943.44296565579</v>
      </c>
      <c r="N20" s="9">
        <f>$C$20*POWER(SUM(1,Variables!$C$19), N2-$C$2)</f>
        <v>119712.59461014062</v>
      </c>
      <c r="O20" s="9">
        <f>$C$20*POWER(SUM(1,Variables!$C$19), O2-$C$2)</f>
        <v>121508.2835292927</v>
      </c>
      <c r="P20" s="9">
        <f>$C$20*POWER(SUM(1,Variables!$C$19), P2-$C$2)</f>
        <v>123330.90778223208</v>
      </c>
      <c r="Q20" s="9">
        <f>$C$20*POWER(SUM(1,Variables!$C$19), Q2-$C$2)</f>
        <v>125180.87139896554</v>
      </c>
      <c r="R20" s="9">
        <f>$C$20*POWER(SUM(1,Variables!$C$19), R2-$C$2)</f>
        <v>127058.58446995</v>
      </c>
      <c r="S20" s="9">
        <f>$C$20*POWER(SUM(1,Variables!$C$19), S2-$C$2)</f>
        <v>128964.46323699923</v>
      </c>
      <c r="T20" s="9">
        <f>$C$20*POWER(SUM(1,Variables!$C$19), T2-$C$2)</f>
        <v>130898.9301855542</v>
      </c>
      <c r="U20" s="9">
        <f>$C$20*POWER(SUM(1,Variables!$C$19), U2-$C$2)</f>
        <v>132862.41413833751</v>
      </c>
    </row>
    <row r="21" spans="2:21" x14ac:dyDescent="0.25">
      <c r="B21" s="10" t="s">
        <v>46</v>
      </c>
      <c r="C21" s="16">
        <v>78773</v>
      </c>
      <c r="D21" s="9">
        <f>$C$21*POWER(SUM(1,Variables!$C$19), D2-$C$2)</f>
        <v>79954.594999999987</v>
      </c>
      <c r="E21" s="9">
        <f>$C$21*POWER(SUM(1,Variables!$C$19), E2-$C$2)</f>
        <v>81153.913924999972</v>
      </c>
      <c r="F21" s="9">
        <f>$C$21*POWER(SUM(1,Variables!$C$19), F2-$C$2)</f>
        <v>82371.222633874975</v>
      </c>
      <c r="G21" s="9">
        <f>$C$21*POWER(SUM(1,Variables!$C$19), G2-$C$2)</f>
        <v>83606.790973383075</v>
      </c>
      <c r="H21" s="9">
        <f>$C$21*POWER(SUM(1,Variables!$C$19), H2-$C$2)</f>
        <v>84860.892837983818</v>
      </c>
      <c r="I21" s="9">
        <f>$C$21*POWER(SUM(1,Variables!$C$19), I2-$C$2)</f>
        <v>86133.806230553557</v>
      </c>
      <c r="J21" s="9">
        <f>$C$21*POWER(SUM(1,Variables!$C$19), J2-$C$2)</f>
        <v>87425.813324011848</v>
      </c>
      <c r="K21" s="9">
        <f>$C$21*POWER(SUM(1,Variables!$C$19), K2-$C$2)</f>
        <v>88737.200523872016</v>
      </c>
      <c r="L21" s="9">
        <f>$C$21*POWER(SUM(1,Variables!$C$19), L2-$C$2)</f>
        <v>90068.258531730084</v>
      </c>
      <c r="M21" s="9">
        <f>$C$21*POWER(SUM(1,Variables!$C$19), M2-$C$2)</f>
        <v>91419.282409706022</v>
      </c>
      <c r="N21" s="9">
        <f>$C$21*POWER(SUM(1,Variables!$C$19), N2-$C$2)</f>
        <v>92790.571645851611</v>
      </c>
      <c r="O21" s="9">
        <f>$C$21*POWER(SUM(1,Variables!$C$19), O2-$C$2)</f>
        <v>94182.430220539361</v>
      </c>
      <c r="P21" s="9">
        <f>$C$21*POWER(SUM(1,Variables!$C$19), P2-$C$2)</f>
        <v>95595.166673847445</v>
      </c>
      <c r="Q21" s="9">
        <f>$C$21*POWER(SUM(1,Variables!$C$19), Q2-$C$2)</f>
        <v>97029.094173955134</v>
      </c>
      <c r="R21" s="9">
        <f>$C$21*POWER(SUM(1,Variables!$C$19), R2-$C$2)</f>
        <v>98484.530586564448</v>
      </c>
      <c r="S21" s="9">
        <f>$C$21*POWER(SUM(1,Variables!$C$19), S2-$C$2)</f>
        <v>99961.798545362893</v>
      </c>
      <c r="T21" s="9">
        <f>$C$21*POWER(SUM(1,Variables!$C$19), T2-$C$2)</f>
        <v>101461.22552354333</v>
      </c>
      <c r="U21" s="9">
        <f>$C$21*POWER(SUM(1,Variables!$C$19), U2-$C$2)</f>
        <v>102983.14390639646</v>
      </c>
    </row>
    <row r="22" spans="2:21" x14ac:dyDescent="0.25">
      <c r="B22" s="10" t="s">
        <v>47</v>
      </c>
      <c r="C22" s="16">
        <v>44120</v>
      </c>
      <c r="D22" s="9">
        <f>$C$22*POWER(SUM(1,Variables!$C$19), D2-$C$2)</f>
        <v>44781.799999999996</v>
      </c>
      <c r="E22" s="9">
        <f>$C$22*POWER(SUM(1,Variables!$C$19), E2-$C$2)</f>
        <v>45453.526999999987</v>
      </c>
      <c r="F22" s="9">
        <f>$C$22*POWER(SUM(1,Variables!$C$19), F2-$C$2)</f>
        <v>46135.329904999984</v>
      </c>
      <c r="G22" s="9">
        <f>$C$22*POWER(SUM(1,Variables!$C$19), G2-$C$2)</f>
        <v>46827.359853574977</v>
      </c>
      <c r="H22" s="9">
        <f>$C$22*POWER(SUM(1,Variables!$C$19), H2-$C$2)</f>
        <v>47529.770251378592</v>
      </c>
      <c r="I22" s="9">
        <f>$C$22*POWER(SUM(1,Variables!$C$19), I2-$C$2)</f>
        <v>48242.716805149263</v>
      </c>
      <c r="J22" s="9">
        <f>$C$22*POWER(SUM(1,Variables!$C$19), J2-$C$2)</f>
        <v>48966.357557226496</v>
      </c>
      <c r="K22" s="9">
        <f>$C$22*POWER(SUM(1,Variables!$C$19), K2-$C$2)</f>
        <v>49700.85292058489</v>
      </c>
      <c r="L22" s="9">
        <f>$C$22*POWER(SUM(1,Variables!$C$19), L2-$C$2)</f>
        <v>50446.365714393658</v>
      </c>
      <c r="M22" s="9">
        <f>$C$22*POWER(SUM(1,Variables!$C$19), M2-$C$2)</f>
        <v>51203.061200109551</v>
      </c>
      <c r="N22" s="9">
        <f>$C$22*POWER(SUM(1,Variables!$C$19), N2-$C$2)</f>
        <v>51971.107118111191</v>
      </c>
      <c r="O22" s="9">
        <f>$C$22*POWER(SUM(1,Variables!$C$19), O2-$C$2)</f>
        <v>52750.67372488285</v>
      </c>
      <c r="P22" s="9">
        <f>$C$22*POWER(SUM(1,Variables!$C$19), P2-$C$2)</f>
        <v>53541.93383075609</v>
      </c>
      <c r="Q22" s="9">
        <f>$C$22*POWER(SUM(1,Variables!$C$19), Q2-$C$2)</f>
        <v>54345.062838217411</v>
      </c>
      <c r="R22" s="9">
        <f>$C$22*POWER(SUM(1,Variables!$C$19), R2-$C$2)</f>
        <v>55160.238780790671</v>
      </c>
      <c r="S22" s="9">
        <f>$C$22*POWER(SUM(1,Variables!$C$19), S2-$C$2)</f>
        <v>55987.64236250252</v>
      </c>
      <c r="T22" s="9">
        <f>$C$22*POWER(SUM(1,Variables!$C$19), T2-$C$2)</f>
        <v>56827.456997940048</v>
      </c>
      <c r="U22" s="9">
        <f>$C$22*POWER(SUM(1,Variables!$C$19), U2-$C$2)</f>
        <v>57679.868852909145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Sheet - Open Spaces</vt:lpstr>
      <vt:lpstr>Cost Calculations</vt:lpstr>
      <vt:lpstr>Variables</vt:lpstr>
      <vt:lpstr>Calc Variable Numbers</vt:lpstr>
      <vt:lpstr>Population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Mihir Prakash</cp:lastModifiedBy>
  <dcterms:created xsi:type="dcterms:W3CDTF">2019-07-15T11:45:00Z</dcterms:created>
  <dcterms:modified xsi:type="dcterms:W3CDTF">2019-09-06T23:23:07Z</dcterms:modified>
</cp:coreProperties>
</file>