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MengfanCheng/Google Drive/UN Habitat SDG 11 Costing/Report (1)/Colombia Briefs/"/>
    </mc:Choice>
  </mc:AlternateContent>
  <xr:revisionPtr revIDLastSave="0" documentId="13_ncr:1_{B6377D66-CC40-E54B-8333-EB0A8CF83C40}" xr6:coauthVersionLast="45" xr6:coauthVersionMax="45" xr10:uidLastSave="{00000000-0000-0000-0000-000000000000}"/>
  <bookViews>
    <workbookView xWindow="0" yWindow="460" windowWidth="25600" windowHeight="14480" tabRatio="500" activeTab="2" xr2:uid="{00000000-000D-0000-FFFF-FFFF00000000}"/>
  </bookViews>
  <sheets>
    <sheet name="Summary Sheet - Solid Waste" sheetId="3" r:id="rId1"/>
    <sheet name="Variables" sheetId="2" r:id="rId2"/>
    <sheet name="Cost Calculation" sheetId="1" r:id="rId3"/>
    <sheet name="Sanitary Landfilling" sheetId="9" state="hidden" r:id="rId4"/>
    <sheet name="Population" sheetId="4" state="hidden" r:id="rId5"/>
    <sheet name="Land cost" sheetId="7" r:id="rId6"/>
    <sheet name="Waste per capita" sheetId="5" r:id="rId7"/>
    <sheet name="Landfills" sheetId="8" r:id="rId8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4" i="1"/>
  <c r="D3" i="7" l="1"/>
  <c r="D5" i="7"/>
  <c r="D7" i="7"/>
  <c r="D8" i="7"/>
  <c r="D9" i="7"/>
  <c r="D10" i="7"/>
  <c r="D11" i="7"/>
  <c r="D15" i="7"/>
  <c r="D18" i="7"/>
  <c r="D19" i="7"/>
  <c r="D22" i="7"/>
  <c r="D24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9" i="7"/>
  <c r="D60" i="7"/>
  <c r="D2" i="7"/>
  <c r="C5" i="2" l="1"/>
  <c r="C6" i="2" s="1"/>
  <c r="G4" i="1"/>
  <c r="I8" i="1"/>
  <c r="I9" i="1"/>
  <c r="I10" i="1"/>
  <c r="I11" i="1"/>
  <c r="I12" i="1"/>
  <c r="I13" i="1"/>
  <c r="I14" i="1"/>
  <c r="I15" i="1"/>
  <c r="I16" i="1"/>
  <c r="I17" i="1"/>
  <c r="I19" i="1"/>
  <c r="I20" i="1"/>
  <c r="I21" i="1"/>
  <c r="I22" i="1"/>
  <c r="I23" i="1"/>
  <c r="I24" i="1"/>
  <c r="I31" i="1"/>
  <c r="I32" i="1"/>
  <c r="I33" i="1"/>
  <c r="I34" i="1"/>
  <c r="I35" i="1"/>
  <c r="I37" i="1"/>
  <c r="I38" i="1"/>
  <c r="I40" i="1"/>
  <c r="I42" i="1"/>
  <c r="I44" i="1"/>
  <c r="I45" i="1"/>
  <c r="I46" i="1"/>
  <c r="I47" i="1"/>
  <c r="I48" i="1"/>
  <c r="I50" i="1"/>
  <c r="D7" i="5"/>
  <c r="D11" i="5"/>
  <c r="D13" i="5"/>
  <c r="D31" i="5"/>
  <c r="D42" i="5"/>
  <c r="C6" i="5"/>
  <c r="D6" i="5" s="1"/>
  <c r="C7" i="5"/>
  <c r="C8" i="5"/>
  <c r="D8" i="5" s="1"/>
  <c r="C9" i="5"/>
  <c r="D9" i="5" s="1"/>
  <c r="C10" i="5"/>
  <c r="D10" i="5" s="1"/>
  <c r="C11" i="5"/>
  <c r="C12" i="5"/>
  <c r="D12" i="5" s="1"/>
  <c r="C13" i="5"/>
  <c r="C14" i="5"/>
  <c r="D14" i="5" s="1"/>
  <c r="C15" i="5"/>
  <c r="D15" i="5" s="1"/>
  <c r="C17" i="5"/>
  <c r="D17" i="5" s="1"/>
  <c r="C18" i="5"/>
  <c r="D18" i="5" s="1"/>
  <c r="C19" i="5"/>
  <c r="D19" i="5" s="1"/>
  <c r="C20" i="5"/>
  <c r="D20" i="5" s="1"/>
  <c r="C21" i="5"/>
  <c r="D21" i="5" s="1"/>
  <c r="C22" i="5"/>
  <c r="D22" i="5" s="1"/>
  <c r="C29" i="5"/>
  <c r="D29" i="5" s="1"/>
  <c r="C30" i="5"/>
  <c r="D30" i="5" s="1"/>
  <c r="C31" i="5"/>
  <c r="C32" i="5"/>
  <c r="D32" i="5" s="1"/>
  <c r="C33" i="5"/>
  <c r="D33" i="5" s="1"/>
  <c r="C35" i="5"/>
  <c r="D35" i="5" s="1"/>
  <c r="C36" i="5"/>
  <c r="D36" i="5" s="1"/>
  <c r="C3" i="5"/>
  <c r="D3" i="5" s="1"/>
  <c r="C4" i="5"/>
  <c r="D4" i="5" s="1"/>
  <c r="C5" i="5"/>
  <c r="D5" i="5" s="1"/>
  <c r="C16" i="5"/>
  <c r="D16" i="5" s="1"/>
  <c r="C23" i="5"/>
  <c r="D23" i="5" s="1"/>
  <c r="C24" i="5"/>
  <c r="D24" i="5" s="1"/>
  <c r="C25" i="5"/>
  <c r="D25" i="5" s="1"/>
  <c r="C26" i="5"/>
  <c r="D26" i="5" s="1"/>
  <c r="C27" i="5"/>
  <c r="D27" i="5" s="1"/>
  <c r="C28" i="5"/>
  <c r="D28" i="5" s="1"/>
  <c r="C34" i="5"/>
  <c r="D34" i="5" s="1"/>
  <c r="C37" i="5"/>
  <c r="D37" i="5" s="1"/>
  <c r="C38" i="5"/>
  <c r="D38" i="5" s="1"/>
  <c r="C39" i="5"/>
  <c r="D39" i="5" s="1"/>
  <c r="C40" i="5"/>
  <c r="D40" i="5" s="1"/>
  <c r="C41" i="5"/>
  <c r="D41" i="5" s="1"/>
  <c r="C42" i="5"/>
  <c r="C43" i="5"/>
  <c r="D43" i="5" s="1"/>
  <c r="C44" i="5"/>
  <c r="D44" i="5" s="1"/>
  <c r="C45" i="5"/>
  <c r="D45" i="5" s="1"/>
  <c r="C46" i="5"/>
  <c r="D46" i="5" s="1"/>
  <c r="C47" i="5"/>
  <c r="D47" i="5" s="1"/>
  <c r="C48" i="5"/>
  <c r="D48" i="5" s="1"/>
  <c r="C2" i="5"/>
  <c r="D2" i="5" s="1"/>
  <c r="D522" i="1" l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21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474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27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380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33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286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39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192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45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98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51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4" i="1"/>
  <c r="E4" i="1" s="1"/>
  <c r="K4" i="5" l="1"/>
  <c r="L4" i="5" s="1"/>
  <c r="L3" i="5"/>
  <c r="L2" i="5"/>
  <c r="E28" i="5" l="1"/>
  <c r="I30" i="1" s="1"/>
  <c r="E26" i="5"/>
  <c r="I28" i="1" s="1"/>
  <c r="E27" i="5"/>
  <c r="I29" i="1" s="1"/>
  <c r="E23" i="5"/>
  <c r="I25" i="1" s="1"/>
  <c r="E25" i="5"/>
  <c r="I27" i="1" s="1"/>
  <c r="E24" i="5"/>
  <c r="I26" i="1" s="1"/>
  <c r="G14" i="7" l="1"/>
  <c r="G3" i="7"/>
  <c r="G59" i="7"/>
  <c r="F59" i="7" s="1"/>
  <c r="E59" i="7" s="1"/>
  <c r="W49" i="1" s="1"/>
  <c r="G58" i="7"/>
  <c r="F58" i="7" s="1"/>
  <c r="G57" i="7"/>
  <c r="F57" i="7" s="1"/>
  <c r="G49" i="7"/>
  <c r="F49" i="7" s="1"/>
  <c r="E49" i="7" s="1"/>
  <c r="W40" i="1" s="1"/>
  <c r="G32" i="7"/>
  <c r="F32" i="7" s="1"/>
  <c r="E32" i="7" s="1"/>
  <c r="W23" i="1" s="1"/>
  <c r="G25" i="7"/>
  <c r="F25" i="7" s="1"/>
  <c r="G23" i="7"/>
  <c r="F23" i="7" s="1"/>
  <c r="G22" i="7"/>
  <c r="F22" i="7" s="1"/>
  <c r="G21" i="7"/>
  <c r="F21" i="7" s="1"/>
  <c r="G20" i="7"/>
  <c r="F20" i="7" s="1"/>
  <c r="G19" i="7"/>
  <c r="F19" i="7" s="1"/>
  <c r="G17" i="7"/>
  <c r="F17" i="7" s="1"/>
  <c r="G16" i="7"/>
  <c r="F16" i="7" s="1"/>
  <c r="G15" i="7"/>
  <c r="F15" i="7" s="1"/>
  <c r="G13" i="7"/>
  <c r="F13" i="7" s="1"/>
  <c r="G12" i="7"/>
  <c r="F12" i="7" s="1"/>
  <c r="G11" i="7"/>
  <c r="F11" i="7" s="1"/>
  <c r="G10" i="7"/>
  <c r="F10" i="7" s="1"/>
  <c r="E10" i="7" s="1"/>
  <c r="W10" i="1" s="1"/>
  <c r="G8" i="7"/>
  <c r="F8" i="7" s="1"/>
  <c r="E8" i="7" s="1"/>
  <c r="G7" i="7"/>
  <c r="F7" i="7" s="1"/>
  <c r="E7" i="7" s="1"/>
  <c r="W7" i="1" s="1"/>
  <c r="G5" i="7"/>
  <c r="F5" i="7" s="1"/>
  <c r="G6" i="7"/>
  <c r="F6" i="7" s="1"/>
  <c r="F60" i="7"/>
  <c r="F28" i="7"/>
  <c r="F29" i="7"/>
  <c r="F30" i="7"/>
  <c r="F31" i="7"/>
  <c r="F33" i="7"/>
  <c r="F34" i="7"/>
  <c r="F35" i="7"/>
  <c r="F36" i="7"/>
  <c r="F37" i="7"/>
  <c r="F38" i="7"/>
  <c r="F39" i="7"/>
  <c r="F40" i="7"/>
  <c r="F41" i="7"/>
  <c r="F42" i="7"/>
  <c r="F43" i="7"/>
  <c r="F44" i="7"/>
  <c r="F14" i="7"/>
  <c r="F46" i="7"/>
  <c r="F50" i="7"/>
  <c r="F51" i="7"/>
  <c r="F52" i="7"/>
  <c r="F53" i="7"/>
  <c r="F54" i="7"/>
  <c r="F55" i="7"/>
  <c r="F56" i="7"/>
  <c r="F9" i="7"/>
  <c r="E9" i="7" s="1"/>
  <c r="W9" i="1" s="1"/>
  <c r="G4" i="7"/>
  <c r="F4" i="7" s="1"/>
  <c r="W8" i="1" l="1"/>
  <c r="E5" i="7"/>
  <c r="W6" i="1" s="1"/>
  <c r="E11" i="7"/>
  <c r="W11" i="1" s="1"/>
  <c r="E22" i="7"/>
  <c r="W15" i="1" s="1"/>
  <c r="E15" i="7"/>
  <c r="W12" i="1" s="1"/>
  <c r="E57" i="7"/>
  <c r="E19" i="7"/>
  <c r="W14" i="1" s="1"/>
  <c r="W48" i="1" l="1"/>
  <c r="L5" i="7"/>
  <c r="C10" i="2"/>
  <c r="E60" i="7" l="1"/>
  <c r="W50" i="1" s="1"/>
  <c r="E54" i="7"/>
  <c r="W45" i="1" s="1"/>
  <c r="E39" i="7"/>
  <c r="W30" i="1" s="1"/>
  <c r="E43" i="7"/>
  <c r="W34" i="1" s="1"/>
  <c r="E56" i="7"/>
  <c r="W47" i="1" s="1"/>
  <c r="E55" i="7"/>
  <c r="W46" i="1" s="1"/>
  <c r="E40" i="7"/>
  <c r="W31" i="1" s="1"/>
  <c r="E44" i="7"/>
  <c r="W35" i="1" s="1"/>
  <c r="E52" i="7"/>
  <c r="W43" i="1" s="1"/>
  <c r="E51" i="7"/>
  <c r="W42" i="1" s="1"/>
  <c r="E41" i="7"/>
  <c r="W32" i="1" s="1"/>
  <c r="E38" i="7"/>
  <c r="W29" i="1" s="1"/>
  <c r="E53" i="7"/>
  <c r="W44" i="1" s="1"/>
  <c r="E50" i="7"/>
  <c r="W41" i="1" s="1"/>
  <c r="E42" i="7"/>
  <c r="W33" i="1" s="1"/>
  <c r="E36" i="7"/>
  <c r="W27" i="1" s="1"/>
  <c r="G24" i="7"/>
  <c r="F24" i="7" s="1"/>
  <c r="E24" i="7" l="1"/>
  <c r="E10" i="2"/>
  <c r="B16" i="9"/>
  <c r="B19" i="9" s="1"/>
  <c r="B17" i="9"/>
  <c r="B20" i="9" s="1"/>
  <c r="B18" i="9"/>
  <c r="B21" i="9" s="1"/>
  <c r="B10" i="9"/>
  <c r="G244" i="1"/>
  <c r="H244" i="1" s="1"/>
  <c r="I244" i="1" s="1"/>
  <c r="K244" i="1"/>
  <c r="G245" i="1"/>
  <c r="H245" i="1" s="1"/>
  <c r="I245" i="1" s="1"/>
  <c r="K245" i="1"/>
  <c r="G246" i="1"/>
  <c r="H246" i="1" s="1"/>
  <c r="I246" i="1" s="1"/>
  <c r="K246" i="1"/>
  <c r="G247" i="1"/>
  <c r="H247" i="1" s="1"/>
  <c r="I247" i="1" s="1"/>
  <c r="K247" i="1"/>
  <c r="G248" i="1"/>
  <c r="H248" i="1" s="1"/>
  <c r="I248" i="1" s="1"/>
  <c r="K248" i="1"/>
  <c r="G249" i="1"/>
  <c r="H249" i="1" s="1"/>
  <c r="I249" i="1" s="1"/>
  <c r="K249" i="1"/>
  <c r="G250" i="1"/>
  <c r="H250" i="1" s="1"/>
  <c r="I250" i="1" s="1"/>
  <c r="K250" i="1"/>
  <c r="G251" i="1"/>
  <c r="H251" i="1" s="1"/>
  <c r="I251" i="1" s="1"/>
  <c r="K251" i="1"/>
  <c r="G252" i="1"/>
  <c r="H252" i="1" s="1"/>
  <c r="I252" i="1" s="1"/>
  <c r="K252" i="1"/>
  <c r="G253" i="1"/>
  <c r="H253" i="1" s="1"/>
  <c r="K253" i="1"/>
  <c r="G254" i="1"/>
  <c r="H254" i="1" s="1"/>
  <c r="I254" i="1" s="1"/>
  <c r="K254" i="1"/>
  <c r="G255" i="1"/>
  <c r="H255" i="1" s="1"/>
  <c r="I255" i="1" s="1"/>
  <c r="K255" i="1"/>
  <c r="G256" i="1"/>
  <c r="H256" i="1" s="1"/>
  <c r="I256" i="1" s="1"/>
  <c r="K256" i="1"/>
  <c r="G257" i="1"/>
  <c r="H257" i="1" s="1"/>
  <c r="I257" i="1" s="1"/>
  <c r="K257" i="1"/>
  <c r="G258" i="1"/>
  <c r="H258" i="1" s="1"/>
  <c r="I258" i="1" s="1"/>
  <c r="K258" i="1"/>
  <c r="G259" i="1"/>
  <c r="H259" i="1" s="1"/>
  <c r="I259" i="1" s="1"/>
  <c r="K259" i="1"/>
  <c r="G260" i="1"/>
  <c r="H260" i="1" s="1"/>
  <c r="I260" i="1" s="1"/>
  <c r="K260" i="1"/>
  <c r="G261" i="1"/>
  <c r="H261" i="1" s="1"/>
  <c r="I261" i="1" s="1"/>
  <c r="K261" i="1"/>
  <c r="G262" i="1"/>
  <c r="H262" i="1" s="1"/>
  <c r="I262" i="1" s="1"/>
  <c r="K262" i="1"/>
  <c r="G263" i="1"/>
  <c r="H263" i="1" s="1"/>
  <c r="I263" i="1" s="1"/>
  <c r="K263" i="1"/>
  <c r="G264" i="1"/>
  <c r="H264" i="1" s="1"/>
  <c r="I264" i="1" s="1"/>
  <c r="K264" i="1"/>
  <c r="G265" i="1"/>
  <c r="H265" i="1" s="1"/>
  <c r="I265" i="1" s="1"/>
  <c r="K265" i="1"/>
  <c r="G266" i="1"/>
  <c r="H266" i="1" s="1"/>
  <c r="I266" i="1" s="1"/>
  <c r="K266" i="1"/>
  <c r="G267" i="1"/>
  <c r="H267" i="1" s="1"/>
  <c r="I267" i="1" s="1"/>
  <c r="K267" i="1"/>
  <c r="G268" i="1"/>
  <c r="H268" i="1" s="1"/>
  <c r="I268" i="1" s="1"/>
  <c r="K268" i="1"/>
  <c r="G269" i="1"/>
  <c r="H269" i="1" s="1"/>
  <c r="I269" i="1" s="1"/>
  <c r="K269" i="1"/>
  <c r="G270" i="1"/>
  <c r="H270" i="1" s="1"/>
  <c r="I270" i="1" s="1"/>
  <c r="K270" i="1"/>
  <c r="G271" i="1"/>
  <c r="H271" i="1" s="1"/>
  <c r="K271" i="1"/>
  <c r="G272" i="1"/>
  <c r="H272" i="1" s="1"/>
  <c r="I272" i="1" s="1"/>
  <c r="K272" i="1"/>
  <c r="G273" i="1"/>
  <c r="H273" i="1" s="1"/>
  <c r="I273" i="1" s="1"/>
  <c r="K273" i="1"/>
  <c r="G274" i="1"/>
  <c r="H274" i="1" s="1"/>
  <c r="K274" i="1"/>
  <c r="G275" i="1"/>
  <c r="H275" i="1" s="1"/>
  <c r="I275" i="1" s="1"/>
  <c r="K275" i="1"/>
  <c r="G276" i="1"/>
  <c r="H276" i="1" s="1"/>
  <c r="K276" i="1"/>
  <c r="G277" i="1"/>
  <c r="H277" i="1" s="1"/>
  <c r="I277" i="1" s="1"/>
  <c r="K277" i="1"/>
  <c r="G278" i="1"/>
  <c r="H278" i="1" s="1"/>
  <c r="K278" i="1"/>
  <c r="G279" i="1"/>
  <c r="H279" i="1" s="1"/>
  <c r="I279" i="1" s="1"/>
  <c r="K279" i="1"/>
  <c r="G280" i="1"/>
  <c r="H280" i="1" s="1"/>
  <c r="I280" i="1" s="1"/>
  <c r="K280" i="1"/>
  <c r="G281" i="1"/>
  <c r="H281" i="1" s="1"/>
  <c r="I281" i="1" s="1"/>
  <c r="K281" i="1"/>
  <c r="G282" i="1"/>
  <c r="H282" i="1" s="1"/>
  <c r="I282" i="1" s="1"/>
  <c r="K282" i="1"/>
  <c r="G283" i="1"/>
  <c r="H283" i="1" s="1"/>
  <c r="I283" i="1" s="1"/>
  <c r="K283" i="1"/>
  <c r="G284" i="1"/>
  <c r="H284" i="1" s="1"/>
  <c r="K284" i="1"/>
  <c r="G285" i="1"/>
  <c r="H285" i="1" s="1"/>
  <c r="I285" i="1" s="1"/>
  <c r="K285" i="1"/>
  <c r="G286" i="1"/>
  <c r="H286" i="1" s="1"/>
  <c r="K286" i="1"/>
  <c r="G287" i="1"/>
  <c r="H287" i="1" s="1"/>
  <c r="K287" i="1"/>
  <c r="G288" i="1"/>
  <c r="H288" i="1" s="1"/>
  <c r="K288" i="1"/>
  <c r="G289" i="1"/>
  <c r="H289" i="1" s="1"/>
  <c r="K289" i="1"/>
  <c r="G290" i="1"/>
  <c r="H290" i="1" s="1"/>
  <c r="I290" i="1" s="1"/>
  <c r="K290" i="1"/>
  <c r="G291" i="1"/>
  <c r="H291" i="1" s="1"/>
  <c r="I291" i="1" s="1"/>
  <c r="K291" i="1"/>
  <c r="G292" i="1"/>
  <c r="H292" i="1" s="1"/>
  <c r="I292" i="1" s="1"/>
  <c r="K292" i="1"/>
  <c r="G293" i="1"/>
  <c r="H293" i="1" s="1"/>
  <c r="I293" i="1" s="1"/>
  <c r="K293" i="1"/>
  <c r="G294" i="1"/>
  <c r="H294" i="1" s="1"/>
  <c r="I294" i="1" s="1"/>
  <c r="K294" i="1"/>
  <c r="G295" i="1"/>
  <c r="H295" i="1" s="1"/>
  <c r="I295" i="1" s="1"/>
  <c r="K295" i="1"/>
  <c r="G296" i="1"/>
  <c r="H296" i="1" s="1"/>
  <c r="I296" i="1" s="1"/>
  <c r="K296" i="1"/>
  <c r="G297" i="1"/>
  <c r="H297" i="1" s="1"/>
  <c r="I297" i="1" s="1"/>
  <c r="K297" i="1"/>
  <c r="G298" i="1"/>
  <c r="H298" i="1" s="1"/>
  <c r="I298" i="1" s="1"/>
  <c r="K298" i="1"/>
  <c r="G299" i="1"/>
  <c r="H299" i="1" s="1"/>
  <c r="I299" i="1" s="1"/>
  <c r="K299" i="1"/>
  <c r="G300" i="1"/>
  <c r="H300" i="1" s="1"/>
  <c r="K300" i="1"/>
  <c r="G301" i="1"/>
  <c r="H301" i="1" s="1"/>
  <c r="I301" i="1" s="1"/>
  <c r="K301" i="1"/>
  <c r="G302" i="1"/>
  <c r="H302" i="1" s="1"/>
  <c r="I302" i="1" s="1"/>
  <c r="K302" i="1"/>
  <c r="G303" i="1"/>
  <c r="H303" i="1" s="1"/>
  <c r="I303" i="1" s="1"/>
  <c r="K303" i="1"/>
  <c r="G304" i="1"/>
  <c r="H304" i="1" s="1"/>
  <c r="I304" i="1" s="1"/>
  <c r="K304" i="1"/>
  <c r="G305" i="1"/>
  <c r="H305" i="1" s="1"/>
  <c r="I305" i="1" s="1"/>
  <c r="K305" i="1"/>
  <c r="G306" i="1"/>
  <c r="H306" i="1" s="1"/>
  <c r="I306" i="1" s="1"/>
  <c r="K306" i="1"/>
  <c r="G307" i="1"/>
  <c r="H307" i="1" s="1"/>
  <c r="I307" i="1" s="1"/>
  <c r="K307" i="1"/>
  <c r="G308" i="1"/>
  <c r="H308" i="1" s="1"/>
  <c r="I308" i="1" s="1"/>
  <c r="K308" i="1"/>
  <c r="G309" i="1"/>
  <c r="H309" i="1" s="1"/>
  <c r="I309" i="1" s="1"/>
  <c r="K309" i="1"/>
  <c r="G310" i="1"/>
  <c r="H310" i="1" s="1"/>
  <c r="I310" i="1" s="1"/>
  <c r="K310" i="1"/>
  <c r="G311" i="1"/>
  <c r="H311" i="1" s="1"/>
  <c r="I311" i="1" s="1"/>
  <c r="K311" i="1"/>
  <c r="G312" i="1"/>
  <c r="H312" i="1" s="1"/>
  <c r="I312" i="1" s="1"/>
  <c r="K312" i="1"/>
  <c r="G313" i="1"/>
  <c r="H313" i="1" s="1"/>
  <c r="I313" i="1" s="1"/>
  <c r="K313" i="1"/>
  <c r="G314" i="1"/>
  <c r="H314" i="1" s="1"/>
  <c r="I314" i="1" s="1"/>
  <c r="K314" i="1"/>
  <c r="G315" i="1"/>
  <c r="H315" i="1" s="1"/>
  <c r="I315" i="1" s="1"/>
  <c r="K315" i="1"/>
  <c r="G316" i="1"/>
  <c r="H316" i="1" s="1"/>
  <c r="I316" i="1" s="1"/>
  <c r="K316" i="1"/>
  <c r="G317" i="1"/>
  <c r="H317" i="1" s="1"/>
  <c r="I317" i="1" s="1"/>
  <c r="K317" i="1"/>
  <c r="G318" i="1"/>
  <c r="H318" i="1" s="1"/>
  <c r="K318" i="1"/>
  <c r="G319" i="1"/>
  <c r="H319" i="1" s="1"/>
  <c r="I319" i="1" s="1"/>
  <c r="K319" i="1"/>
  <c r="G320" i="1"/>
  <c r="H320" i="1" s="1"/>
  <c r="I320" i="1" s="1"/>
  <c r="K320" i="1"/>
  <c r="G321" i="1"/>
  <c r="H321" i="1" s="1"/>
  <c r="K321" i="1"/>
  <c r="G322" i="1"/>
  <c r="H322" i="1" s="1"/>
  <c r="I322" i="1" s="1"/>
  <c r="K322" i="1"/>
  <c r="G323" i="1"/>
  <c r="H323" i="1" s="1"/>
  <c r="K323" i="1"/>
  <c r="G324" i="1"/>
  <c r="H324" i="1" s="1"/>
  <c r="I324" i="1" s="1"/>
  <c r="K324" i="1"/>
  <c r="G325" i="1"/>
  <c r="H325" i="1" s="1"/>
  <c r="K325" i="1"/>
  <c r="G326" i="1"/>
  <c r="H326" i="1" s="1"/>
  <c r="I326" i="1" s="1"/>
  <c r="K326" i="1"/>
  <c r="G327" i="1"/>
  <c r="H327" i="1" s="1"/>
  <c r="I327" i="1" s="1"/>
  <c r="K327" i="1"/>
  <c r="G328" i="1"/>
  <c r="H328" i="1" s="1"/>
  <c r="I328" i="1" s="1"/>
  <c r="K328" i="1"/>
  <c r="G329" i="1"/>
  <c r="H329" i="1" s="1"/>
  <c r="I329" i="1" s="1"/>
  <c r="K329" i="1"/>
  <c r="G330" i="1"/>
  <c r="H330" i="1" s="1"/>
  <c r="I330" i="1" s="1"/>
  <c r="K330" i="1"/>
  <c r="G331" i="1"/>
  <c r="H331" i="1" s="1"/>
  <c r="K331" i="1"/>
  <c r="G332" i="1"/>
  <c r="H332" i="1" s="1"/>
  <c r="I332" i="1" s="1"/>
  <c r="K332" i="1"/>
  <c r="G333" i="1"/>
  <c r="H333" i="1" s="1"/>
  <c r="K333" i="1"/>
  <c r="G334" i="1"/>
  <c r="H334" i="1" s="1"/>
  <c r="K334" i="1"/>
  <c r="G335" i="1"/>
  <c r="H335" i="1" s="1"/>
  <c r="K335" i="1"/>
  <c r="G336" i="1"/>
  <c r="H336" i="1" s="1"/>
  <c r="K336" i="1"/>
  <c r="G337" i="1"/>
  <c r="H337" i="1" s="1"/>
  <c r="I337" i="1" s="1"/>
  <c r="K337" i="1"/>
  <c r="G338" i="1"/>
  <c r="H338" i="1" s="1"/>
  <c r="I338" i="1" s="1"/>
  <c r="K338" i="1"/>
  <c r="G339" i="1"/>
  <c r="H339" i="1" s="1"/>
  <c r="I339" i="1" s="1"/>
  <c r="K339" i="1"/>
  <c r="G340" i="1"/>
  <c r="H340" i="1" s="1"/>
  <c r="I340" i="1" s="1"/>
  <c r="K340" i="1"/>
  <c r="G341" i="1"/>
  <c r="H341" i="1" s="1"/>
  <c r="I341" i="1" s="1"/>
  <c r="K341" i="1"/>
  <c r="G342" i="1"/>
  <c r="H342" i="1" s="1"/>
  <c r="I342" i="1" s="1"/>
  <c r="K342" i="1"/>
  <c r="G343" i="1"/>
  <c r="H343" i="1" s="1"/>
  <c r="I343" i="1" s="1"/>
  <c r="K343" i="1"/>
  <c r="G344" i="1"/>
  <c r="H344" i="1" s="1"/>
  <c r="I344" i="1" s="1"/>
  <c r="K344" i="1"/>
  <c r="G345" i="1"/>
  <c r="H345" i="1" s="1"/>
  <c r="I345" i="1" s="1"/>
  <c r="K345" i="1"/>
  <c r="G346" i="1"/>
  <c r="H346" i="1" s="1"/>
  <c r="I346" i="1" s="1"/>
  <c r="K346" i="1"/>
  <c r="G347" i="1"/>
  <c r="H347" i="1" s="1"/>
  <c r="K347" i="1"/>
  <c r="G348" i="1"/>
  <c r="H348" i="1" s="1"/>
  <c r="I348" i="1" s="1"/>
  <c r="K348" i="1"/>
  <c r="G349" i="1"/>
  <c r="H349" i="1" s="1"/>
  <c r="I349" i="1" s="1"/>
  <c r="K349" i="1"/>
  <c r="G350" i="1"/>
  <c r="H350" i="1" s="1"/>
  <c r="I350" i="1" s="1"/>
  <c r="K350" i="1"/>
  <c r="G351" i="1"/>
  <c r="H351" i="1" s="1"/>
  <c r="I351" i="1" s="1"/>
  <c r="K351" i="1"/>
  <c r="G352" i="1"/>
  <c r="H352" i="1" s="1"/>
  <c r="I352" i="1" s="1"/>
  <c r="K352" i="1"/>
  <c r="G353" i="1"/>
  <c r="H353" i="1" s="1"/>
  <c r="I353" i="1" s="1"/>
  <c r="K353" i="1"/>
  <c r="G354" i="1"/>
  <c r="H354" i="1" s="1"/>
  <c r="I354" i="1" s="1"/>
  <c r="K354" i="1"/>
  <c r="G355" i="1"/>
  <c r="H355" i="1" s="1"/>
  <c r="I355" i="1" s="1"/>
  <c r="K355" i="1"/>
  <c r="G356" i="1"/>
  <c r="H356" i="1" s="1"/>
  <c r="I356" i="1" s="1"/>
  <c r="K356" i="1"/>
  <c r="G357" i="1"/>
  <c r="H357" i="1" s="1"/>
  <c r="I357" i="1" s="1"/>
  <c r="K357" i="1"/>
  <c r="G358" i="1"/>
  <c r="H358" i="1" s="1"/>
  <c r="I358" i="1" s="1"/>
  <c r="K358" i="1"/>
  <c r="G359" i="1"/>
  <c r="H359" i="1" s="1"/>
  <c r="I359" i="1" s="1"/>
  <c r="K359" i="1"/>
  <c r="G360" i="1"/>
  <c r="H360" i="1" s="1"/>
  <c r="I360" i="1" s="1"/>
  <c r="K360" i="1"/>
  <c r="G361" i="1"/>
  <c r="H361" i="1" s="1"/>
  <c r="I361" i="1" s="1"/>
  <c r="K361" i="1"/>
  <c r="G362" i="1"/>
  <c r="H362" i="1" s="1"/>
  <c r="I362" i="1" s="1"/>
  <c r="K362" i="1"/>
  <c r="G363" i="1"/>
  <c r="H363" i="1" s="1"/>
  <c r="I363" i="1" s="1"/>
  <c r="K363" i="1"/>
  <c r="G364" i="1"/>
  <c r="H364" i="1" s="1"/>
  <c r="I364" i="1" s="1"/>
  <c r="K364" i="1"/>
  <c r="G365" i="1"/>
  <c r="H365" i="1" s="1"/>
  <c r="K365" i="1"/>
  <c r="G366" i="1"/>
  <c r="H366" i="1" s="1"/>
  <c r="I366" i="1" s="1"/>
  <c r="K366" i="1"/>
  <c r="G367" i="1"/>
  <c r="H367" i="1" s="1"/>
  <c r="I367" i="1" s="1"/>
  <c r="K367" i="1"/>
  <c r="G368" i="1"/>
  <c r="H368" i="1" s="1"/>
  <c r="K368" i="1"/>
  <c r="G369" i="1"/>
  <c r="H369" i="1" s="1"/>
  <c r="I369" i="1" s="1"/>
  <c r="K369" i="1"/>
  <c r="G370" i="1"/>
  <c r="H370" i="1" s="1"/>
  <c r="K370" i="1"/>
  <c r="G371" i="1"/>
  <c r="H371" i="1" s="1"/>
  <c r="I371" i="1" s="1"/>
  <c r="K371" i="1"/>
  <c r="G372" i="1"/>
  <c r="H372" i="1" s="1"/>
  <c r="K372" i="1"/>
  <c r="G373" i="1"/>
  <c r="H373" i="1" s="1"/>
  <c r="I373" i="1" s="1"/>
  <c r="K373" i="1"/>
  <c r="G374" i="1"/>
  <c r="H374" i="1" s="1"/>
  <c r="I374" i="1" s="1"/>
  <c r="K374" i="1"/>
  <c r="G375" i="1"/>
  <c r="H375" i="1" s="1"/>
  <c r="I375" i="1" s="1"/>
  <c r="K375" i="1"/>
  <c r="G376" i="1"/>
  <c r="H376" i="1" s="1"/>
  <c r="I376" i="1" s="1"/>
  <c r="K376" i="1"/>
  <c r="G377" i="1"/>
  <c r="H377" i="1" s="1"/>
  <c r="I377" i="1" s="1"/>
  <c r="K377" i="1"/>
  <c r="G378" i="1"/>
  <c r="H378" i="1" s="1"/>
  <c r="K378" i="1"/>
  <c r="G379" i="1"/>
  <c r="H379" i="1" s="1"/>
  <c r="I379" i="1" s="1"/>
  <c r="K379" i="1"/>
  <c r="G380" i="1"/>
  <c r="H380" i="1" s="1"/>
  <c r="K380" i="1"/>
  <c r="G381" i="1"/>
  <c r="H381" i="1" s="1"/>
  <c r="K381" i="1"/>
  <c r="G382" i="1"/>
  <c r="H382" i="1" s="1"/>
  <c r="K382" i="1"/>
  <c r="G383" i="1"/>
  <c r="H383" i="1" s="1"/>
  <c r="K383" i="1"/>
  <c r="G384" i="1"/>
  <c r="H384" i="1" s="1"/>
  <c r="I384" i="1" s="1"/>
  <c r="K384" i="1"/>
  <c r="G385" i="1"/>
  <c r="H385" i="1" s="1"/>
  <c r="I385" i="1" s="1"/>
  <c r="K385" i="1"/>
  <c r="G386" i="1"/>
  <c r="H386" i="1" s="1"/>
  <c r="I386" i="1" s="1"/>
  <c r="K386" i="1"/>
  <c r="G387" i="1"/>
  <c r="H387" i="1" s="1"/>
  <c r="I387" i="1" s="1"/>
  <c r="K387" i="1"/>
  <c r="G388" i="1"/>
  <c r="H388" i="1" s="1"/>
  <c r="I388" i="1" s="1"/>
  <c r="K388" i="1"/>
  <c r="G389" i="1"/>
  <c r="H389" i="1" s="1"/>
  <c r="I389" i="1" s="1"/>
  <c r="K389" i="1"/>
  <c r="G390" i="1"/>
  <c r="H390" i="1" s="1"/>
  <c r="I390" i="1" s="1"/>
  <c r="K390" i="1"/>
  <c r="G391" i="1"/>
  <c r="H391" i="1" s="1"/>
  <c r="I391" i="1" s="1"/>
  <c r="K391" i="1"/>
  <c r="G392" i="1"/>
  <c r="H392" i="1" s="1"/>
  <c r="I392" i="1" s="1"/>
  <c r="K392" i="1"/>
  <c r="G393" i="1"/>
  <c r="H393" i="1" s="1"/>
  <c r="I393" i="1" s="1"/>
  <c r="K393" i="1"/>
  <c r="G394" i="1"/>
  <c r="H394" i="1" s="1"/>
  <c r="K394" i="1"/>
  <c r="G395" i="1"/>
  <c r="H395" i="1" s="1"/>
  <c r="I395" i="1" s="1"/>
  <c r="K395" i="1"/>
  <c r="G396" i="1"/>
  <c r="H396" i="1" s="1"/>
  <c r="I396" i="1" s="1"/>
  <c r="K396" i="1"/>
  <c r="G397" i="1"/>
  <c r="H397" i="1" s="1"/>
  <c r="I397" i="1" s="1"/>
  <c r="K397" i="1"/>
  <c r="G398" i="1"/>
  <c r="H398" i="1" s="1"/>
  <c r="I398" i="1" s="1"/>
  <c r="K398" i="1"/>
  <c r="G399" i="1"/>
  <c r="H399" i="1" s="1"/>
  <c r="I399" i="1" s="1"/>
  <c r="K399" i="1"/>
  <c r="G400" i="1"/>
  <c r="H400" i="1" s="1"/>
  <c r="I400" i="1" s="1"/>
  <c r="K400" i="1"/>
  <c r="G401" i="1"/>
  <c r="H401" i="1" s="1"/>
  <c r="I401" i="1" s="1"/>
  <c r="K401" i="1"/>
  <c r="G402" i="1"/>
  <c r="H402" i="1" s="1"/>
  <c r="I402" i="1" s="1"/>
  <c r="K402" i="1"/>
  <c r="G403" i="1"/>
  <c r="H403" i="1" s="1"/>
  <c r="I403" i="1" s="1"/>
  <c r="K403" i="1"/>
  <c r="G404" i="1"/>
  <c r="H404" i="1" s="1"/>
  <c r="I404" i="1" s="1"/>
  <c r="K404" i="1"/>
  <c r="G405" i="1"/>
  <c r="H405" i="1" s="1"/>
  <c r="I405" i="1" s="1"/>
  <c r="K405" i="1"/>
  <c r="G406" i="1"/>
  <c r="H406" i="1" s="1"/>
  <c r="I406" i="1" s="1"/>
  <c r="K406" i="1"/>
  <c r="G407" i="1"/>
  <c r="H407" i="1" s="1"/>
  <c r="I407" i="1" s="1"/>
  <c r="K407" i="1"/>
  <c r="G408" i="1"/>
  <c r="H408" i="1" s="1"/>
  <c r="I408" i="1" s="1"/>
  <c r="K408" i="1"/>
  <c r="G409" i="1"/>
  <c r="H409" i="1" s="1"/>
  <c r="I409" i="1" s="1"/>
  <c r="K409" i="1"/>
  <c r="G410" i="1"/>
  <c r="H410" i="1" s="1"/>
  <c r="I410" i="1" s="1"/>
  <c r="K410" i="1"/>
  <c r="G411" i="1"/>
  <c r="H411" i="1" s="1"/>
  <c r="I411" i="1" s="1"/>
  <c r="K411" i="1"/>
  <c r="G412" i="1"/>
  <c r="H412" i="1" s="1"/>
  <c r="K412" i="1"/>
  <c r="G413" i="1"/>
  <c r="H413" i="1" s="1"/>
  <c r="I413" i="1" s="1"/>
  <c r="K413" i="1"/>
  <c r="G414" i="1"/>
  <c r="H414" i="1" s="1"/>
  <c r="I414" i="1" s="1"/>
  <c r="K414" i="1"/>
  <c r="G415" i="1"/>
  <c r="H415" i="1" s="1"/>
  <c r="K415" i="1"/>
  <c r="G416" i="1"/>
  <c r="H416" i="1" s="1"/>
  <c r="I416" i="1" s="1"/>
  <c r="K416" i="1"/>
  <c r="G417" i="1"/>
  <c r="H417" i="1" s="1"/>
  <c r="K417" i="1"/>
  <c r="G418" i="1"/>
  <c r="H418" i="1" s="1"/>
  <c r="I418" i="1" s="1"/>
  <c r="K418" i="1"/>
  <c r="G419" i="1"/>
  <c r="H419" i="1" s="1"/>
  <c r="K419" i="1"/>
  <c r="G420" i="1"/>
  <c r="H420" i="1" s="1"/>
  <c r="I420" i="1" s="1"/>
  <c r="K420" i="1"/>
  <c r="G421" i="1"/>
  <c r="H421" i="1" s="1"/>
  <c r="I421" i="1" s="1"/>
  <c r="K421" i="1"/>
  <c r="G422" i="1"/>
  <c r="H422" i="1" s="1"/>
  <c r="I422" i="1" s="1"/>
  <c r="K422" i="1"/>
  <c r="G423" i="1"/>
  <c r="H423" i="1" s="1"/>
  <c r="I423" i="1" s="1"/>
  <c r="K423" i="1"/>
  <c r="G424" i="1"/>
  <c r="H424" i="1" s="1"/>
  <c r="I424" i="1" s="1"/>
  <c r="K424" i="1"/>
  <c r="G425" i="1"/>
  <c r="H425" i="1" s="1"/>
  <c r="K425" i="1"/>
  <c r="G426" i="1"/>
  <c r="H426" i="1" s="1"/>
  <c r="I426" i="1" s="1"/>
  <c r="K426" i="1"/>
  <c r="G427" i="1"/>
  <c r="H427" i="1" s="1"/>
  <c r="K427" i="1"/>
  <c r="G428" i="1"/>
  <c r="H428" i="1" s="1"/>
  <c r="K428" i="1"/>
  <c r="G429" i="1"/>
  <c r="H429" i="1" s="1"/>
  <c r="K429" i="1"/>
  <c r="G430" i="1"/>
  <c r="H430" i="1" s="1"/>
  <c r="K430" i="1"/>
  <c r="G431" i="1"/>
  <c r="H431" i="1" s="1"/>
  <c r="I431" i="1" s="1"/>
  <c r="K431" i="1"/>
  <c r="G432" i="1"/>
  <c r="H432" i="1" s="1"/>
  <c r="I432" i="1" s="1"/>
  <c r="K432" i="1"/>
  <c r="G433" i="1"/>
  <c r="H433" i="1" s="1"/>
  <c r="I433" i="1" s="1"/>
  <c r="K433" i="1"/>
  <c r="G434" i="1"/>
  <c r="H434" i="1" s="1"/>
  <c r="I434" i="1" s="1"/>
  <c r="K434" i="1"/>
  <c r="G435" i="1"/>
  <c r="H435" i="1" s="1"/>
  <c r="I435" i="1" s="1"/>
  <c r="K435" i="1"/>
  <c r="G436" i="1"/>
  <c r="H436" i="1" s="1"/>
  <c r="I436" i="1" s="1"/>
  <c r="K436" i="1"/>
  <c r="G437" i="1"/>
  <c r="H437" i="1" s="1"/>
  <c r="I437" i="1" s="1"/>
  <c r="K437" i="1"/>
  <c r="G438" i="1"/>
  <c r="H438" i="1" s="1"/>
  <c r="I438" i="1" s="1"/>
  <c r="K438" i="1"/>
  <c r="G439" i="1"/>
  <c r="H439" i="1" s="1"/>
  <c r="I439" i="1" s="1"/>
  <c r="K439" i="1"/>
  <c r="G440" i="1"/>
  <c r="H440" i="1" s="1"/>
  <c r="I440" i="1" s="1"/>
  <c r="K440" i="1"/>
  <c r="G441" i="1"/>
  <c r="H441" i="1" s="1"/>
  <c r="K441" i="1"/>
  <c r="G442" i="1"/>
  <c r="H442" i="1" s="1"/>
  <c r="I442" i="1" s="1"/>
  <c r="K442" i="1"/>
  <c r="G443" i="1"/>
  <c r="H443" i="1" s="1"/>
  <c r="I443" i="1" s="1"/>
  <c r="K443" i="1"/>
  <c r="G444" i="1"/>
  <c r="H444" i="1" s="1"/>
  <c r="I444" i="1" s="1"/>
  <c r="K444" i="1"/>
  <c r="G445" i="1"/>
  <c r="H445" i="1" s="1"/>
  <c r="I445" i="1" s="1"/>
  <c r="K445" i="1"/>
  <c r="G446" i="1"/>
  <c r="H446" i="1" s="1"/>
  <c r="I446" i="1" s="1"/>
  <c r="K446" i="1"/>
  <c r="G447" i="1"/>
  <c r="H447" i="1" s="1"/>
  <c r="I447" i="1" s="1"/>
  <c r="K447" i="1"/>
  <c r="G448" i="1"/>
  <c r="H448" i="1" s="1"/>
  <c r="I448" i="1" s="1"/>
  <c r="K448" i="1"/>
  <c r="G449" i="1"/>
  <c r="H449" i="1" s="1"/>
  <c r="I449" i="1" s="1"/>
  <c r="K449" i="1"/>
  <c r="G450" i="1"/>
  <c r="H450" i="1" s="1"/>
  <c r="I450" i="1" s="1"/>
  <c r="K450" i="1"/>
  <c r="G451" i="1"/>
  <c r="H451" i="1" s="1"/>
  <c r="I451" i="1" s="1"/>
  <c r="K451" i="1"/>
  <c r="G452" i="1"/>
  <c r="H452" i="1" s="1"/>
  <c r="I452" i="1" s="1"/>
  <c r="K452" i="1"/>
  <c r="G453" i="1"/>
  <c r="H453" i="1" s="1"/>
  <c r="I453" i="1" s="1"/>
  <c r="K453" i="1"/>
  <c r="G454" i="1"/>
  <c r="H454" i="1" s="1"/>
  <c r="I454" i="1" s="1"/>
  <c r="K454" i="1"/>
  <c r="G455" i="1"/>
  <c r="H455" i="1" s="1"/>
  <c r="I455" i="1" s="1"/>
  <c r="K455" i="1"/>
  <c r="G456" i="1"/>
  <c r="H456" i="1" s="1"/>
  <c r="I456" i="1" s="1"/>
  <c r="K456" i="1"/>
  <c r="G457" i="1"/>
  <c r="H457" i="1" s="1"/>
  <c r="I457" i="1" s="1"/>
  <c r="K457" i="1"/>
  <c r="G458" i="1"/>
  <c r="H458" i="1" s="1"/>
  <c r="I458" i="1" s="1"/>
  <c r="K458" i="1"/>
  <c r="G459" i="1"/>
  <c r="H459" i="1" s="1"/>
  <c r="K459" i="1"/>
  <c r="G460" i="1"/>
  <c r="H460" i="1" s="1"/>
  <c r="I460" i="1" s="1"/>
  <c r="K460" i="1"/>
  <c r="G461" i="1"/>
  <c r="H461" i="1" s="1"/>
  <c r="I461" i="1" s="1"/>
  <c r="K461" i="1"/>
  <c r="G462" i="1"/>
  <c r="H462" i="1" s="1"/>
  <c r="K462" i="1"/>
  <c r="G463" i="1"/>
  <c r="H463" i="1" s="1"/>
  <c r="I463" i="1" s="1"/>
  <c r="K463" i="1"/>
  <c r="G464" i="1"/>
  <c r="H464" i="1" s="1"/>
  <c r="K464" i="1"/>
  <c r="G465" i="1"/>
  <c r="H465" i="1" s="1"/>
  <c r="I465" i="1" s="1"/>
  <c r="K465" i="1"/>
  <c r="G466" i="1"/>
  <c r="H466" i="1" s="1"/>
  <c r="K466" i="1"/>
  <c r="G467" i="1"/>
  <c r="H467" i="1" s="1"/>
  <c r="I467" i="1" s="1"/>
  <c r="K467" i="1"/>
  <c r="G468" i="1"/>
  <c r="H468" i="1" s="1"/>
  <c r="I468" i="1" s="1"/>
  <c r="K468" i="1"/>
  <c r="G469" i="1"/>
  <c r="H469" i="1" s="1"/>
  <c r="I469" i="1" s="1"/>
  <c r="K469" i="1"/>
  <c r="G470" i="1"/>
  <c r="H470" i="1" s="1"/>
  <c r="I470" i="1" s="1"/>
  <c r="K470" i="1"/>
  <c r="G471" i="1"/>
  <c r="H471" i="1" s="1"/>
  <c r="I471" i="1" s="1"/>
  <c r="K471" i="1"/>
  <c r="G472" i="1"/>
  <c r="H472" i="1" s="1"/>
  <c r="K472" i="1"/>
  <c r="G473" i="1"/>
  <c r="H473" i="1" s="1"/>
  <c r="I473" i="1" s="1"/>
  <c r="K473" i="1"/>
  <c r="G474" i="1"/>
  <c r="H474" i="1" s="1"/>
  <c r="K474" i="1"/>
  <c r="G475" i="1"/>
  <c r="H475" i="1" s="1"/>
  <c r="K475" i="1"/>
  <c r="G476" i="1"/>
  <c r="H476" i="1" s="1"/>
  <c r="K476" i="1"/>
  <c r="G477" i="1"/>
  <c r="H477" i="1" s="1"/>
  <c r="K477" i="1"/>
  <c r="G478" i="1"/>
  <c r="H478" i="1" s="1"/>
  <c r="I478" i="1" s="1"/>
  <c r="K478" i="1"/>
  <c r="G479" i="1"/>
  <c r="H479" i="1" s="1"/>
  <c r="I479" i="1" s="1"/>
  <c r="K479" i="1"/>
  <c r="G480" i="1"/>
  <c r="H480" i="1" s="1"/>
  <c r="I480" i="1" s="1"/>
  <c r="K480" i="1"/>
  <c r="G481" i="1"/>
  <c r="H481" i="1" s="1"/>
  <c r="I481" i="1" s="1"/>
  <c r="K481" i="1"/>
  <c r="G482" i="1"/>
  <c r="H482" i="1" s="1"/>
  <c r="I482" i="1" s="1"/>
  <c r="K482" i="1"/>
  <c r="G483" i="1"/>
  <c r="H483" i="1" s="1"/>
  <c r="I483" i="1" s="1"/>
  <c r="K483" i="1"/>
  <c r="G484" i="1"/>
  <c r="H484" i="1" s="1"/>
  <c r="I484" i="1" s="1"/>
  <c r="K484" i="1"/>
  <c r="G485" i="1"/>
  <c r="H485" i="1" s="1"/>
  <c r="I485" i="1" s="1"/>
  <c r="K485" i="1"/>
  <c r="G486" i="1"/>
  <c r="H486" i="1" s="1"/>
  <c r="I486" i="1" s="1"/>
  <c r="K486" i="1"/>
  <c r="G487" i="1"/>
  <c r="H487" i="1" s="1"/>
  <c r="I487" i="1" s="1"/>
  <c r="K487" i="1"/>
  <c r="G488" i="1"/>
  <c r="H488" i="1" s="1"/>
  <c r="K488" i="1"/>
  <c r="G489" i="1"/>
  <c r="H489" i="1" s="1"/>
  <c r="I489" i="1" s="1"/>
  <c r="K489" i="1"/>
  <c r="G490" i="1"/>
  <c r="H490" i="1" s="1"/>
  <c r="I490" i="1" s="1"/>
  <c r="K490" i="1"/>
  <c r="G491" i="1"/>
  <c r="H491" i="1" s="1"/>
  <c r="I491" i="1" s="1"/>
  <c r="K491" i="1"/>
  <c r="G492" i="1"/>
  <c r="H492" i="1" s="1"/>
  <c r="I492" i="1" s="1"/>
  <c r="K492" i="1"/>
  <c r="G493" i="1"/>
  <c r="H493" i="1" s="1"/>
  <c r="I493" i="1" s="1"/>
  <c r="K493" i="1"/>
  <c r="G494" i="1"/>
  <c r="H494" i="1" s="1"/>
  <c r="I494" i="1" s="1"/>
  <c r="K494" i="1"/>
  <c r="G495" i="1"/>
  <c r="H495" i="1" s="1"/>
  <c r="I495" i="1" s="1"/>
  <c r="K495" i="1"/>
  <c r="G496" i="1"/>
  <c r="H496" i="1" s="1"/>
  <c r="I496" i="1" s="1"/>
  <c r="K496" i="1"/>
  <c r="G497" i="1"/>
  <c r="H497" i="1" s="1"/>
  <c r="I497" i="1" s="1"/>
  <c r="K497" i="1"/>
  <c r="G498" i="1"/>
  <c r="H498" i="1" s="1"/>
  <c r="I498" i="1" s="1"/>
  <c r="K498" i="1"/>
  <c r="G499" i="1"/>
  <c r="H499" i="1" s="1"/>
  <c r="I499" i="1" s="1"/>
  <c r="K499" i="1"/>
  <c r="G500" i="1"/>
  <c r="H500" i="1" s="1"/>
  <c r="I500" i="1" s="1"/>
  <c r="K500" i="1"/>
  <c r="G501" i="1"/>
  <c r="H501" i="1" s="1"/>
  <c r="I501" i="1" s="1"/>
  <c r="K501" i="1"/>
  <c r="G502" i="1"/>
  <c r="H502" i="1" s="1"/>
  <c r="I502" i="1" s="1"/>
  <c r="K502" i="1"/>
  <c r="G503" i="1"/>
  <c r="H503" i="1" s="1"/>
  <c r="I503" i="1" s="1"/>
  <c r="K503" i="1"/>
  <c r="G504" i="1"/>
  <c r="H504" i="1" s="1"/>
  <c r="I504" i="1" s="1"/>
  <c r="K504" i="1"/>
  <c r="G505" i="1"/>
  <c r="H505" i="1" s="1"/>
  <c r="I505" i="1" s="1"/>
  <c r="K505" i="1"/>
  <c r="G506" i="1"/>
  <c r="H506" i="1" s="1"/>
  <c r="K506" i="1"/>
  <c r="G507" i="1"/>
  <c r="H507" i="1" s="1"/>
  <c r="I507" i="1" s="1"/>
  <c r="K507" i="1"/>
  <c r="G508" i="1"/>
  <c r="H508" i="1" s="1"/>
  <c r="I508" i="1" s="1"/>
  <c r="K508" i="1"/>
  <c r="G509" i="1"/>
  <c r="H509" i="1" s="1"/>
  <c r="K509" i="1"/>
  <c r="G510" i="1"/>
  <c r="H510" i="1" s="1"/>
  <c r="I510" i="1" s="1"/>
  <c r="K510" i="1"/>
  <c r="G511" i="1"/>
  <c r="H511" i="1" s="1"/>
  <c r="K511" i="1"/>
  <c r="G512" i="1"/>
  <c r="H512" i="1" s="1"/>
  <c r="I512" i="1" s="1"/>
  <c r="K512" i="1"/>
  <c r="G513" i="1"/>
  <c r="H513" i="1" s="1"/>
  <c r="K513" i="1"/>
  <c r="G514" i="1"/>
  <c r="H514" i="1" s="1"/>
  <c r="I514" i="1" s="1"/>
  <c r="K514" i="1"/>
  <c r="G515" i="1"/>
  <c r="H515" i="1" s="1"/>
  <c r="I515" i="1" s="1"/>
  <c r="K515" i="1"/>
  <c r="G516" i="1"/>
  <c r="H516" i="1" s="1"/>
  <c r="I516" i="1" s="1"/>
  <c r="K516" i="1"/>
  <c r="G517" i="1"/>
  <c r="H517" i="1" s="1"/>
  <c r="I517" i="1" s="1"/>
  <c r="K517" i="1"/>
  <c r="G518" i="1"/>
  <c r="H518" i="1" s="1"/>
  <c r="I518" i="1" s="1"/>
  <c r="K518" i="1"/>
  <c r="G519" i="1"/>
  <c r="H519" i="1" s="1"/>
  <c r="K519" i="1"/>
  <c r="G520" i="1"/>
  <c r="H520" i="1" s="1"/>
  <c r="I520" i="1" s="1"/>
  <c r="K520" i="1"/>
  <c r="G521" i="1"/>
  <c r="H521" i="1" s="1"/>
  <c r="K521" i="1"/>
  <c r="G522" i="1"/>
  <c r="H522" i="1" s="1"/>
  <c r="K522" i="1"/>
  <c r="G523" i="1"/>
  <c r="H523" i="1" s="1"/>
  <c r="K523" i="1"/>
  <c r="G524" i="1"/>
  <c r="H524" i="1" s="1"/>
  <c r="K524" i="1"/>
  <c r="G525" i="1"/>
  <c r="H525" i="1" s="1"/>
  <c r="I525" i="1" s="1"/>
  <c r="K525" i="1"/>
  <c r="G526" i="1"/>
  <c r="H526" i="1" s="1"/>
  <c r="I526" i="1" s="1"/>
  <c r="K526" i="1"/>
  <c r="G527" i="1"/>
  <c r="H527" i="1" s="1"/>
  <c r="I527" i="1" s="1"/>
  <c r="K527" i="1"/>
  <c r="G528" i="1"/>
  <c r="H528" i="1" s="1"/>
  <c r="I528" i="1" s="1"/>
  <c r="K528" i="1"/>
  <c r="G529" i="1"/>
  <c r="H529" i="1" s="1"/>
  <c r="I529" i="1" s="1"/>
  <c r="K529" i="1"/>
  <c r="G530" i="1"/>
  <c r="H530" i="1" s="1"/>
  <c r="I530" i="1" s="1"/>
  <c r="K530" i="1"/>
  <c r="G531" i="1"/>
  <c r="H531" i="1" s="1"/>
  <c r="I531" i="1" s="1"/>
  <c r="K531" i="1"/>
  <c r="G532" i="1"/>
  <c r="H532" i="1" s="1"/>
  <c r="I532" i="1" s="1"/>
  <c r="K532" i="1"/>
  <c r="G533" i="1"/>
  <c r="H533" i="1" s="1"/>
  <c r="I533" i="1" s="1"/>
  <c r="K533" i="1"/>
  <c r="G534" i="1"/>
  <c r="H534" i="1" s="1"/>
  <c r="I534" i="1" s="1"/>
  <c r="K534" i="1"/>
  <c r="G535" i="1"/>
  <c r="H535" i="1" s="1"/>
  <c r="K535" i="1"/>
  <c r="G536" i="1"/>
  <c r="H536" i="1" s="1"/>
  <c r="I536" i="1" s="1"/>
  <c r="K536" i="1"/>
  <c r="G537" i="1"/>
  <c r="H537" i="1" s="1"/>
  <c r="I537" i="1" s="1"/>
  <c r="K537" i="1"/>
  <c r="G538" i="1"/>
  <c r="H538" i="1" s="1"/>
  <c r="I538" i="1" s="1"/>
  <c r="K538" i="1"/>
  <c r="G539" i="1"/>
  <c r="H539" i="1" s="1"/>
  <c r="I539" i="1" s="1"/>
  <c r="K539" i="1"/>
  <c r="G540" i="1"/>
  <c r="H540" i="1" s="1"/>
  <c r="I540" i="1" s="1"/>
  <c r="K540" i="1"/>
  <c r="G541" i="1"/>
  <c r="H541" i="1" s="1"/>
  <c r="I541" i="1" s="1"/>
  <c r="K541" i="1"/>
  <c r="G542" i="1"/>
  <c r="H542" i="1" s="1"/>
  <c r="I542" i="1" s="1"/>
  <c r="K542" i="1"/>
  <c r="G543" i="1"/>
  <c r="H543" i="1" s="1"/>
  <c r="I543" i="1" s="1"/>
  <c r="K543" i="1"/>
  <c r="G544" i="1"/>
  <c r="H544" i="1" s="1"/>
  <c r="I544" i="1" s="1"/>
  <c r="K544" i="1"/>
  <c r="G545" i="1"/>
  <c r="H545" i="1" s="1"/>
  <c r="I545" i="1" s="1"/>
  <c r="K545" i="1"/>
  <c r="G546" i="1"/>
  <c r="H546" i="1" s="1"/>
  <c r="I546" i="1" s="1"/>
  <c r="K546" i="1"/>
  <c r="G547" i="1"/>
  <c r="H547" i="1" s="1"/>
  <c r="I547" i="1" s="1"/>
  <c r="K547" i="1"/>
  <c r="G548" i="1"/>
  <c r="H548" i="1" s="1"/>
  <c r="I548" i="1" s="1"/>
  <c r="K548" i="1"/>
  <c r="G549" i="1"/>
  <c r="H549" i="1" s="1"/>
  <c r="I549" i="1" s="1"/>
  <c r="K549" i="1"/>
  <c r="G550" i="1"/>
  <c r="H550" i="1" s="1"/>
  <c r="I550" i="1" s="1"/>
  <c r="K550" i="1"/>
  <c r="G551" i="1"/>
  <c r="H551" i="1" s="1"/>
  <c r="I551" i="1" s="1"/>
  <c r="K551" i="1"/>
  <c r="G552" i="1"/>
  <c r="H552" i="1" s="1"/>
  <c r="I552" i="1" s="1"/>
  <c r="K552" i="1"/>
  <c r="G553" i="1"/>
  <c r="H553" i="1" s="1"/>
  <c r="K553" i="1"/>
  <c r="G554" i="1"/>
  <c r="H554" i="1" s="1"/>
  <c r="I554" i="1" s="1"/>
  <c r="K554" i="1"/>
  <c r="G555" i="1"/>
  <c r="H555" i="1" s="1"/>
  <c r="I555" i="1" s="1"/>
  <c r="K555" i="1"/>
  <c r="G556" i="1"/>
  <c r="H556" i="1" s="1"/>
  <c r="K556" i="1"/>
  <c r="G557" i="1"/>
  <c r="H557" i="1" s="1"/>
  <c r="I557" i="1" s="1"/>
  <c r="K557" i="1"/>
  <c r="G558" i="1"/>
  <c r="H558" i="1" s="1"/>
  <c r="K558" i="1"/>
  <c r="G559" i="1"/>
  <c r="H559" i="1" s="1"/>
  <c r="I559" i="1" s="1"/>
  <c r="K559" i="1"/>
  <c r="G560" i="1"/>
  <c r="H560" i="1" s="1"/>
  <c r="K560" i="1"/>
  <c r="G561" i="1"/>
  <c r="H561" i="1" s="1"/>
  <c r="I561" i="1" s="1"/>
  <c r="K561" i="1"/>
  <c r="G562" i="1"/>
  <c r="H562" i="1" s="1"/>
  <c r="I562" i="1" s="1"/>
  <c r="K562" i="1"/>
  <c r="G563" i="1"/>
  <c r="H563" i="1" s="1"/>
  <c r="I563" i="1" s="1"/>
  <c r="K563" i="1"/>
  <c r="G564" i="1"/>
  <c r="H564" i="1" s="1"/>
  <c r="I564" i="1" s="1"/>
  <c r="K564" i="1"/>
  <c r="G565" i="1"/>
  <c r="H565" i="1" s="1"/>
  <c r="I565" i="1" s="1"/>
  <c r="K565" i="1"/>
  <c r="G566" i="1"/>
  <c r="H566" i="1" s="1"/>
  <c r="K566" i="1"/>
  <c r="G567" i="1"/>
  <c r="H567" i="1" s="1"/>
  <c r="I567" i="1" s="1"/>
  <c r="K567" i="1"/>
  <c r="B9" i="9"/>
  <c r="B22" i="9" l="1"/>
  <c r="W16" i="1"/>
  <c r="L4" i="7"/>
  <c r="E11" i="2"/>
  <c r="E30" i="2"/>
  <c r="E29" i="2"/>
  <c r="P5" i="1" l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65" i="1"/>
  <c r="P69" i="1"/>
  <c r="P73" i="1"/>
  <c r="P77" i="1"/>
  <c r="P81" i="1"/>
  <c r="P85" i="1"/>
  <c r="P89" i="1"/>
  <c r="P93" i="1"/>
  <c r="P97" i="1"/>
  <c r="P101" i="1"/>
  <c r="P105" i="1"/>
  <c r="P109" i="1"/>
  <c r="P113" i="1"/>
  <c r="P117" i="1"/>
  <c r="P121" i="1"/>
  <c r="P125" i="1"/>
  <c r="P129" i="1"/>
  <c r="P133" i="1"/>
  <c r="P137" i="1"/>
  <c r="P141" i="1"/>
  <c r="P145" i="1"/>
  <c r="P149" i="1"/>
  <c r="P153" i="1"/>
  <c r="P157" i="1"/>
  <c r="P161" i="1"/>
  <c r="P165" i="1"/>
  <c r="P169" i="1"/>
  <c r="P173" i="1"/>
  <c r="P177" i="1"/>
  <c r="P181" i="1"/>
  <c r="P185" i="1"/>
  <c r="P189" i="1"/>
  <c r="P193" i="1"/>
  <c r="P197" i="1"/>
  <c r="P201" i="1"/>
  <c r="P205" i="1"/>
  <c r="P209" i="1"/>
  <c r="P213" i="1"/>
  <c r="P217" i="1"/>
  <c r="P221" i="1"/>
  <c r="P225" i="1"/>
  <c r="P229" i="1"/>
  <c r="P233" i="1"/>
  <c r="P237" i="1"/>
  <c r="P241" i="1"/>
  <c r="P245" i="1"/>
  <c r="P249" i="1"/>
  <c r="P253" i="1"/>
  <c r="P257" i="1"/>
  <c r="P261" i="1"/>
  <c r="P265" i="1"/>
  <c r="P269" i="1"/>
  <c r="P273" i="1"/>
  <c r="P277" i="1"/>
  <c r="P281" i="1"/>
  <c r="P285" i="1"/>
  <c r="P289" i="1"/>
  <c r="P293" i="1"/>
  <c r="P297" i="1"/>
  <c r="P301" i="1"/>
  <c r="P305" i="1"/>
  <c r="P309" i="1"/>
  <c r="P313" i="1"/>
  <c r="P317" i="1"/>
  <c r="P321" i="1"/>
  <c r="P325" i="1"/>
  <c r="P329" i="1"/>
  <c r="P333" i="1"/>
  <c r="P337" i="1"/>
  <c r="P341" i="1"/>
  <c r="P6" i="1"/>
  <c r="P10" i="1"/>
  <c r="P14" i="1"/>
  <c r="P18" i="1"/>
  <c r="P22" i="1"/>
  <c r="P26" i="1"/>
  <c r="P30" i="1"/>
  <c r="P34" i="1"/>
  <c r="P38" i="1"/>
  <c r="P42" i="1"/>
  <c r="P46" i="1"/>
  <c r="P50" i="1"/>
  <c r="P54" i="1"/>
  <c r="P58" i="1"/>
  <c r="P62" i="1"/>
  <c r="P66" i="1"/>
  <c r="P70" i="1"/>
  <c r="P74" i="1"/>
  <c r="P78" i="1"/>
  <c r="P82" i="1"/>
  <c r="P86" i="1"/>
  <c r="P90" i="1"/>
  <c r="P94" i="1"/>
  <c r="P98" i="1"/>
  <c r="P102" i="1"/>
  <c r="P106" i="1"/>
  <c r="P110" i="1"/>
  <c r="P114" i="1"/>
  <c r="P118" i="1"/>
  <c r="P122" i="1"/>
  <c r="P126" i="1"/>
  <c r="P130" i="1"/>
  <c r="P134" i="1"/>
  <c r="P138" i="1"/>
  <c r="P142" i="1"/>
  <c r="P146" i="1"/>
  <c r="P150" i="1"/>
  <c r="P154" i="1"/>
  <c r="P158" i="1"/>
  <c r="P162" i="1"/>
  <c r="P166" i="1"/>
  <c r="P170" i="1"/>
  <c r="P174" i="1"/>
  <c r="P178" i="1"/>
  <c r="P182" i="1"/>
  <c r="P186" i="1"/>
  <c r="P190" i="1"/>
  <c r="P194" i="1"/>
  <c r="P198" i="1"/>
  <c r="P202" i="1"/>
  <c r="P206" i="1"/>
  <c r="P210" i="1"/>
  <c r="P214" i="1"/>
  <c r="P218" i="1"/>
  <c r="P222" i="1"/>
  <c r="P226" i="1"/>
  <c r="P230" i="1"/>
  <c r="P234" i="1"/>
  <c r="P238" i="1"/>
  <c r="P242" i="1"/>
  <c r="P246" i="1"/>
  <c r="P250" i="1"/>
  <c r="P254" i="1"/>
  <c r="P258" i="1"/>
  <c r="P262" i="1"/>
  <c r="P266" i="1"/>
  <c r="P270" i="1"/>
  <c r="P274" i="1"/>
  <c r="P278" i="1"/>
  <c r="P282" i="1"/>
  <c r="P286" i="1"/>
  <c r="P290" i="1"/>
  <c r="P294" i="1"/>
  <c r="P298" i="1"/>
  <c r="P302" i="1"/>
  <c r="P306" i="1"/>
  <c r="P310" i="1"/>
  <c r="P314" i="1"/>
  <c r="P318" i="1"/>
  <c r="P322" i="1"/>
  <c r="P326" i="1"/>
  <c r="P330" i="1"/>
  <c r="P334" i="1"/>
  <c r="P338" i="1"/>
  <c r="P342" i="1"/>
  <c r="P7" i="1"/>
  <c r="P15" i="1"/>
  <c r="P23" i="1"/>
  <c r="P31" i="1"/>
  <c r="P39" i="1"/>
  <c r="P47" i="1"/>
  <c r="P55" i="1"/>
  <c r="P63" i="1"/>
  <c r="P71" i="1"/>
  <c r="P79" i="1"/>
  <c r="P87" i="1"/>
  <c r="P95" i="1"/>
  <c r="P103" i="1"/>
  <c r="P111" i="1"/>
  <c r="P119" i="1"/>
  <c r="P127" i="1"/>
  <c r="P135" i="1"/>
  <c r="P143" i="1"/>
  <c r="P151" i="1"/>
  <c r="P159" i="1"/>
  <c r="P167" i="1"/>
  <c r="P175" i="1"/>
  <c r="P183" i="1"/>
  <c r="P191" i="1"/>
  <c r="P199" i="1"/>
  <c r="P207" i="1"/>
  <c r="P215" i="1"/>
  <c r="P223" i="1"/>
  <c r="P231" i="1"/>
  <c r="P239" i="1"/>
  <c r="P247" i="1"/>
  <c r="P255" i="1"/>
  <c r="P263" i="1"/>
  <c r="P271" i="1"/>
  <c r="P279" i="1"/>
  <c r="P287" i="1"/>
  <c r="P295" i="1"/>
  <c r="P303" i="1"/>
  <c r="P311" i="1"/>
  <c r="P319" i="1"/>
  <c r="P327" i="1"/>
  <c r="P335" i="1"/>
  <c r="P343" i="1"/>
  <c r="P347" i="1"/>
  <c r="P351" i="1"/>
  <c r="P355" i="1"/>
  <c r="P359" i="1"/>
  <c r="P363" i="1"/>
  <c r="P367" i="1"/>
  <c r="P371" i="1"/>
  <c r="P375" i="1"/>
  <c r="P379" i="1"/>
  <c r="P383" i="1"/>
  <c r="P387" i="1"/>
  <c r="P391" i="1"/>
  <c r="P395" i="1"/>
  <c r="P399" i="1"/>
  <c r="P403" i="1"/>
  <c r="P407" i="1"/>
  <c r="P411" i="1"/>
  <c r="P415" i="1"/>
  <c r="P419" i="1"/>
  <c r="P423" i="1"/>
  <c r="P427" i="1"/>
  <c r="P431" i="1"/>
  <c r="P435" i="1"/>
  <c r="P439" i="1"/>
  <c r="P443" i="1"/>
  <c r="P447" i="1"/>
  <c r="P451" i="1"/>
  <c r="P455" i="1"/>
  <c r="P459" i="1"/>
  <c r="P463" i="1"/>
  <c r="P467" i="1"/>
  <c r="P471" i="1"/>
  <c r="P475" i="1"/>
  <c r="P479" i="1"/>
  <c r="P483" i="1"/>
  <c r="P487" i="1"/>
  <c r="P491" i="1"/>
  <c r="P495" i="1"/>
  <c r="P499" i="1"/>
  <c r="P503" i="1"/>
  <c r="P507" i="1"/>
  <c r="P511" i="1"/>
  <c r="P515" i="1"/>
  <c r="P519" i="1"/>
  <c r="P523" i="1"/>
  <c r="P527" i="1"/>
  <c r="P8" i="1"/>
  <c r="P16" i="1"/>
  <c r="P24" i="1"/>
  <c r="P32" i="1"/>
  <c r="P40" i="1"/>
  <c r="P48" i="1"/>
  <c r="P56" i="1"/>
  <c r="P64" i="1"/>
  <c r="P72" i="1"/>
  <c r="P80" i="1"/>
  <c r="P88" i="1"/>
  <c r="P96" i="1"/>
  <c r="P104" i="1"/>
  <c r="P112" i="1"/>
  <c r="P120" i="1"/>
  <c r="P128" i="1"/>
  <c r="P136" i="1"/>
  <c r="P144" i="1"/>
  <c r="P152" i="1"/>
  <c r="P160" i="1"/>
  <c r="P168" i="1"/>
  <c r="P176" i="1"/>
  <c r="P184" i="1"/>
  <c r="P192" i="1"/>
  <c r="P200" i="1"/>
  <c r="P208" i="1"/>
  <c r="P216" i="1"/>
  <c r="P224" i="1"/>
  <c r="P232" i="1"/>
  <c r="P240" i="1"/>
  <c r="P248" i="1"/>
  <c r="P256" i="1"/>
  <c r="P264" i="1"/>
  <c r="P272" i="1"/>
  <c r="P280" i="1"/>
  <c r="P288" i="1"/>
  <c r="P296" i="1"/>
  <c r="P304" i="1"/>
  <c r="P312" i="1"/>
  <c r="P320" i="1"/>
  <c r="P328" i="1"/>
  <c r="P336" i="1"/>
  <c r="P344" i="1"/>
  <c r="P348" i="1"/>
  <c r="P352" i="1"/>
  <c r="P356" i="1"/>
  <c r="P360" i="1"/>
  <c r="P364" i="1"/>
  <c r="P368" i="1"/>
  <c r="P372" i="1"/>
  <c r="P376" i="1"/>
  <c r="P380" i="1"/>
  <c r="P384" i="1"/>
  <c r="P388" i="1"/>
  <c r="P392" i="1"/>
  <c r="P396" i="1"/>
  <c r="P400" i="1"/>
  <c r="P404" i="1"/>
  <c r="P408" i="1"/>
  <c r="P412" i="1"/>
  <c r="P416" i="1"/>
  <c r="P420" i="1"/>
  <c r="P424" i="1"/>
  <c r="P428" i="1"/>
  <c r="P432" i="1"/>
  <c r="P436" i="1"/>
  <c r="P440" i="1"/>
  <c r="P444" i="1"/>
  <c r="P448" i="1"/>
  <c r="P452" i="1"/>
  <c r="P456" i="1"/>
  <c r="P460" i="1"/>
  <c r="P464" i="1"/>
  <c r="P468" i="1"/>
  <c r="P472" i="1"/>
  <c r="P476" i="1"/>
  <c r="P480" i="1"/>
  <c r="P484" i="1"/>
  <c r="P488" i="1"/>
  <c r="P492" i="1"/>
  <c r="P496" i="1"/>
  <c r="P500" i="1"/>
  <c r="P504" i="1"/>
  <c r="P508" i="1"/>
  <c r="P512" i="1"/>
  <c r="P11" i="1"/>
  <c r="P27" i="1"/>
  <c r="P43" i="1"/>
  <c r="P59" i="1"/>
  <c r="P75" i="1"/>
  <c r="P91" i="1"/>
  <c r="P107" i="1"/>
  <c r="P123" i="1"/>
  <c r="P139" i="1"/>
  <c r="P155" i="1"/>
  <c r="P171" i="1"/>
  <c r="P187" i="1"/>
  <c r="P203" i="1"/>
  <c r="P219" i="1"/>
  <c r="P235" i="1"/>
  <c r="P251" i="1"/>
  <c r="P267" i="1"/>
  <c r="P283" i="1"/>
  <c r="P299" i="1"/>
  <c r="P315" i="1"/>
  <c r="P331" i="1"/>
  <c r="P345" i="1"/>
  <c r="P353" i="1"/>
  <c r="P361" i="1"/>
  <c r="P369" i="1"/>
  <c r="P377" i="1"/>
  <c r="P385" i="1"/>
  <c r="P393" i="1"/>
  <c r="P401" i="1"/>
  <c r="P409" i="1"/>
  <c r="P417" i="1"/>
  <c r="P425" i="1"/>
  <c r="P433" i="1"/>
  <c r="P441" i="1"/>
  <c r="P449" i="1"/>
  <c r="P457" i="1"/>
  <c r="P465" i="1"/>
  <c r="P473" i="1"/>
  <c r="P481" i="1"/>
  <c r="P489" i="1"/>
  <c r="P497" i="1"/>
  <c r="P505" i="1"/>
  <c r="P513" i="1"/>
  <c r="P518" i="1"/>
  <c r="P524" i="1"/>
  <c r="P529" i="1"/>
  <c r="P533" i="1"/>
  <c r="P537" i="1"/>
  <c r="P541" i="1"/>
  <c r="P545" i="1"/>
  <c r="P549" i="1"/>
  <c r="P553" i="1"/>
  <c r="P557" i="1"/>
  <c r="P561" i="1"/>
  <c r="P565" i="1"/>
  <c r="P12" i="1"/>
  <c r="P28" i="1"/>
  <c r="P44" i="1"/>
  <c r="P60" i="1"/>
  <c r="P76" i="1"/>
  <c r="P92" i="1"/>
  <c r="P108" i="1"/>
  <c r="P124" i="1"/>
  <c r="P140" i="1"/>
  <c r="P156" i="1"/>
  <c r="P172" i="1"/>
  <c r="P188" i="1"/>
  <c r="P204" i="1"/>
  <c r="P220" i="1"/>
  <c r="P236" i="1"/>
  <c r="P252" i="1"/>
  <c r="P268" i="1"/>
  <c r="P284" i="1"/>
  <c r="P300" i="1"/>
  <c r="P316" i="1"/>
  <c r="P332" i="1"/>
  <c r="P346" i="1"/>
  <c r="P354" i="1"/>
  <c r="P362" i="1"/>
  <c r="P370" i="1"/>
  <c r="P378" i="1"/>
  <c r="P386" i="1"/>
  <c r="P394" i="1"/>
  <c r="P402" i="1"/>
  <c r="P410" i="1"/>
  <c r="P418" i="1"/>
  <c r="P426" i="1"/>
  <c r="P434" i="1"/>
  <c r="P442" i="1"/>
  <c r="P450" i="1"/>
  <c r="P458" i="1"/>
  <c r="P466" i="1"/>
  <c r="P474" i="1"/>
  <c r="P482" i="1"/>
  <c r="P490" i="1"/>
  <c r="P498" i="1"/>
  <c r="P506" i="1"/>
  <c r="P514" i="1"/>
  <c r="P520" i="1"/>
  <c r="P525" i="1"/>
  <c r="P530" i="1"/>
  <c r="P534" i="1"/>
  <c r="P538" i="1"/>
  <c r="P542" i="1"/>
  <c r="P546" i="1"/>
  <c r="P550" i="1"/>
  <c r="P554" i="1"/>
  <c r="P558" i="1"/>
  <c r="P562" i="1"/>
  <c r="P566" i="1"/>
  <c r="P19" i="1"/>
  <c r="P51" i="1"/>
  <c r="P83" i="1"/>
  <c r="P115" i="1"/>
  <c r="P147" i="1"/>
  <c r="P179" i="1"/>
  <c r="P211" i="1"/>
  <c r="P243" i="1"/>
  <c r="P275" i="1"/>
  <c r="P307" i="1"/>
  <c r="P339" i="1"/>
  <c r="P357" i="1"/>
  <c r="P373" i="1"/>
  <c r="P389" i="1"/>
  <c r="P405" i="1"/>
  <c r="P421" i="1"/>
  <c r="P437" i="1"/>
  <c r="P453" i="1"/>
  <c r="P469" i="1"/>
  <c r="P485" i="1"/>
  <c r="P501" i="1"/>
  <c r="P516" i="1"/>
  <c r="P526" i="1"/>
  <c r="P535" i="1"/>
  <c r="P543" i="1"/>
  <c r="P551" i="1"/>
  <c r="P559" i="1"/>
  <c r="P567" i="1"/>
  <c r="P131" i="1"/>
  <c r="P521" i="1"/>
  <c r="P539" i="1"/>
  <c r="P555" i="1"/>
  <c r="P36" i="1"/>
  <c r="P100" i="1"/>
  <c r="P132" i="1"/>
  <c r="P164" i="1"/>
  <c r="P196" i="1"/>
  <c r="P228" i="1"/>
  <c r="P260" i="1"/>
  <c r="P292" i="1"/>
  <c r="P324" i="1"/>
  <c r="P350" i="1"/>
  <c r="P366" i="1"/>
  <c r="P398" i="1"/>
  <c r="P414" i="1"/>
  <c r="P430" i="1"/>
  <c r="P462" i="1"/>
  <c r="P478" i="1"/>
  <c r="P494" i="1"/>
  <c r="P522" i="1"/>
  <c r="P532" i="1"/>
  <c r="P548" i="1"/>
  <c r="P556" i="1"/>
  <c r="P20" i="1"/>
  <c r="P52" i="1"/>
  <c r="P84" i="1"/>
  <c r="P116" i="1"/>
  <c r="P148" i="1"/>
  <c r="P180" i="1"/>
  <c r="P212" i="1"/>
  <c r="P244" i="1"/>
  <c r="P276" i="1"/>
  <c r="P308" i="1"/>
  <c r="P340" i="1"/>
  <c r="P358" i="1"/>
  <c r="P374" i="1"/>
  <c r="P390" i="1"/>
  <c r="P406" i="1"/>
  <c r="P422" i="1"/>
  <c r="P438" i="1"/>
  <c r="P454" i="1"/>
  <c r="P470" i="1"/>
  <c r="P486" i="1"/>
  <c r="P502" i="1"/>
  <c r="P517" i="1"/>
  <c r="P528" i="1"/>
  <c r="P536" i="1"/>
  <c r="P544" i="1"/>
  <c r="P552" i="1"/>
  <c r="P560" i="1"/>
  <c r="P4" i="1"/>
  <c r="P35" i="1"/>
  <c r="P67" i="1"/>
  <c r="P99" i="1"/>
  <c r="P163" i="1"/>
  <c r="P195" i="1"/>
  <c r="P227" i="1"/>
  <c r="P259" i="1"/>
  <c r="P291" i="1"/>
  <c r="P323" i="1"/>
  <c r="P349" i="1"/>
  <c r="P365" i="1"/>
  <c r="P381" i="1"/>
  <c r="P397" i="1"/>
  <c r="P413" i="1"/>
  <c r="P429" i="1"/>
  <c r="P445" i="1"/>
  <c r="P461" i="1"/>
  <c r="P477" i="1"/>
  <c r="P493" i="1"/>
  <c r="P509" i="1"/>
  <c r="P531" i="1"/>
  <c r="P547" i="1"/>
  <c r="P563" i="1"/>
  <c r="P68" i="1"/>
  <c r="P382" i="1"/>
  <c r="P446" i="1"/>
  <c r="P510" i="1"/>
  <c r="P540" i="1"/>
  <c r="P564" i="1"/>
  <c r="N8" i="1"/>
  <c r="N12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200" i="1"/>
  <c r="N204" i="1"/>
  <c r="N208" i="1"/>
  <c r="N212" i="1"/>
  <c r="N216" i="1"/>
  <c r="N220" i="1"/>
  <c r="N224" i="1"/>
  <c r="N228" i="1"/>
  <c r="N232" i="1"/>
  <c r="N236" i="1"/>
  <c r="N240" i="1"/>
  <c r="N244" i="1"/>
  <c r="N248" i="1"/>
  <c r="N252" i="1"/>
  <c r="N256" i="1"/>
  <c r="N260" i="1"/>
  <c r="N264" i="1"/>
  <c r="N268" i="1"/>
  <c r="N272" i="1"/>
  <c r="N276" i="1"/>
  <c r="N280" i="1"/>
  <c r="N284" i="1"/>
  <c r="N288" i="1"/>
  <c r="N292" i="1"/>
  <c r="N296" i="1"/>
  <c r="N300" i="1"/>
  <c r="N304" i="1"/>
  <c r="N308" i="1"/>
  <c r="N312" i="1"/>
  <c r="N316" i="1"/>
  <c r="N320" i="1"/>
  <c r="N324" i="1"/>
  <c r="N328" i="1"/>
  <c r="N332" i="1"/>
  <c r="N336" i="1"/>
  <c r="N340" i="1"/>
  <c r="N344" i="1"/>
  <c r="N348" i="1"/>
  <c r="N352" i="1"/>
  <c r="N356" i="1"/>
  <c r="N360" i="1"/>
  <c r="N364" i="1"/>
  <c r="N368" i="1"/>
  <c r="N372" i="1"/>
  <c r="N376" i="1"/>
  <c r="N380" i="1"/>
  <c r="N384" i="1"/>
  <c r="N388" i="1"/>
  <c r="N392" i="1"/>
  <c r="N396" i="1"/>
  <c r="N400" i="1"/>
  <c r="N404" i="1"/>
  <c r="N408" i="1"/>
  <c r="N412" i="1"/>
  <c r="N416" i="1"/>
  <c r="N420" i="1"/>
  <c r="N424" i="1"/>
  <c r="N428" i="1"/>
  <c r="N432" i="1"/>
  <c r="N436" i="1"/>
  <c r="N440" i="1"/>
  <c r="N444" i="1"/>
  <c r="N448" i="1"/>
  <c r="N452" i="1"/>
  <c r="N456" i="1"/>
  <c r="N460" i="1"/>
  <c r="N5" i="1"/>
  <c r="N9" i="1"/>
  <c r="N13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N329" i="1"/>
  <c r="N333" i="1"/>
  <c r="N337" i="1"/>
  <c r="N341" i="1"/>
  <c r="N345" i="1"/>
  <c r="N349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N441" i="1"/>
  <c r="N445" i="1"/>
  <c r="N449" i="1"/>
  <c r="N453" i="1"/>
  <c r="N457" i="1"/>
  <c r="N461" i="1"/>
  <c r="N10" i="1"/>
  <c r="N18" i="1"/>
  <c r="N26" i="1"/>
  <c r="N34" i="1"/>
  <c r="N42" i="1"/>
  <c r="N50" i="1"/>
  <c r="N58" i="1"/>
  <c r="N66" i="1"/>
  <c r="N74" i="1"/>
  <c r="N82" i="1"/>
  <c r="N90" i="1"/>
  <c r="N98" i="1"/>
  <c r="N106" i="1"/>
  <c r="N114" i="1"/>
  <c r="N122" i="1"/>
  <c r="N130" i="1"/>
  <c r="N138" i="1"/>
  <c r="N146" i="1"/>
  <c r="N154" i="1"/>
  <c r="N162" i="1"/>
  <c r="N170" i="1"/>
  <c r="N178" i="1"/>
  <c r="N186" i="1"/>
  <c r="N194" i="1"/>
  <c r="N202" i="1"/>
  <c r="N210" i="1"/>
  <c r="N218" i="1"/>
  <c r="N226" i="1"/>
  <c r="N234" i="1"/>
  <c r="N242" i="1"/>
  <c r="N250" i="1"/>
  <c r="N258" i="1"/>
  <c r="N266" i="1"/>
  <c r="N274" i="1"/>
  <c r="N282" i="1"/>
  <c r="N290" i="1"/>
  <c r="N298" i="1"/>
  <c r="N306" i="1"/>
  <c r="N314" i="1"/>
  <c r="N322" i="1"/>
  <c r="N330" i="1"/>
  <c r="N338" i="1"/>
  <c r="N346" i="1"/>
  <c r="N354" i="1"/>
  <c r="N362" i="1"/>
  <c r="N370" i="1"/>
  <c r="N378" i="1"/>
  <c r="N386" i="1"/>
  <c r="N394" i="1"/>
  <c r="N402" i="1"/>
  <c r="N410" i="1"/>
  <c r="N418" i="1"/>
  <c r="N426" i="1"/>
  <c r="N434" i="1"/>
  <c r="N442" i="1"/>
  <c r="N450" i="1"/>
  <c r="N458" i="1"/>
  <c r="N464" i="1"/>
  <c r="N468" i="1"/>
  <c r="N472" i="1"/>
  <c r="N476" i="1"/>
  <c r="N480" i="1"/>
  <c r="N484" i="1"/>
  <c r="N488" i="1"/>
  <c r="N492" i="1"/>
  <c r="N496" i="1"/>
  <c r="N500" i="1"/>
  <c r="N504" i="1"/>
  <c r="N508" i="1"/>
  <c r="N512" i="1"/>
  <c r="N516" i="1"/>
  <c r="N520" i="1"/>
  <c r="N524" i="1"/>
  <c r="N528" i="1"/>
  <c r="N532" i="1"/>
  <c r="N536" i="1"/>
  <c r="N540" i="1"/>
  <c r="N544" i="1"/>
  <c r="N548" i="1"/>
  <c r="N552" i="1"/>
  <c r="N556" i="1"/>
  <c r="N560" i="1"/>
  <c r="N564" i="1"/>
  <c r="N4" i="1"/>
  <c r="N419" i="1"/>
  <c r="N451" i="1"/>
  <c r="N459" i="1"/>
  <c r="N469" i="1"/>
  <c r="N473" i="1"/>
  <c r="N477" i="1"/>
  <c r="N485" i="1"/>
  <c r="N489" i="1"/>
  <c r="N493" i="1"/>
  <c r="N497" i="1"/>
  <c r="N505" i="1"/>
  <c r="N509" i="1"/>
  <c r="N513" i="1"/>
  <c r="N521" i="1"/>
  <c r="N525" i="1"/>
  <c r="N529" i="1"/>
  <c r="N533" i="1"/>
  <c r="N537" i="1"/>
  <c r="N545" i="1"/>
  <c r="N549" i="1"/>
  <c r="N553" i="1"/>
  <c r="N557" i="1"/>
  <c r="N565" i="1"/>
  <c r="N6" i="1"/>
  <c r="N22" i="1"/>
  <c r="N30" i="1"/>
  <c r="N46" i="1"/>
  <c r="N54" i="1"/>
  <c r="N70" i="1"/>
  <c r="N86" i="1"/>
  <c r="N94" i="1"/>
  <c r="N110" i="1"/>
  <c r="N126" i="1"/>
  <c r="N134" i="1"/>
  <c r="N150" i="1"/>
  <c r="N166" i="1"/>
  <c r="N174" i="1"/>
  <c r="N190" i="1"/>
  <c r="N206" i="1"/>
  <c r="N214" i="1"/>
  <c r="N230" i="1"/>
  <c r="N238" i="1"/>
  <c r="N254" i="1"/>
  <c r="N262" i="1"/>
  <c r="N278" i="1"/>
  <c r="N286" i="1"/>
  <c r="N302" i="1"/>
  <c r="N310" i="1"/>
  <c r="N326" i="1"/>
  <c r="N334" i="1"/>
  <c r="N350" i="1"/>
  <c r="N358" i="1"/>
  <c r="N374" i="1"/>
  <c r="N382" i="1"/>
  <c r="N398" i="1"/>
  <c r="N406" i="1"/>
  <c r="N422" i="1"/>
  <c r="N430" i="1"/>
  <c r="N438" i="1"/>
  <c r="N454" i="1"/>
  <c r="N462" i="1"/>
  <c r="N470" i="1"/>
  <c r="N474" i="1"/>
  <c r="N482" i="1"/>
  <c r="N486" i="1"/>
  <c r="N494" i="1"/>
  <c r="N502" i="1"/>
  <c r="N510" i="1"/>
  <c r="N514" i="1"/>
  <c r="N522" i="1"/>
  <c r="N526" i="1"/>
  <c r="N534" i="1"/>
  <c r="N538" i="1"/>
  <c r="N542" i="1"/>
  <c r="N550" i="1"/>
  <c r="N554" i="1"/>
  <c r="N562" i="1"/>
  <c r="N566" i="1"/>
  <c r="N7" i="1"/>
  <c r="N23" i="1"/>
  <c r="N31" i="1"/>
  <c r="N47" i="1"/>
  <c r="N55" i="1"/>
  <c r="N71" i="1"/>
  <c r="N79" i="1"/>
  <c r="N95" i="1"/>
  <c r="N111" i="1"/>
  <c r="N127" i="1"/>
  <c r="N143" i="1"/>
  <c r="N159" i="1"/>
  <c r="N167" i="1"/>
  <c r="N183" i="1"/>
  <c r="N191" i="1"/>
  <c r="N207" i="1"/>
  <c r="N215" i="1"/>
  <c r="N231" i="1"/>
  <c r="N239" i="1"/>
  <c r="N255" i="1"/>
  <c r="N271" i="1"/>
  <c r="N279" i="1"/>
  <c r="N295" i="1"/>
  <c r="N303" i="1"/>
  <c r="N319" i="1"/>
  <c r="N327" i="1"/>
  <c r="N343" i="1"/>
  <c r="N351" i="1"/>
  <c r="N367" i="1"/>
  <c r="N375" i="1"/>
  <c r="N391" i="1"/>
  <c r="N399" i="1"/>
  <c r="N407" i="1"/>
  <c r="N423" i="1"/>
  <c r="N439" i="1"/>
  <c r="N455" i="1"/>
  <c r="N463" i="1"/>
  <c r="N471" i="1"/>
  <c r="N475" i="1"/>
  <c r="N483" i="1"/>
  <c r="N487" i="1"/>
  <c r="N495" i="1"/>
  <c r="N499" i="1"/>
  <c r="N503" i="1"/>
  <c r="N511" i="1"/>
  <c r="N515" i="1"/>
  <c r="N11" i="1"/>
  <c r="N19" i="1"/>
  <c r="N27" i="1"/>
  <c r="N35" i="1"/>
  <c r="N43" i="1"/>
  <c r="N51" i="1"/>
  <c r="N59" i="1"/>
  <c r="N67" i="1"/>
  <c r="N75" i="1"/>
  <c r="N83" i="1"/>
  <c r="N91" i="1"/>
  <c r="N99" i="1"/>
  <c r="N107" i="1"/>
  <c r="N115" i="1"/>
  <c r="N123" i="1"/>
  <c r="N131" i="1"/>
  <c r="N139" i="1"/>
  <c r="N147" i="1"/>
  <c r="N155" i="1"/>
  <c r="N163" i="1"/>
  <c r="N171" i="1"/>
  <c r="N179" i="1"/>
  <c r="N187" i="1"/>
  <c r="N195" i="1"/>
  <c r="N203" i="1"/>
  <c r="N211" i="1"/>
  <c r="N219" i="1"/>
  <c r="N227" i="1"/>
  <c r="N235" i="1"/>
  <c r="N243" i="1"/>
  <c r="N251" i="1"/>
  <c r="N259" i="1"/>
  <c r="N267" i="1"/>
  <c r="N275" i="1"/>
  <c r="N283" i="1"/>
  <c r="N291" i="1"/>
  <c r="N299" i="1"/>
  <c r="N307" i="1"/>
  <c r="N315" i="1"/>
  <c r="N323" i="1"/>
  <c r="N331" i="1"/>
  <c r="N339" i="1"/>
  <c r="N347" i="1"/>
  <c r="N355" i="1"/>
  <c r="N363" i="1"/>
  <c r="N371" i="1"/>
  <c r="N379" i="1"/>
  <c r="N387" i="1"/>
  <c r="N395" i="1"/>
  <c r="N403" i="1"/>
  <c r="N411" i="1"/>
  <c r="N427" i="1"/>
  <c r="N435" i="1"/>
  <c r="N443" i="1"/>
  <c r="N465" i="1"/>
  <c r="N481" i="1"/>
  <c r="N501" i="1"/>
  <c r="N517" i="1"/>
  <c r="N541" i="1"/>
  <c r="N561" i="1"/>
  <c r="N14" i="1"/>
  <c r="N38" i="1"/>
  <c r="N62" i="1"/>
  <c r="N78" i="1"/>
  <c r="N102" i="1"/>
  <c r="N118" i="1"/>
  <c r="N142" i="1"/>
  <c r="N158" i="1"/>
  <c r="N182" i="1"/>
  <c r="N198" i="1"/>
  <c r="N222" i="1"/>
  <c r="N246" i="1"/>
  <c r="N270" i="1"/>
  <c r="N294" i="1"/>
  <c r="N318" i="1"/>
  <c r="N342" i="1"/>
  <c r="N366" i="1"/>
  <c r="N390" i="1"/>
  <c r="N414" i="1"/>
  <c r="N446" i="1"/>
  <c r="N466" i="1"/>
  <c r="N478" i="1"/>
  <c r="N490" i="1"/>
  <c r="N498" i="1"/>
  <c r="N506" i="1"/>
  <c r="N518" i="1"/>
  <c r="N530" i="1"/>
  <c r="N546" i="1"/>
  <c r="N558" i="1"/>
  <c r="N15" i="1"/>
  <c r="N39" i="1"/>
  <c r="N63" i="1"/>
  <c r="N87" i="1"/>
  <c r="N103" i="1"/>
  <c r="N119" i="1"/>
  <c r="N135" i="1"/>
  <c r="N151" i="1"/>
  <c r="N175" i="1"/>
  <c r="N199" i="1"/>
  <c r="N223" i="1"/>
  <c r="N247" i="1"/>
  <c r="N263" i="1"/>
  <c r="N287" i="1"/>
  <c r="N311" i="1"/>
  <c r="N335" i="1"/>
  <c r="N359" i="1"/>
  <c r="N383" i="1"/>
  <c r="N415" i="1"/>
  <c r="N431" i="1"/>
  <c r="N447" i="1"/>
  <c r="N467" i="1"/>
  <c r="N479" i="1"/>
  <c r="N491" i="1"/>
  <c r="N507" i="1"/>
  <c r="N531" i="1"/>
  <c r="N547" i="1"/>
  <c r="N563" i="1"/>
  <c r="N527" i="1"/>
  <c r="N543" i="1"/>
  <c r="N559" i="1"/>
  <c r="N519" i="1"/>
  <c r="N535" i="1"/>
  <c r="N551" i="1"/>
  <c r="N567" i="1"/>
  <c r="N523" i="1"/>
  <c r="N539" i="1"/>
  <c r="N555" i="1"/>
  <c r="E46" i="7"/>
  <c r="W37" i="1" s="1"/>
  <c r="E37" i="7"/>
  <c r="W28" i="1" s="1"/>
  <c r="E27" i="7"/>
  <c r="W18" i="1" s="1"/>
  <c r="E31" i="7"/>
  <c r="W22" i="1" s="1"/>
  <c r="E47" i="7"/>
  <c r="W38" i="1" s="1"/>
  <c r="E35" i="7"/>
  <c r="W26" i="1" s="1"/>
  <c r="E28" i="7"/>
  <c r="W19" i="1" s="1"/>
  <c r="E26" i="7"/>
  <c r="W17" i="1" s="1"/>
  <c r="E48" i="7"/>
  <c r="W39" i="1" s="1"/>
  <c r="E34" i="7"/>
  <c r="W25" i="1" s="1"/>
  <c r="E29" i="7"/>
  <c r="W20" i="1" s="1"/>
  <c r="E18" i="7"/>
  <c r="W13" i="1" s="1"/>
  <c r="E45" i="7"/>
  <c r="W36" i="1" s="1"/>
  <c r="E33" i="7"/>
  <c r="W24" i="1" s="1"/>
  <c r="E30" i="7"/>
  <c r="W21" i="1" s="1"/>
  <c r="F4" i="5"/>
  <c r="E4" i="5" s="1"/>
  <c r="F5" i="5"/>
  <c r="E5" i="5" s="1"/>
  <c r="I6" i="1" l="1"/>
  <c r="I476" i="1"/>
  <c r="I288" i="1"/>
  <c r="I523" i="1"/>
  <c r="I335" i="1"/>
  <c r="I382" i="1"/>
  <c r="I429" i="1"/>
  <c r="I7" i="1"/>
  <c r="I383" i="1"/>
  <c r="I477" i="1"/>
  <c r="I430" i="1"/>
  <c r="I336" i="1"/>
  <c r="I524" i="1"/>
  <c r="I289" i="1"/>
  <c r="F41" i="5"/>
  <c r="E41" i="5" s="1"/>
  <c r="F39" i="5"/>
  <c r="E39" i="5" s="1"/>
  <c r="F47" i="5"/>
  <c r="E47" i="5" s="1"/>
  <c r="I49" i="1" l="1"/>
  <c r="I519" i="1"/>
  <c r="I378" i="1"/>
  <c r="I425" i="1"/>
  <c r="I566" i="1"/>
  <c r="I284" i="1"/>
  <c r="I331" i="1"/>
  <c r="I472" i="1"/>
  <c r="I41" i="1"/>
  <c r="I558" i="1"/>
  <c r="I464" i="1"/>
  <c r="I276" i="1"/>
  <c r="I323" i="1"/>
  <c r="I370" i="1"/>
  <c r="I417" i="1"/>
  <c r="I511" i="1"/>
  <c r="I43" i="1"/>
  <c r="I560" i="1"/>
  <c r="I513" i="1"/>
  <c r="I419" i="1"/>
  <c r="I278" i="1"/>
  <c r="I325" i="1"/>
  <c r="I466" i="1"/>
  <c r="I372" i="1"/>
  <c r="F37" i="5"/>
  <c r="E37" i="5" s="1"/>
  <c r="F34" i="5"/>
  <c r="E34" i="5" s="1"/>
  <c r="I36" i="1" l="1"/>
  <c r="I459" i="1"/>
  <c r="I271" i="1"/>
  <c r="I412" i="1"/>
  <c r="I506" i="1"/>
  <c r="I318" i="1"/>
  <c r="I553" i="1"/>
  <c r="I365" i="1"/>
  <c r="I39" i="1"/>
  <c r="I368" i="1"/>
  <c r="I556" i="1"/>
  <c r="I274" i="1"/>
  <c r="I321" i="1"/>
  <c r="I462" i="1"/>
  <c r="I509" i="1"/>
  <c r="I415" i="1"/>
  <c r="F3" i="7"/>
  <c r="E3" i="7" s="1"/>
  <c r="W5" i="1" l="1"/>
  <c r="L3" i="7"/>
  <c r="E2" i="7" s="1"/>
  <c r="W4" i="1" s="1"/>
  <c r="F16" i="5"/>
  <c r="E16" i="5" s="1"/>
  <c r="I18" i="1" l="1"/>
  <c r="I394" i="1"/>
  <c r="I488" i="1"/>
  <c r="I300" i="1"/>
  <c r="I347" i="1"/>
  <c r="I441" i="1"/>
  <c r="I253" i="1"/>
  <c r="I535" i="1"/>
  <c r="E12" i="2"/>
  <c r="F2" i="7" s="1"/>
  <c r="F3" i="5"/>
  <c r="E3" i="5" s="1"/>
  <c r="F2" i="5"/>
  <c r="E2" i="5" s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I5" i="1" l="1"/>
  <c r="I522" i="1"/>
  <c r="I381" i="1"/>
  <c r="I475" i="1"/>
  <c r="I428" i="1"/>
  <c r="I334" i="1"/>
  <c r="I287" i="1"/>
  <c r="I4" i="1"/>
  <c r="I474" i="1"/>
  <c r="I286" i="1"/>
  <c r="I521" i="1"/>
  <c r="I333" i="1"/>
  <c r="I427" i="1"/>
  <c r="I380" i="1"/>
  <c r="C7" i="2"/>
  <c r="K243" i="1"/>
  <c r="H243" i="1"/>
  <c r="I243" i="1" s="1"/>
  <c r="K242" i="1"/>
  <c r="H242" i="1"/>
  <c r="I242" i="1" s="1"/>
  <c r="K241" i="1"/>
  <c r="H241" i="1"/>
  <c r="I241" i="1" s="1"/>
  <c r="K240" i="1"/>
  <c r="H240" i="1"/>
  <c r="I240" i="1" s="1"/>
  <c r="K239" i="1"/>
  <c r="H239" i="1"/>
  <c r="I239" i="1" s="1"/>
  <c r="K238" i="1"/>
  <c r="H238" i="1"/>
  <c r="I238" i="1" s="1"/>
  <c r="K237" i="1"/>
  <c r="H237" i="1"/>
  <c r="I237" i="1" s="1"/>
  <c r="K236" i="1"/>
  <c r="H236" i="1"/>
  <c r="I236" i="1" s="1"/>
  <c r="K235" i="1"/>
  <c r="H235" i="1"/>
  <c r="I235" i="1" s="1"/>
  <c r="K234" i="1"/>
  <c r="H234" i="1"/>
  <c r="I234" i="1" s="1"/>
  <c r="K233" i="1"/>
  <c r="H233" i="1"/>
  <c r="I233" i="1" s="1"/>
  <c r="K232" i="1"/>
  <c r="H232" i="1"/>
  <c r="I232" i="1" s="1"/>
  <c r="K231" i="1"/>
  <c r="H231" i="1"/>
  <c r="I231" i="1" s="1"/>
  <c r="K230" i="1"/>
  <c r="H230" i="1"/>
  <c r="I230" i="1" s="1"/>
  <c r="K229" i="1"/>
  <c r="H229" i="1"/>
  <c r="I229" i="1" s="1"/>
  <c r="K228" i="1"/>
  <c r="H228" i="1"/>
  <c r="I228" i="1" s="1"/>
  <c r="K227" i="1"/>
  <c r="H227" i="1"/>
  <c r="I227" i="1" s="1"/>
  <c r="K226" i="1"/>
  <c r="H226" i="1"/>
  <c r="I226" i="1" s="1"/>
  <c r="K225" i="1"/>
  <c r="H225" i="1"/>
  <c r="I225" i="1" s="1"/>
  <c r="K224" i="1"/>
  <c r="H224" i="1"/>
  <c r="I224" i="1" s="1"/>
  <c r="K223" i="1"/>
  <c r="H223" i="1"/>
  <c r="I223" i="1" s="1"/>
  <c r="K222" i="1"/>
  <c r="H222" i="1"/>
  <c r="I222" i="1" s="1"/>
  <c r="K221" i="1"/>
  <c r="H221" i="1"/>
  <c r="I221" i="1" s="1"/>
  <c r="K220" i="1"/>
  <c r="H220" i="1"/>
  <c r="I220" i="1" s="1"/>
  <c r="K219" i="1"/>
  <c r="H219" i="1"/>
  <c r="I219" i="1" s="1"/>
  <c r="K218" i="1"/>
  <c r="H218" i="1"/>
  <c r="I218" i="1" s="1"/>
  <c r="K217" i="1"/>
  <c r="H217" i="1"/>
  <c r="I217" i="1" s="1"/>
  <c r="K216" i="1"/>
  <c r="H216" i="1"/>
  <c r="I216" i="1" s="1"/>
  <c r="K215" i="1"/>
  <c r="H215" i="1"/>
  <c r="I215" i="1" s="1"/>
  <c r="K214" i="1"/>
  <c r="H214" i="1"/>
  <c r="I214" i="1" s="1"/>
  <c r="K213" i="1"/>
  <c r="H213" i="1"/>
  <c r="I213" i="1" s="1"/>
  <c r="K212" i="1"/>
  <c r="H212" i="1"/>
  <c r="I212" i="1" s="1"/>
  <c r="K211" i="1"/>
  <c r="H211" i="1"/>
  <c r="I211" i="1" s="1"/>
  <c r="K210" i="1"/>
  <c r="H210" i="1"/>
  <c r="I210" i="1" s="1"/>
  <c r="K209" i="1"/>
  <c r="H209" i="1"/>
  <c r="I209" i="1" s="1"/>
  <c r="K208" i="1"/>
  <c r="H208" i="1"/>
  <c r="I208" i="1" s="1"/>
  <c r="K207" i="1"/>
  <c r="H207" i="1"/>
  <c r="I207" i="1" s="1"/>
  <c r="K206" i="1"/>
  <c r="H206" i="1"/>
  <c r="I206" i="1" s="1"/>
  <c r="K205" i="1"/>
  <c r="H205" i="1"/>
  <c r="I205" i="1" s="1"/>
  <c r="K204" i="1"/>
  <c r="H204" i="1"/>
  <c r="I204" i="1" s="1"/>
  <c r="K203" i="1"/>
  <c r="H203" i="1"/>
  <c r="I203" i="1" s="1"/>
  <c r="K202" i="1"/>
  <c r="H202" i="1"/>
  <c r="I202" i="1" s="1"/>
  <c r="K201" i="1"/>
  <c r="H201" i="1"/>
  <c r="I201" i="1" s="1"/>
  <c r="K200" i="1"/>
  <c r="H200" i="1"/>
  <c r="I200" i="1" s="1"/>
  <c r="K199" i="1"/>
  <c r="H199" i="1"/>
  <c r="I199" i="1" s="1"/>
  <c r="K198" i="1"/>
  <c r="H198" i="1"/>
  <c r="I198" i="1" s="1"/>
  <c r="K197" i="1"/>
  <c r="H197" i="1"/>
  <c r="I197" i="1" s="1"/>
  <c r="K196" i="1"/>
  <c r="H196" i="1"/>
  <c r="I196" i="1" s="1"/>
  <c r="K195" i="1"/>
  <c r="H195" i="1"/>
  <c r="I195" i="1" s="1"/>
  <c r="K194" i="1"/>
  <c r="H194" i="1"/>
  <c r="I194" i="1" s="1"/>
  <c r="K193" i="1"/>
  <c r="H193" i="1"/>
  <c r="I193" i="1" s="1"/>
  <c r="K192" i="1"/>
  <c r="H192" i="1"/>
  <c r="I192" i="1" s="1"/>
  <c r="K191" i="1"/>
  <c r="H191" i="1"/>
  <c r="I191" i="1" s="1"/>
  <c r="K190" i="1"/>
  <c r="H190" i="1"/>
  <c r="I190" i="1" s="1"/>
  <c r="K189" i="1"/>
  <c r="H189" i="1"/>
  <c r="I189" i="1" s="1"/>
  <c r="K188" i="1"/>
  <c r="H188" i="1"/>
  <c r="I188" i="1" s="1"/>
  <c r="K187" i="1"/>
  <c r="H187" i="1"/>
  <c r="I187" i="1" s="1"/>
  <c r="K186" i="1"/>
  <c r="H186" i="1"/>
  <c r="I186" i="1" s="1"/>
  <c r="K185" i="1"/>
  <c r="H185" i="1"/>
  <c r="I185" i="1" s="1"/>
  <c r="K184" i="1"/>
  <c r="H184" i="1"/>
  <c r="I184" i="1" s="1"/>
  <c r="K183" i="1"/>
  <c r="H183" i="1"/>
  <c r="I183" i="1" s="1"/>
  <c r="K182" i="1"/>
  <c r="H182" i="1"/>
  <c r="I182" i="1" s="1"/>
  <c r="K181" i="1"/>
  <c r="H181" i="1"/>
  <c r="I181" i="1" s="1"/>
  <c r="K180" i="1"/>
  <c r="H180" i="1"/>
  <c r="I180" i="1" s="1"/>
  <c r="K179" i="1"/>
  <c r="H179" i="1"/>
  <c r="I179" i="1" s="1"/>
  <c r="K178" i="1"/>
  <c r="H178" i="1"/>
  <c r="I178" i="1" s="1"/>
  <c r="K177" i="1"/>
  <c r="H177" i="1"/>
  <c r="I177" i="1" s="1"/>
  <c r="K176" i="1"/>
  <c r="H176" i="1"/>
  <c r="I176" i="1" s="1"/>
  <c r="K175" i="1"/>
  <c r="H175" i="1"/>
  <c r="I175" i="1" s="1"/>
  <c r="K174" i="1"/>
  <c r="H174" i="1"/>
  <c r="I174" i="1" s="1"/>
  <c r="K173" i="1"/>
  <c r="H173" i="1"/>
  <c r="I173" i="1" s="1"/>
  <c r="K172" i="1"/>
  <c r="H172" i="1"/>
  <c r="I172" i="1" s="1"/>
  <c r="K171" i="1"/>
  <c r="H171" i="1"/>
  <c r="I171" i="1" s="1"/>
  <c r="K170" i="1"/>
  <c r="H170" i="1"/>
  <c r="I170" i="1" s="1"/>
  <c r="K169" i="1"/>
  <c r="H169" i="1"/>
  <c r="I169" i="1" s="1"/>
  <c r="K168" i="1"/>
  <c r="H168" i="1"/>
  <c r="I168" i="1" s="1"/>
  <c r="K167" i="1"/>
  <c r="H167" i="1"/>
  <c r="I167" i="1" s="1"/>
  <c r="K166" i="1"/>
  <c r="H166" i="1"/>
  <c r="I166" i="1" s="1"/>
  <c r="K165" i="1"/>
  <c r="H165" i="1"/>
  <c r="I165" i="1" s="1"/>
  <c r="K164" i="1"/>
  <c r="H164" i="1"/>
  <c r="I164" i="1" s="1"/>
  <c r="K163" i="1"/>
  <c r="H163" i="1"/>
  <c r="I163" i="1" s="1"/>
  <c r="K162" i="1"/>
  <c r="H162" i="1"/>
  <c r="I162" i="1" s="1"/>
  <c r="K161" i="1"/>
  <c r="H161" i="1"/>
  <c r="I161" i="1" s="1"/>
  <c r="K160" i="1"/>
  <c r="H160" i="1"/>
  <c r="I160" i="1" s="1"/>
  <c r="K159" i="1"/>
  <c r="H159" i="1"/>
  <c r="I159" i="1" s="1"/>
  <c r="K158" i="1"/>
  <c r="H158" i="1"/>
  <c r="I158" i="1" s="1"/>
  <c r="K157" i="1"/>
  <c r="H157" i="1"/>
  <c r="I157" i="1" s="1"/>
  <c r="K156" i="1"/>
  <c r="H156" i="1"/>
  <c r="I156" i="1" s="1"/>
  <c r="K155" i="1"/>
  <c r="H155" i="1"/>
  <c r="I155" i="1" s="1"/>
  <c r="K154" i="1"/>
  <c r="H154" i="1"/>
  <c r="I154" i="1" s="1"/>
  <c r="K153" i="1"/>
  <c r="H153" i="1"/>
  <c r="I153" i="1" s="1"/>
  <c r="K152" i="1"/>
  <c r="H152" i="1"/>
  <c r="I152" i="1" s="1"/>
  <c r="K151" i="1"/>
  <c r="H151" i="1"/>
  <c r="I151" i="1" s="1"/>
  <c r="K150" i="1"/>
  <c r="H150" i="1"/>
  <c r="I150" i="1" s="1"/>
  <c r="K149" i="1"/>
  <c r="H149" i="1"/>
  <c r="I149" i="1" s="1"/>
  <c r="K148" i="1"/>
  <c r="H148" i="1"/>
  <c r="I148" i="1" s="1"/>
  <c r="K147" i="1"/>
  <c r="H147" i="1"/>
  <c r="I147" i="1" s="1"/>
  <c r="K146" i="1"/>
  <c r="H146" i="1"/>
  <c r="I146" i="1" s="1"/>
  <c r="K145" i="1"/>
  <c r="H145" i="1"/>
  <c r="I145" i="1" s="1"/>
  <c r="K144" i="1"/>
  <c r="H144" i="1"/>
  <c r="I144" i="1" s="1"/>
  <c r="K143" i="1"/>
  <c r="H143" i="1"/>
  <c r="I143" i="1" s="1"/>
  <c r="K142" i="1"/>
  <c r="H142" i="1"/>
  <c r="I142" i="1" s="1"/>
  <c r="K141" i="1"/>
  <c r="H141" i="1"/>
  <c r="I141" i="1" s="1"/>
  <c r="K140" i="1"/>
  <c r="H140" i="1"/>
  <c r="I140" i="1" s="1"/>
  <c r="K139" i="1"/>
  <c r="H139" i="1"/>
  <c r="I139" i="1" s="1"/>
  <c r="K138" i="1"/>
  <c r="H138" i="1"/>
  <c r="I138" i="1" s="1"/>
  <c r="K137" i="1"/>
  <c r="H137" i="1"/>
  <c r="I137" i="1" s="1"/>
  <c r="K136" i="1"/>
  <c r="H136" i="1"/>
  <c r="I136" i="1" s="1"/>
  <c r="K135" i="1"/>
  <c r="H135" i="1"/>
  <c r="I135" i="1" s="1"/>
  <c r="K134" i="1"/>
  <c r="H134" i="1"/>
  <c r="I134" i="1" s="1"/>
  <c r="K133" i="1"/>
  <c r="H133" i="1"/>
  <c r="I133" i="1" s="1"/>
  <c r="K132" i="1"/>
  <c r="H132" i="1"/>
  <c r="I132" i="1" s="1"/>
  <c r="K131" i="1"/>
  <c r="H131" i="1"/>
  <c r="I131" i="1" s="1"/>
  <c r="K130" i="1"/>
  <c r="H130" i="1"/>
  <c r="I130" i="1" s="1"/>
  <c r="K129" i="1"/>
  <c r="H129" i="1"/>
  <c r="I129" i="1" s="1"/>
  <c r="K128" i="1"/>
  <c r="H128" i="1"/>
  <c r="I128" i="1" s="1"/>
  <c r="K127" i="1"/>
  <c r="H127" i="1"/>
  <c r="I127" i="1" s="1"/>
  <c r="K126" i="1"/>
  <c r="H126" i="1"/>
  <c r="I126" i="1" s="1"/>
  <c r="K125" i="1"/>
  <c r="H125" i="1"/>
  <c r="I125" i="1" s="1"/>
  <c r="K124" i="1"/>
  <c r="H124" i="1"/>
  <c r="I124" i="1" s="1"/>
  <c r="K123" i="1"/>
  <c r="H123" i="1"/>
  <c r="I123" i="1" s="1"/>
  <c r="K122" i="1"/>
  <c r="H122" i="1"/>
  <c r="I122" i="1" s="1"/>
  <c r="K121" i="1"/>
  <c r="H121" i="1"/>
  <c r="I121" i="1" s="1"/>
  <c r="K120" i="1"/>
  <c r="H120" i="1"/>
  <c r="I120" i="1" s="1"/>
  <c r="K119" i="1"/>
  <c r="H119" i="1"/>
  <c r="I119" i="1" s="1"/>
  <c r="K118" i="1"/>
  <c r="H118" i="1"/>
  <c r="I118" i="1" s="1"/>
  <c r="K117" i="1"/>
  <c r="H117" i="1"/>
  <c r="I117" i="1" s="1"/>
  <c r="K116" i="1"/>
  <c r="H116" i="1"/>
  <c r="I116" i="1" s="1"/>
  <c r="K115" i="1"/>
  <c r="H115" i="1"/>
  <c r="I115" i="1" s="1"/>
  <c r="K114" i="1"/>
  <c r="H114" i="1"/>
  <c r="I114" i="1" s="1"/>
  <c r="K113" i="1"/>
  <c r="H113" i="1"/>
  <c r="I113" i="1" s="1"/>
  <c r="K112" i="1"/>
  <c r="H112" i="1"/>
  <c r="I112" i="1" s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4" i="1"/>
  <c r="J62" i="1" l="1"/>
  <c r="L62" i="1" s="1"/>
  <c r="O62" i="1" s="1"/>
  <c r="E62" i="1"/>
  <c r="J72" i="1"/>
  <c r="Q72" i="1" s="1"/>
  <c r="E72" i="1"/>
  <c r="J83" i="1"/>
  <c r="Q83" i="1" s="1"/>
  <c r="E83" i="1"/>
  <c r="J94" i="1"/>
  <c r="Q94" i="1" s="1"/>
  <c r="E94" i="1"/>
  <c r="J107" i="1"/>
  <c r="Q107" i="1" s="1"/>
  <c r="E107" i="1"/>
  <c r="J120" i="1"/>
  <c r="Q120" i="1" s="1"/>
  <c r="E120" i="1"/>
  <c r="J138" i="1"/>
  <c r="Q138" i="1" s="1"/>
  <c r="E138" i="1"/>
  <c r="J148" i="1"/>
  <c r="L148" i="1" s="1"/>
  <c r="O148" i="1" s="1"/>
  <c r="E148" i="1"/>
  <c r="J156" i="1"/>
  <c r="Q156" i="1" s="1"/>
  <c r="E156" i="1"/>
  <c r="J164" i="1"/>
  <c r="Q164" i="1" s="1"/>
  <c r="E164" i="1"/>
  <c r="J173" i="1"/>
  <c r="L173" i="1" s="1"/>
  <c r="O173" i="1" s="1"/>
  <c r="E173" i="1"/>
  <c r="J184" i="1"/>
  <c r="L184" i="1" s="1"/>
  <c r="O184" i="1" s="1"/>
  <c r="E184" i="1"/>
  <c r="J243" i="1"/>
  <c r="L243" i="1" s="1"/>
  <c r="O243" i="1" s="1"/>
  <c r="E243" i="1"/>
  <c r="J259" i="1"/>
  <c r="Q259" i="1" s="1"/>
  <c r="E259" i="1"/>
  <c r="J273" i="1"/>
  <c r="L273" i="1" s="1"/>
  <c r="O273" i="1" s="1"/>
  <c r="E273" i="1"/>
  <c r="J283" i="1"/>
  <c r="L283" i="1" s="1"/>
  <c r="O283" i="1" s="1"/>
  <c r="E283" i="1"/>
  <c r="J296" i="1"/>
  <c r="Q296" i="1" s="1"/>
  <c r="E296" i="1"/>
  <c r="J309" i="1"/>
  <c r="L309" i="1" s="1"/>
  <c r="O309" i="1" s="1"/>
  <c r="E309" i="1"/>
  <c r="J325" i="1"/>
  <c r="L325" i="1" s="1"/>
  <c r="O325" i="1" s="1"/>
  <c r="E325" i="1"/>
  <c r="J345" i="1"/>
  <c r="L345" i="1" s="1"/>
  <c r="O345" i="1" s="1"/>
  <c r="E345" i="1"/>
  <c r="J363" i="1"/>
  <c r="Q363" i="1" s="1"/>
  <c r="E363" i="1"/>
  <c r="J433" i="1"/>
  <c r="L433" i="1" s="1"/>
  <c r="O433" i="1" s="1"/>
  <c r="E433" i="1"/>
  <c r="J455" i="1"/>
  <c r="L455" i="1" s="1"/>
  <c r="O455" i="1" s="1"/>
  <c r="E455" i="1"/>
  <c r="J467" i="1"/>
  <c r="L467" i="1" s="1"/>
  <c r="O467" i="1" s="1"/>
  <c r="E467" i="1"/>
  <c r="J485" i="1"/>
  <c r="L485" i="1" s="1"/>
  <c r="O485" i="1" s="1"/>
  <c r="E485" i="1"/>
  <c r="J513" i="1"/>
  <c r="L513" i="1" s="1"/>
  <c r="O513" i="1" s="1"/>
  <c r="E513" i="1"/>
  <c r="J529" i="1"/>
  <c r="Q529" i="1" s="1"/>
  <c r="E529" i="1"/>
  <c r="J546" i="1"/>
  <c r="L546" i="1" s="1"/>
  <c r="O546" i="1" s="1"/>
  <c r="E546" i="1"/>
  <c r="J382" i="1"/>
  <c r="L382" i="1" s="1"/>
  <c r="O382" i="1" s="1"/>
  <c r="E382" i="1"/>
  <c r="J198" i="1"/>
  <c r="L198" i="1" s="1"/>
  <c r="O198" i="1" s="1"/>
  <c r="E198" i="1"/>
  <c r="J14" i="1"/>
  <c r="Q14" i="1" s="1"/>
  <c r="E14" i="1"/>
  <c r="J203" i="1"/>
  <c r="L203" i="1" s="1"/>
  <c r="O203" i="1" s="1"/>
  <c r="E203" i="1"/>
  <c r="J207" i="1"/>
  <c r="Q207" i="1" s="1"/>
  <c r="E207" i="1"/>
  <c r="J211" i="1"/>
  <c r="L211" i="1" s="1"/>
  <c r="O211" i="1" s="1"/>
  <c r="E211" i="1"/>
  <c r="J216" i="1"/>
  <c r="Q216" i="1" s="1"/>
  <c r="E216" i="1"/>
  <c r="J223" i="1"/>
  <c r="L223" i="1" s="1"/>
  <c r="O223" i="1" s="1"/>
  <c r="E223" i="1"/>
  <c r="J229" i="1"/>
  <c r="Q229" i="1" s="1"/>
  <c r="E229" i="1"/>
  <c r="E48" i="1"/>
  <c r="J58" i="1"/>
  <c r="L58" i="1" s="1"/>
  <c r="O58" i="1" s="1"/>
  <c r="E58" i="1"/>
  <c r="J68" i="1"/>
  <c r="L68" i="1" s="1"/>
  <c r="O68" i="1" s="1"/>
  <c r="E68" i="1"/>
  <c r="J79" i="1"/>
  <c r="L79" i="1" s="1"/>
  <c r="O79" i="1" s="1"/>
  <c r="E79" i="1"/>
  <c r="J90" i="1"/>
  <c r="L90" i="1" s="1"/>
  <c r="O90" i="1" s="1"/>
  <c r="E90" i="1"/>
  <c r="J102" i="1"/>
  <c r="L102" i="1" s="1"/>
  <c r="O102" i="1" s="1"/>
  <c r="E102" i="1"/>
  <c r="J122" i="1"/>
  <c r="Q122" i="1" s="1"/>
  <c r="E122" i="1"/>
  <c r="J140" i="1"/>
  <c r="L140" i="1" s="1"/>
  <c r="O140" i="1" s="1"/>
  <c r="E140" i="1"/>
  <c r="J149" i="1"/>
  <c r="L149" i="1" s="1"/>
  <c r="O149" i="1" s="1"/>
  <c r="E149" i="1"/>
  <c r="J157" i="1"/>
  <c r="L157" i="1" s="1"/>
  <c r="O157" i="1" s="1"/>
  <c r="E157" i="1"/>
  <c r="J165" i="1"/>
  <c r="L165" i="1" s="1"/>
  <c r="O165" i="1" s="1"/>
  <c r="E165" i="1"/>
  <c r="J174" i="1"/>
  <c r="Q174" i="1" s="1"/>
  <c r="E174" i="1"/>
  <c r="J185" i="1"/>
  <c r="Q185" i="1" s="1"/>
  <c r="E185" i="1"/>
  <c r="J245" i="1"/>
  <c r="Q245" i="1" s="1"/>
  <c r="E245" i="1"/>
  <c r="J255" i="1"/>
  <c r="Q255" i="1" s="1"/>
  <c r="E255" i="1"/>
  <c r="J266" i="1"/>
  <c r="L266" i="1" s="1"/>
  <c r="O266" i="1" s="1"/>
  <c r="E266" i="1"/>
  <c r="J279" i="1"/>
  <c r="Q279" i="1" s="1"/>
  <c r="E279" i="1"/>
  <c r="J292" i="1"/>
  <c r="L292" i="1" s="1"/>
  <c r="O292" i="1" s="1"/>
  <c r="E292" i="1"/>
  <c r="J304" i="1"/>
  <c r="L304" i="1" s="1"/>
  <c r="O304" i="1" s="1"/>
  <c r="E304" i="1"/>
  <c r="J318" i="1"/>
  <c r="L318" i="1" s="1"/>
  <c r="O318" i="1" s="1"/>
  <c r="E318" i="1"/>
  <c r="J347" i="1"/>
  <c r="L347" i="1" s="1"/>
  <c r="O347" i="1" s="1"/>
  <c r="E347" i="1"/>
  <c r="J365" i="1"/>
  <c r="L365" i="1" s="1"/>
  <c r="O365" i="1" s="1"/>
  <c r="E365" i="1"/>
  <c r="J435" i="1"/>
  <c r="L435" i="1" s="1"/>
  <c r="O435" i="1" s="1"/>
  <c r="E435" i="1"/>
  <c r="J456" i="1"/>
  <c r="Q456" i="1" s="1"/>
  <c r="E456" i="1"/>
  <c r="J468" i="1"/>
  <c r="Q468" i="1" s="1"/>
  <c r="E468" i="1"/>
  <c r="J488" i="1"/>
  <c r="L488" i="1" s="1"/>
  <c r="O488" i="1" s="1"/>
  <c r="E488" i="1"/>
  <c r="J516" i="1"/>
  <c r="Q516" i="1" s="1"/>
  <c r="E516" i="1"/>
  <c r="J530" i="1"/>
  <c r="Q530" i="1" s="1"/>
  <c r="E530" i="1"/>
  <c r="J549" i="1"/>
  <c r="Q549" i="1" s="1"/>
  <c r="E549" i="1"/>
  <c r="J5" i="1"/>
  <c r="L5" i="1" s="1"/>
  <c r="O5" i="1" s="1"/>
  <c r="E5" i="1"/>
  <c r="J386" i="1"/>
  <c r="Q386" i="1" s="1"/>
  <c r="E386" i="1"/>
  <c r="J200" i="1"/>
  <c r="Q200" i="1" s="1"/>
  <c r="E200" i="1"/>
  <c r="J16" i="1"/>
  <c r="L16" i="1" s="1"/>
  <c r="O16" i="1" s="1"/>
  <c r="E16" i="1"/>
  <c r="J210" i="1"/>
  <c r="Q210" i="1" s="1"/>
  <c r="E210" i="1"/>
  <c r="J402" i="1"/>
  <c r="Q402" i="1" s="1"/>
  <c r="E402" i="1"/>
  <c r="J221" i="1"/>
  <c r="Q221" i="1" s="1"/>
  <c r="E221" i="1"/>
  <c r="J40" i="1"/>
  <c r="L40" i="1" s="1"/>
  <c r="O40" i="1" s="1"/>
  <c r="E40" i="1"/>
  <c r="J44" i="1"/>
  <c r="L44" i="1" s="1"/>
  <c r="O44" i="1" s="1"/>
  <c r="E44" i="1"/>
  <c r="J234" i="1"/>
  <c r="L234" i="1" s="1"/>
  <c r="O234" i="1" s="1"/>
  <c r="E234" i="1"/>
  <c r="J52" i="1"/>
  <c r="L52" i="1" s="1"/>
  <c r="O52" i="1" s="1"/>
  <c r="E52" i="1"/>
  <c r="J59" i="1"/>
  <c r="Q59" i="1" s="1"/>
  <c r="E59" i="1"/>
  <c r="J64" i="1"/>
  <c r="Q64" i="1" s="1"/>
  <c r="E64" i="1"/>
  <c r="J70" i="1"/>
  <c r="Q70" i="1" s="1"/>
  <c r="E70" i="1"/>
  <c r="J75" i="1"/>
  <c r="Q75" i="1" s="1"/>
  <c r="E75" i="1"/>
  <c r="J80" i="1"/>
  <c r="Q80" i="1" s="1"/>
  <c r="E80" i="1"/>
  <c r="J86" i="1"/>
  <c r="L86" i="1" s="1"/>
  <c r="O86" i="1" s="1"/>
  <c r="E86" i="1"/>
  <c r="J91" i="1"/>
  <c r="Q91" i="1" s="1"/>
  <c r="E91" i="1"/>
  <c r="J98" i="1"/>
  <c r="L98" i="1" s="1"/>
  <c r="O98" i="1" s="1"/>
  <c r="E98" i="1"/>
  <c r="J103" i="1"/>
  <c r="Q103" i="1" s="1"/>
  <c r="E103" i="1"/>
  <c r="J110" i="1"/>
  <c r="Q110" i="1" s="1"/>
  <c r="E110" i="1"/>
  <c r="J117" i="1"/>
  <c r="Q117" i="1" s="1"/>
  <c r="E117" i="1"/>
  <c r="J126" i="1"/>
  <c r="Q126" i="1" s="1"/>
  <c r="E126" i="1"/>
  <c r="J134" i="1"/>
  <c r="Q134" i="1" s="1"/>
  <c r="E134" i="1"/>
  <c r="J141" i="1"/>
  <c r="Q141" i="1" s="1"/>
  <c r="E141" i="1"/>
  <c r="J146" i="1"/>
  <c r="Q146" i="1" s="1"/>
  <c r="E146" i="1"/>
  <c r="J150" i="1"/>
  <c r="L150" i="1" s="1"/>
  <c r="O150" i="1" s="1"/>
  <c r="E150" i="1"/>
  <c r="J154" i="1"/>
  <c r="Q154" i="1" s="1"/>
  <c r="E154" i="1"/>
  <c r="J158" i="1"/>
  <c r="Q158" i="1" s="1"/>
  <c r="E158" i="1"/>
  <c r="J162" i="1"/>
  <c r="Q162" i="1" s="1"/>
  <c r="E162" i="1"/>
  <c r="J166" i="1"/>
  <c r="L166" i="1" s="1"/>
  <c r="O166" i="1" s="1"/>
  <c r="E166" i="1"/>
  <c r="J170" i="1"/>
  <c r="Q170" i="1" s="1"/>
  <c r="E170" i="1"/>
  <c r="J177" i="1"/>
  <c r="L177" i="1" s="1"/>
  <c r="O177" i="1" s="1"/>
  <c r="E177" i="1"/>
  <c r="E181" i="1"/>
  <c r="J186" i="1"/>
  <c r="Q186" i="1" s="1"/>
  <c r="E186" i="1"/>
  <c r="J241" i="1"/>
  <c r="L241" i="1" s="1"/>
  <c r="O241" i="1" s="1"/>
  <c r="E241" i="1"/>
  <c r="J246" i="1"/>
  <c r="Q246" i="1" s="1"/>
  <c r="E246" i="1"/>
  <c r="J251" i="1"/>
  <c r="L251" i="1" s="1"/>
  <c r="O251" i="1" s="1"/>
  <c r="E251" i="1"/>
  <c r="J257" i="1"/>
  <c r="Q257" i="1" s="1"/>
  <c r="E257" i="1"/>
  <c r="J262" i="1"/>
  <c r="L262" i="1" s="1"/>
  <c r="O262" i="1" s="1"/>
  <c r="E262" i="1"/>
  <c r="J269" i="1"/>
  <c r="Q269" i="1" s="1"/>
  <c r="E269" i="1"/>
  <c r="J276" i="1"/>
  <c r="Q276" i="1" s="1"/>
  <c r="E276" i="1"/>
  <c r="J281" i="1"/>
  <c r="L281" i="1" s="1"/>
  <c r="O281" i="1" s="1"/>
  <c r="E281" i="1"/>
  <c r="J287" i="1"/>
  <c r="L287" i="1" s="1"/>
  <c r="O287" i="1" s="1"/>
  <c r="E287" i="1"/>
  <c r="J294" i="1"/>
  <c r="Q294" i="1" s="1"/>
  <c r="E294" i="1"/>
  <c r="J299" i="1"/>
  <c r="L299" i="1" s="1"/>
  <c r="O299" i="1" s="1"/>
  <c r="E299" i="1"/>
  <c r="J306" i="1"/>
  <c r="L306" i="1" s="1"/>
  <c r="O306" i="1" s="1"/>
  <c r="E306" i="1"/>
  <c r="J311" i="1"/>
  <c r="L311" i="1" s="1"/>
  <c r="O311" i="1" s="1"/>
  <c r="E311" i="1"/>
  <c r="J319" i="1"/>
  <c r="Q319" i="1" s="1"/>
  <c r="E319" i="1"/>
  <c r="J331" i="1"/>
  <c r="L331" i="1" s="1"/>
  <c r="O331" i="1" s="1"/>
  <c r="E331" i="1"/>
  <c r="J339" i="1"/>
  <c r="Q339" i="1" s="1"/>
  <c r="E339" i="1"/>
  <c r="J351" i="1"/>
  <c r="L351" i="1" s="1"/>
  <c r="O351" i="1" s="1"/>
  <c r="E351" i="1"/>
  <c r="J358" i="1"/>
  <c r="Q358" i="1" s="1"/>
  <c r="E358" i="1"/>
  <c r="J369" i="1"/>
  <c r="L369" i="1" s="1"/>
  <c r="O369" i="1" s="1"/>
  <c r="E369" i="1"/>
  <c r="J428" i="1"/>
  <c r="Q428" i="1" s="1"/>
  <c r="E428" i="1"/>
  <c r="J437" i="1"/>
  <c r="L437" i="1" s="1"/>
  <c r="O437" i="1" s="1"/>
  <c r="E437" i="1"/>
  <c r="J451" i="1"/>
  <c r="Q451" i="1" s="1"/>
  <c r="E451" i="1"/>
  <c r="J459" i="1"/>
  <c r="L459" i="1" s="1"/>
  <c r="O459" i="1" s="1"/>
  <c r="E459" i="1"/>
  <c r="J464" i="1"/>
  <c r="Q464" i="1" s="1"/>
  <c r="E464" i="1"/>
  <c r="J469" i="1"/>
  <c r="L469" i="1" s="1"/>
  <c r="O469" i="1" s="1"/>
  <c r="E469" i="1"/>
  <c r="J478" i="1"/>
  <c r="Q478" i="1" s="1"/>
  <c r="E478" i="1"/>
  <c r="J489" i="1"/>
  <c r="L489" i="1" s="1"/>
  <c r="O489" i="1" s="1"/>
  <c r="E489" i="1"/>
  <c r="J500" i="1"/>
  <c r="L500" i="1" s="1"/>
  <c r="O500" i="1" s="1"/>
  <c r="E500" i="1"/>
  <c r="J517" i="1"/>
  <c r="L517" i="1" s="1"/>
  <c r="O517" i="1" s="1"/>
  <c r="E517" i="1"/>
  <c r="J525" i="1"/>
  <c r="L525" i="1" s="1"/>
  <c r="O525" i="1" s="1"/>
  <c r="E525" i="1"/>
  <c r="J534" i="1"/>
  <c r="Q534" i="1" s="1"/>
  <c r="E534" i="1"/>
  <c r="J540" i="1"/>
  <c r="Q540" i="1" s="1"/>
  <c r="E540" i="1"/>
  <c r="J552" i="1"/>
  <c r="L552" i="1" s="1"/>
  <c r="O552" i="1" s="1"/>
  <c r="E552" i="1"/>
  <c r="J564" i="1"/>
  <c r="Q564" i="1" s="1"/>
  <c r="E564" i="1"/>
  <c r="J193" i="1"/>
  <c r="L193" i="1" s="1"/>
  <c r="O193" i="1" s="1"/>
  <c r="E193" i="1"/>
  <c r="J195" i="1"/>
  <c r="Q195" i="1" s="1"/>
  <c r="E195" i="1"/>
  <c r="J197" i="1"/>
  <c r="L197" i="1" s="1"/>
  <c r="O197" i="1" s="1"/>
  <c r="E197" i="1"/>
  <c r="J11" i="1"/>
  <c r="L11" i="1" s="1"/>
  <c r="O11" i="1" s="1"/>
  <c r="E11" i="1"/>
  <c r="J13" i="1"/>
  <c r="Q13" i="1" s="1"/>
  <c r="E13" i="1"/>
  <c r="J390" i="1"/>
  <c r="Q390" i="1" s="1"/>
  <c r="E390" i="1"/>
  <c r="J204" i="1"/>
  <c r="L204" i="1" s="1"/>
  <c r="O204" i="1" s="1"/>
  <c r="E204" i="1"/>
  <c r="J394" i="1"/>
  <c r="L394" i="1" s="1"/>
  <c r="O394" i="1" s="1"/>
  <c r="E394" i="1"/>
  <c r="J208" i="1"/>
  <c r="L208" i="1" s="1"/>
  <c r="O208" i="1" s="1"/>
  <c r="E208" i="1"/>
  <c r="J398" i="1"/>
  <c r="L398" i="1" s="1"/>
  <c r="O398" i="1" s="1"/>
  <c r="E398" i="1"/>
  <c r="J212" i="1"/>
  <c r="L212" i="1" s="1"/>
  <c r="O212" i="1" s="1"/>
  <c r="E212" i="1"/>
  <c r="J27" i="1"/>
  <c r="Q27" i="1" s="1"/>
  <c r="E27" i="1"/>
  <c r="J218" i="1"/>
  <c r="Q218" i="1" s="1"/>
  <c r="E218" i="1"/>
  <c r="J222" i="1"/>
  <c r="Q222" i="1" s="1"/>
  <c r="E222" i="1"/>
  <c r="J225" i="1"/>
  <c r="L225" i="1" s="1"/>
  <c r="O225" i="1" s="1"/>
  <c r="E225" i="1"/>
  <c r="J41" i="1"/>
  <c r="Q41" i="1" s="1"/>
  <c r="E41" i="1"/>
  <c r="J230" i="1"/>
  <c r="L230" i="1" s="1"/>
  <c r="O230" i="1" s="1"/>
  <c r="E230" i="1"/>
  <c r="J45" i="1"/>
  <c r="L45" i="1" s="1"/>
  <c r="O45" i="1" s="1"/>
  <c r="E45" i="1"/>
  <c r="J47" i="1"/>
  <c r="Q47" i="1" s="1"/>
  <c r="E47" i="1"/>
  <c r="E238" i="1"/>
  <c r="J56" i="1"/>
  <c r="Q56" i="1" s="1"/>
  <c r="E56" i="1"/>
  <c r="J67" i="1"/>
  <c r="L67" i="1" s="1"/>
  <c r="O67" i="1" s="1"/>
  <c r="E67" i="1"/>
  <c r="J78" i="1"/>
  <c r="L78" i="1" s="1"/>
  <c r="O78" i="1" s="1"/>
  <c r="E78" i="1"/>
  <c r="J88" i="1"/>
  <c r="Q88" i="1" s="1"/>
  <c r="E88" i="1"/>
  <c r="J101" i="1"/>
  <c r="L101" i="1" s="1"/>
  <c r="O101" i="1" s="1"/>
  <c r="E101" i="1"/>
  <c r="J114" i="1"/>
  <c r="Q114" i="1" s="1"/>
  <c r="E114" i="1"/>
  <c r="J131" i="1"/>
  <c r="L131" i="1" s="1"/>
  <c r="O131" i="1" s="1"/>
  <c r="E131" i="1"/>
  <c r="J144" i="1"/>
  <c r="L144" i="1" s="1"/>
  <c r="O144" i="1" s="1"/>
  <c r="E144" i="1"/>
  <c r="J152" i="1"/>
  <c r="Q152" i="1" s="1"/>
  <c r="E152" i="1"/>
  <c r="J160" i="1"/>
  <c r="Q160" i="1" s="1"/>
  <c r="E160" i="1"/>
  <c r="J168" i="1"/>
  <c r="Q168" i="1" s="1"/>
  <c r="E168" i="1"/>
  <c r="J179" i="1"/>
  <c r="Q179" i="1" s="1"/>
  <c r="E179" i="1"/>
  <c r="J191" i="1"/>
  <c r="L191" i="1" s="1"/>
  <c r="O191" i="1" s="1"/>
  <c r="E191" i="1"/>
  <c r="J249" i="1"/>
  <c r="Q249" i="1" s="1"/>
  <c r="E249" i="1"/>
  <c r="J254" i="1"/>
  <c r="Q254" i="1" s="1"/>
  <c r="E254" i="1"/>
  <c r="J265" i="1"/>
  <c r="L265" i="1" s="1"/>
  <c r="O265" i="1" s="1"/>
  <c r="E265" i="1"/>
  <c r="J278" i="1"/>
  <c r="L278" i="1" s="1"/>
  <c r="O278" i="1" s="1"/>
  <c r="E278" i="1"/>
  <c r="J291" i="1"/>
  <c r="Q291" i="1" s="1"/>
  <c r="E291" i="1"/>
  <c r="J303" i="1"/>
  <c r="L303" i="1" s="1"/>
  <c r="O303" i="1" s="1"/>
  <c r="E303" i="1"/>
  <c r="J315" i="1"/>
  <c r="Q315" i="1" s="1"/>
  <c r="E315" i="1"/>
  <c r="J335" i="1"/>
  <c r="L335" i="1" s="1"/>
  <c r="O335" i="1" s="1"/>
  <c r="E335" i="1"/>
  <c r="J355" i="1"/>
  <c r="Q355" i="1" s="1"/>
  <c r="E355" i="1"/>
  <c r="J374" i="1"/>
  <c r="L374" i="1" s="1"/>
  <c r="O374" i="1" s="1"/>
  <c r="E374" i="1"/>
  <c r="J445" i="1"/>
  <c r="Q445" i="1" s="1"/>
  <c r="E445" i="1"/>
  <c r="J462" i="1"/>
  <c r="L462" i="1" s="1"/>
  <c r="O462" i="1" s="1"/>
  <c r="E462" i="1"/>
  <c r="J475" i="1"/>
  <c r="Q475" i="1" s="1"/>
  <c r="E475" i="1"/>
  <c r="J496" i="1"/>
  <c r="L496" i="1" s="1"/>
  <c r="O496" i="1" s="1"/>
  <c r="E496" i="1"/>
  <c r="J519" i="1"/>
  <c r="L519" i="1" s="1"/>
  <c r="O519" i="1" s="1"/>
  <c r="E519" i="1"/>
  <c r="J538" i="1"/>
  <c r="L538" i="1" s="1"/>
  <c r="O538" i="1" s="1"/>
  <c r="E538" i="1"/>
  <c r="J555" i="1"/>
  <c r="L555" i="1" s="1"/>
  <c r="O555" i="1" s="1"/>
  <c r="E555" i="1"/>
  <c r="J192" i="1"/>
  <c r="L192" i="1" s="1"/>
  <c r="O192" i="1" s="1"/>
  <c r="E192" i="1"/>
  <c r="J196" i="1"/>
  <c r="Q196" i="1" s="1"/>
  <c r="E196" i="1"/>
  <c r="J12" i="1"/>
  <c r="Q12" i="1" s="1"/>
  <c r="E12" i="1"/>
  <c r="J18" i="1"/>
  <c r="Q18" i="1" s="1"/>
  <c r="E18" i="1"/>
  <c r="J22" i="1"/>
  <c r="Q22" i="1" s="1"/>
  <c r="E22" i="1"/>
  <c r="J214" i="1"/>
  <c r="Q214" i="1" s="1"/>
  <c r="E214" i="1"/>
  <c r="E220" i="1"/>
  <c r="J227" i="1"/>
  <c r="Q227" i="1" s="1"/>
  <c r="E227" i="1"/>
  <c r="J231" i="1"/>
  <c r="L231" i="1" s="1"/>
  <c r="O231" i="1" s="1"/>
  <c r="E231" i="1"/>
  <c r="J46" i="1"/>
  <c r="Q46" i="1" s="1"/>
  <c r="E46" i="1"/>
  <c r="J51" i="1"/>
  <c r="Q51" i="1" s="1"/>
  <c r="E51" i="1"/>
  <c r="J63" i="1"/>
  <c r="Q63" i="1" s="1"/>
  <c r="E63" i="1"/>
  <c r="J74" i="1"/>
  <c r="Q74" i="1" s="1"/>
  <c r="E74" i="1"/>
  <c r="J84" i="1"/>
  <c r="L84" i="1" s="1"/>
  <c r="O84" i="1" s="1"/>
  <c r="E84" i="1"/>
  <c r="J95" i="1"/>
  <c r="L95" i="1" s="1"/>
  <c r="O95" i="1" s="1"/>
  <c r="E95" i="1"/>
  <c r="J109" i="1"/>
  <c r="L109" i="1" s="1"/>
  <c r="O109" i="1" s="1"/>
  <c r="E109" i="1"/>
  <c r="J115" i="1"/>
  <c r="Q115" i="1" s="1"/>
  <c r="E115" i="1"/>
  <c r="J133" i="1"/>
  <c r="Q133" i="1" s="1"/>
  <c r="E133" i="1"/>
  <c r="J145" i="1"/>
  <c r="Q145" i="1" s="1"/>
  <c r="E145" i="1"/>
  <c r="J153" i="1"/>
  <c r="L153" i="1" s="1"/>
  <c r="O153" i="1" s="1"/>
  <c r="E153" i="1"/>
  <c r="J161" i="1"/>
  <c r="L161" i="1" s="1"/>
  <c r="O161" i="1" s="1"/>
  <c r="E161" i="1"/>
  <c r="J169" i="1"/>
  <c r="Q169" i="1" s="1"/>
  <c r="E169" i="1"/>
  <c r="J180" i="1"/>
  <c r="Q180" i="1" s="1"/>
  <c r="E180" i="1"/>
  <c r="J226" i="1"/>
  <c r="L226" i="1" s="1"/>
  <c r="O226" i="1" s="1"/>
  <c r="E226" i="1"/>
  <c r="J250" i="1"/>
  <c r="Q250" i="1" s="1"/>
  <c r="E250" i="1"/>
  <c r="J261" i="1"/>
  <c r="Q261" i="1" s="1"/>
  <c r="E261" i="1"/>
  <c r="J274" i="1"/>
  <c r="L274" i="1" s="1"/>
  <c r="O274" i="1" s="1"/>
  <c r="E274" i="1"/>
  <c r="J286" i="1"/>
  <c r="Q286" i="1" s="1"/>
  <c r="E286" i="1"/>
  <c r="J297" i="1"/>
  <c r="Q297" i="1" s="1"/>
  <c r="E297" i="1"/>
  <c r="J310" i="1"/>
  <c r="Q310" i="1" s="1"/>
  <c r="E310" i="1"/>
  <c r="J327" i="1"/>
  <c r="Q327" i="1" s="1"/>
  <c r="E327" i="1"/>
  <c r="J338" i="1"/>
  <c r="L338" i="1" s="1"/>
  <c r="O338" i="1" s="1"/>
  <c r="E338" i="1"/>
  <c r="J356" i="1"/>
  <c r="L356" i="1" s="1"/>
  <c r="O356" i="1" s="1"/>
  <c r="E356" i="1"/>
  <c r="J378" i="1"/>
  <c r="Q378" i="1" s="1"/>
  <c r="E378" i="1"/>
  <c r="J449" i="1"/>
  <c r="L449" i="1" s="1"/>
  <c r="O449" i="1" s="1"/>
  <c r="E449" i="1"/>
  <c r="J463" i="1"/>
  <c r="L463" i="1" s="1"/>
  <c r="O463" i="1" s="1"/>
  <c r="E463" i="1"/>
  <c r="J476" i="1"/>
  <c r="L476" i="1" s="1"/>
  <c r="O476" i="1" s="1"/>
  <c r="E476" i="1"/>
  <c r="J498" i="1"/>
  <c r="Q498" i="1" s="1"/>
  <c r="E498" i="1"/>
  <c r="J521" i="1"/>
  <c r="L521" i="1" s="1"/>
  <c r="O521" i="1" s="1"/>
  <c r="E521" i="1"/>
  <c r="J539" i="1"/>
  <c r="Q539" i="1" s="1"/>
  <c r="E539" i="1"/>
  <c r="J563" i="1"/>
  <c r="L563" i="1" s="1"/>
  <c r="O563" i="1" s="1"/>
  <c r="E563" i="1"/>
  <c r="J7" i="1"/>
  <c r="Q7" i="1" s="1"/>
  <c r="E7" i="1"/>
  <c r="J9" i="1"/>
  <c r="Q9" i="1" s="1"/>
  <c r="E9" i="1"/>
  <c r="J202" i="1"/>
  <c r="Q202" i="1" s="1"/>
  <c r="E202" i="1"/>
  <c r="J206" i="1"/>
  <c r="Q206" i="1" s="1"/>
  <c r="E206" i="1"/>
  <c r="J20" i="1"/>
  <c r="L20" i="1" s="1"/>
  <c r="O20" i="1" s="1"/>
  <c r="E20" i="1"/>
  <c r="E24" i="1"/>
  <c r="J217" i="1"/>
  <c r="Q217" i="1" s="1"/>
  <c r="E217" i="1"/>
  <c r="J224" i="1"/>
  <c r="Q224" i="1" s="1"/>
  <c r="E224" i="1"/>
  <c r="J42" i="1"/>
  <c r="L42" i="1" s="1"/>
  <c r="O42" i="1" s="1"/>
  <c r="E42" i="1"/>
  <c r="J237" i="1"/>
  <c r="L237" i="1" s="1"/>
  <c r="O237" i="1" s="1"/>
  <c r="E237" i="1"/>
  <c r="J55" i="1"/>
  <c r="L55" i="1" s="1"/>
  <c r="O55" i="1" s="1"/>
  <c r="E55" i="1"/>
  <c r="J60" i="1"/>
  <c r="L60" i="1" s="1"/>
  <c r="O60" i="1" s="1"/>
  <c r="E60" i="1"/>
  <c r="J66" i="1"/>
  <c r="Q66" i="1" s="1"/>
  <c r="E66" i="1"/>
  <c r="J71" i="1"/>
  <c r="L71" i="1" s="1"/>
  <c r="O71" i="1" s="1"/>
  <c r="E71" i="1"/>
  <c r="J76" i="1"/>
  <c r="Q76" i="1" s="1"/>
  <c r="E76" i="1"/>
  <c r="J82" i="1"/>
  <c r="Q82" i="1" s="1"/>
  <c r="E82" i="1"/>
  <c r="J87" i="1"/>
  <c r="L87" i="1" s="1"/>
  <c r="O87" i="1" s="1"/>
  <c r="E87" i="1"/>
  <c r="J92" i="1"/>
  <c r="Q92" i="1" s="1"/>
  <c r="E92" i="1"/>
  <c r="J99" i="1"/>
  <c r="L99" i="1" s="1"/>
  <c r="O99" i="1" s="1"/>
  <c r="E99" i="1"/>
  <c r="J106" i="1"/>
  <c r="Q106" i="1" s="1"/>
  <c r="E106" i="1"/>
  <c r="J111" i="1"/>
  <c r="Q111" i="1" s="1"/>
  <c r="E111" i="1"/>
  <c r="J118" i="1"/>
  <c r="L118" i="1" s="1"/>
  <c r="O118" i="1" s="1"/>
  <c r="E118" i="1"/>
  <c r="J130" i="1"/>
  <c r="Q130" i="1" s="1"/>
  <c r="E130" i="1"/>
  <c r="J135" i="1"/>
  <c r="L135" i="1" s="1"/>
  <c r="O135" i="1" s="1"/>
  <c r="E135" i="1"/>
  <c r="J142" i="1"/>
  <c r="L142" i="1" s="1"/>
  <c r="O142" i="1" s="1"/>
  <c r="E142" i="1"/>
  <c r="J147" i="1"/>
  <c r="L147" i="1" s="1"/>
  <c r="O147" i="1" s="1"/>
  <c r="E147" i="1"/>
  <c r="J151" i="1"/>
  <c r="L151" i="1" s="1"/>
  <c r="O151" i="1" s="1"/>
  <c r="E151" i="1"/>
  <c r="J155" i="1"/>
  <c r="Q155" i="1" s="1"/>
  <c r="E155" i="1"/>
  <c r="J159" i="1"/>
  <c r="L159" i="1" s="1"/>
  <c r="O159" i="1" s="1"/>
  <c r="E159" i="1"/>
  <c r="J163" i="1"/>
  <c r="Q163" i="1" s="1"/>
  <c r="E163" i="1"/>
  <c r="J167" i="1"/>
  <c r="L167" i="1" s="1"/>
  <c r="O167" i="1" s="1"/>
  <c r="E167" i="1"/>
  <c r="J172" i="1"/>
  <c r="Q172" i="1" s="1"/>
  <c r="E172" i="1"/>
  <c r="J178" i="1"/>
  <c r="Q178" i="1" s="1"/>
  <c r="E178" i="1"/>
  <c r="J183" i="1"/>
  <c r="L183" i="1" s="1"/>
  <c r="O183" i="1" s="1"/>
  <c r="E183" i="1"/>
  <c r="J190" i="1"/>
  <c r="Q190" i="1" s="1"/>
  <c r="E190" i="1"/>
  <c r="J242" i="1"/>
  <c r="Q242" i="1" s="1"/>
  <c r="E242" i="1"/>
  <c r="J247" i="1"/>
  <c r="Q247" i="1" s="1"/>
  <c r="E247" i="1"/>
  <c r="J253" i="1"/>
  <c r="Q253" i="1" s="1"/>
  <c r="E253" i="1"/>
  <c r="J258" i="1"/>
  <c r="Q258" i="1" s="1"/>
  <c r="E258" i="1"/>
  <c r="J263" i="1"/>
  <c r="Q263" i="1" s="1"/>
  <c r="E263" i="1"/>
  <c r="J270" i="1"/>
  <c r="L270" i="1" s="1"/>
  <c r="O270" i="1" s="1"/>
  <c r="E270" i="1"/>
  <c r="J277" i="1"/>
  <c r="L277" i="1" s="1"/>
  <c r="O277" i="1" s="1"/>
  <c r="E277" i="1"/>
  <c r="J282" i="1"/>
  <c r="L282" i="1" s="1"/>
  <c r="O282" i="1" s="1"/>
  <c r="E282" i="1"/>
  <c r="J290" i="1"/>
  <c r="Q290" i="1" s="1"/>
  <c r="E290" i="1"/>
  <c r="J295" i="1"/>
  <c r="Q295" i="1" s="1"/>
  <c r="E295" i="1"/>
  <c r="J300" i="1"/>
  <c r="L300" i="1" s="1"/>
  <c r="O300" i="1" s="1"/>
  <c r="E300" i="1"/>
  <c r="J307" i="1"/>
  <c r="L307" i="1" s="1"/>
  <c r="O307" i="1" s="1"/>
  <c r="E307" i="1"/>
  <c r="J314" i="1"/>
  <c r="L314" i="1" s="1"/>
  <c r="O314" i="1" s="1"/>
  <c r="E314" i="1"/>
  <c r="J323" i="1"/>
  <c r="L323" i="1" s="1"/>
  <c r="O323" i="1" s="1"/>
  <c r="E323" i="1"/>
  <c r="J334" i="1"/>
  <c r="L334" i="1" s="1"/>
  <c r="O334" i="1" s="1"/>
  <c r="E334" i="1"/>
  <c r="J343" i="1"/>
  <c r="L343" i="1" s="1"/>
  <c r="O343" i="1" s="1"/>
  <c r="E343" i="1"/>
  <c r="J354" i="1"/>
  <c r="Q354" i="1" s="1"/>
  <c r="E354" i="1"/>
  <c r="J359" i="1"/>
  <c r="Q359" i="1" s="1"/>
  <c r="E359" i="1"/>
  <c r="J373" i="1"/>
  <c r="L373" i="1" s="1"/>
  <c r="O373" i="1" s="1"/>
  <c r="E373" i="1"/>
  <c r="J429" i="1"/>
  <c r="Q429" i="1" s="1"/>
  <c r="E429" i="1"/>
  <c r="J440" i="1"/>
  <c r="L440" i="1" s="1"/>
  <c r="O440" i="1" s="1"/>
  <c r="E440" i="1"/>
  <c r="J454" i="1"/>
  <c r="Q454" i="1" s="1"/>
  <c r="E454" i="1"/>
  <c r="J461" i="1"/>
  <c r="L461" i="1" s="1"/>
  <c r="O461" i="1" s="1"/>
  <c r="E461" i="1"/>
  <c r="J466" i="1"/>
  <c r="Q466" i="1" s="1"/>
  <c r="E466" i="1"/>
  <c r="J472" i="1"/>
  <c r="L472" i="1" s="1"/>
  <c r="O472" i="1" s="1"/>
  <c r="E472" i="1"/>
  <c r="J479" i="1"/>
  <c r="Q479" i="1" s="1"/>
  <c r="E479" i="1"/>
  <c r="J492" i="1"/>
  <c r="Q492" i="1" s="1"/>
  <c r="E492" i="1"/>
  <c r="J503" i="1"/>
  <c r="Q503" i="1" s="1"/>
  <c r="E503" i="1"/>
  <c r="J518" i="1"/>
  <c r="L518" i="1" s="1"/>
  <c r="O518" i="1" s="1"/>
  <c r="E518" i="1"/>
  <c r="J527" i="1"/>
  <c r="L527" i="1" s="1"/>
  <c r="O527" i="1" s="1"/>
  <c r="E527" i="1"/>
  <c r="J535" i="1"/>
  <c r="Q535" i="1" s="1"/>
  <c r="E535" i="1"/>
  <c r="J543" i="1"/>
  <c r="Q543" i="1" s="1"/>
  <c r="E543" i="1"/>
  <c r="J554" i="1"/>
  <c r="L554" i="1" s="1"/>
  <c r="O554" i="1" s="1"/>
  <c r="E554" i="1"/>
  <c r="J567" i="1"/>
  <c r="L567" i="1" s="1"/>
  <c r="O567" i="1" s="1"/>
  <c r="E567" i="1"/>
  <c r="J194" i="1"/>
  <c r="Q194" i="1" s="1"/>
  <c r="E194" i="1"/>
  <c r="J8" i="1"/>
  <c r="Q8" i="1" s="1"/>
  <c r="E8" i="1"/>
  <c r="J10" i="1"/>
  <c r="Q10" i="1" s="1"/>
  <c r="E10" i="1"/>
  <c r="J199" i="1"/>
  <c r="L199" i="1" s="1"/>
  <c r="O199" i="1" s="1"/>
  <c r="E199" i="1"/>
  <c r="J201" i="1"/>
  <c r="Q201" i="1" s="1"/>
  <c r="E201" i="1"/>
  <c r="J15" i="1"/>
  <c r="Q15" i="1" s="1"/>
  <c r="E15" i="1"/>
  <c r="J205" i="1"/>
  <c r="Q205" i="1" s="1"/>
  <c r="E205" i="1"/>
  <c r="J19" i="1"/>
  <c r="L19" i="1" s="1"/>
  <c r="O19" i="1" s="1"/>
  <c r="E19" i="1"/>
  <c r="J209" i="1"/>
  <c r="Q209" i="1" s="1"/>
  <c r="E209" i="1"/>
  <c r="J23" i="1"/>
  <c r="L23" i="1" s="1"/>
  <c r="O23" i="1" s="1"/>
  <c r="E23" i="1"/>
  <c r="J213" i="1"/>
  <c r="L213" i="1" s="1"/>
  <c r="O213" i="1" s="1"/>
  <c r="E213" i="1"/>
  <c r="J215" i="1"/>
  <c r="Q215" i="1" s="1"/>
  <c r="E215" i="1"/>
  <c r="J219" i="1"/>
  <c r="Q219" i="1" s="1"/>
  <c r="E219" i="1"/>
  <c r="J410" i="1"/>
  <c r="L410" i="1" s="1"/>
  <c r="O410" i="1" s="1"/>
  <c r="E410" i="1"/>
  <c r="J414" i="1"/>
  <c r="Q414" i="1" s="1"/>
  <c r="E414" i="1"/>
  <c r="J182" i="1"/>
  <c r="Q182" i="1" s="1"/>
  <c r="E182" i="1"/>
  <c r="J418" i="1"/>
  <c r="L418" i="1" s="1"/>
  <c r="O418" i="1" s="1"/>
  <c r="E418" i="1"/>
  <c r="J233" i="1"/>
  <c r="Q233" i="1" s="1"/>
  <c r="E233" i="1"/>
  <c r="J235" i="1"/>
  <c r="Q235" i="1" s="1"/>
  <c r="E235" i="1"/>
  <c r="J426" i="1"/>
  <c r="Q426" i="1" s="1"/>
  <c r="E426" i="1"/>
  <c r="Q5" i="1" l="1"/>
  <c r="L259" i="1"/>
  <c r="O259" i="1" s="1"/>
  <c r="Q62" i="1"/>
  <c r="L14" i="1"/>
  <c r="O14" i="1" s="1"/>
  <c r="L363" i="1"/>
  <c r="O363" i="1" s="1"/>
  <c r="L216" i="1"/>
  <c r="O216" i="1" s="1"/>
  <c r="Q173" i="1"/>
  <c r="L156" i="1"/>
  <c r="O156" i="1" s="1"/>
  <c r="L296" i="1"/>
  <c r="O296" i="1" s="1"/>
  <c r="Q382" i="1"/>
  <c r="L164" i="1"/>
  <c r="O164" i="1" s="1"/>
  <c r="Q485" i="1"/>
  <c r="Q102" i="1"/>
  <c r="Q58" i="1"/>
  <c r="Q140" i="1"/>
  <c r="L207" i="1"/>
  <c r="O207" i="1" s="1"/>
  <c r="Q157" i="1"/>
  <c r="Q79" i="1"/>
  <c r="L138" i="1"/>
  <c r="O138" i="1" s="1"/>
  <c r="Q292" i="1"/>
  <c r="Q455" i="1"/>
  <c r="Q273" i="1"/>
  <c r="Q243" i="1"/>
  <c r="L107" i="1"/>
  <c r="O107" i="1" s="1"/>
  <c r="L229" i="1"/>
  <c r="O229" i="1" s="1"/>
  <c r="L174" i="1"/>
  <c r="O174" i="1" s="1"/>
  <c r="L83" i="1"/>
  <c r="O83" i="1" s="1"/>
  <c r="L529" i="1"/>
  <c r="O529" i="1" s="1"/>
  <c r="Q325" i="1"/>
  <c r="Q266" i="1"/>
  <c r="Q98" i="1"/>
  <c r="L200" i="1"/>
  <c r="O200" i="1" s="1"/>
  <c r="Q52" i="1"/>
  <c r="L456" i="1"/>
  <c r="O456" i="1" s="1"/>
  <c r="L245" i="1"/>
  <c r="O245" i="1" s="1"/>
  <c r="Q150" i="1"/>
  <c r="Q44" i="1"/>
  <c r="Q203" i="1"/>
  <c r="Q90" i="1"/>
  <c r="Q184" i="1"/>
  <c r="L516" i="1"/>
  <c r="O516" i="1" s="1"/>
  <c r="Q345" i="1"/>
  <c r="Q433" i="1"/>
  <c r="Q223" i="1"/>
  <c r="Q283" i="1"/>
  <c r="Q467" i="1"/>
  <c r="Q513" i="1"/>
  <c r="Q309" i="1"/>
  <c r="L75" i="1"/>
  <c r="O75" i="1" s="1"/>
  <c r="Q281" i="1"/>
  <c r="Q149" i="1"/>
  <c r="L120" i="1"/>
  <c r="O120" i="1" s="1"/>
  <c r="Q211" i="1"/>
  <c r="Q546" i="1"/>
  <c r="Q435" i="1"/>
  <c r="L117" i="1"/>
  <c r="O117" i="1" s="1"/>
  <c r="Q213" i="1"/>
  <c r="L291" i="1"/>
  <c r="O291" i="1" s="1"/>
  <c r="L549" i="1"/>
  <c r="O549" i="1" s="1"/>
  <c r="Q347" i="1"/>
  <c r="L64" i="1"/>
  <c r="O64" i="1" s="1"/>
  <c r="L186" i="1"/>
  <c r="O186" i="1" s="1"/>
  <c r="L126" i="1"/>
  <c r="O126" i="1" s="1"/>
  <c r="Q488" i="1"/>
  <c r="Q318" i="1"/>
  <c r="L221" i="1"/>
  <c r="O221" i="1" s="1"/>
  <c r="Q86" i="1"/>
  <c r="L141" i="1"/>
  <c r="O141" i="1" s="1"/>
  <c r="L158" i="1"/>
  <c r="O158" i="1" s="1"/>
  <c r="L210" i="1"/>
  <c r="O210" i="1" s="1"/>
  <c r="L246" i="1"/>
  <c r="O246" i="1" s="1"/>
  <c r="L110" i="1"/>
  <c r="O110" i="1" s="1"/>
  <c r="Q365" i="1"/>
  <c r="L249" i="1"/>
  <c r="O249" i="1" s="1"/>
  <c r="L70" i="1"/>
  <c r="O70" i="1" s="1"/>
  <c r="L530" i="1"/>
  <c r="O530" i="1" s="1"/>
  <c r="Q95" i="1"/>
  <c r="Q166" i="1"/>
  <c r="L66" i="1"/>
  <c r="O66" i="1" s="1"/>
  <c r="Q142" i="1"/>
  <c r="L168" i="1"/>
  <c r="O168" i="1" s="1"/>
  <c r="L195" i="1"/>
  <c r="O195" i="1" s="1"/>
  <c r="Q177" i="1"/>
  <c r="Q147" i="1"/>
  <c r="L170" i="1"/>
  <c r="O170" i="1" s="1"/>
  <c r="L80" i="1"/>
  <c r="O80" i="1" s="1"/>
  <c r="Q40" i="1"/>
  <c r="L540" i="1"/>
  <c r="O540" i="1" s="1"/>
  <c r="L217" i="1"/>
  <c r="O217" i="1" s="1"/>
  <c r="Q144" i="1"/>
  <c r="L202" i="1"/>
  <c r="O202" i="1" s="1"/>
  <c r="Q500" i="1"/>
  <c r="L41" i="1"/>
  <c r="O41" i="1" s="1"/>
  <c r="L162" i="1"/>
  <c r="O162" i="1" s="1"/>
  <c r="L196" i="1"/>
  <c r="O196" i="1" s="1"/>
  <c r="L428" i="1"/>
  <c r="O428" i="1" s="1"/>
  <c r="L503" i="1"/>
  <c r="O503" i="1" s="1"/>
  <c r="Q191" i="1"/>
  <c r="L27" i="1"/>
  <c r="O27" i="1" s="1"/>
  <c r="L205" i="1"/>
  <c r="O205" i="1" s="1"/>
  <c r="L18" i="1"/>
  <c r="O18" i="1" s="1"/>
  <c r="L146" i="1"/>
  <c r="O146" i="1" s="1"/>
  <c r="Q193" i="1"/>
  <c r="Q398" i="1"/>
  <c r="Q306" i="1"/>
  <c r="Q109" i="1"/>
  <c r="L114" i="1"/>
  <c r="O114" i="1" s="1"/>
  <c r="L46" i="1"/>
  <c r="O46" i="1" s="1"/>
  <c r="L8" i="1"/>
  <c r="O8" i="1" s="1"/>
  <c r="L464" i="1"/>
  <c r="O464" i="1" s="1"/>
  <c r="L386" i="1"/>
  <c r="O386" i="1" s="1"/>
  <c r="Q167" i="1"/>
  <c r="L209" i="1"/>
  <c r="O209" i="1" s="1"/>
  <c r="L172" i="1"/>
  <c r="O172" i="1" s="1"/>
  <c r="Q78" i="1"/>
  <c r="L76" i="1"/>
  <c r="O76" i="1" s="1"/>
  <c r="Q225" i="1"/>
  <c r="Q23" i="1"/>
  <c r="L214" i="1"/>
  <c r="O214" i="1" s="1"/>
  <c r="L206" i="1"/>
  <c r="O206" i="1" s="1"/>
  <c r="L295" i="1"/>
  <c r="O295" i="1" s="1"/>
  <c r="Q525" i="1"/>
  <c r="L358" i="1"/>
  <c r="O358" i="1" s="1"/>
  <c r="L257" i="1"/>
  <c r="O257" i="1" s="1"/>
  <c r="L468" i="1"/>
  <c r="O468" i="1" s="1"/>
  <c r="L250" i="1"/>
  <c r="O250" i="1" s="1"/>
  <c r="Q265" i="1"/>
  <c r="L145" i="1"/>
  <c r="O145" i="1" s="1"/>
  <c r="Q226" i="1"/>
  <c r="L160" i="1"/>
  <c r="O160" i="1" s="1"/>
  <c r="Q118" i="1"/>
  <c r="Q87" i="1"/>
  <c r="L63" i="1"/>
  <c r="O63" i="1" s="1"/>
  <c r="L227" i="1"/>
  <c r="O227" i="1" s="1"/>
  <c r="Q11" i="1"/>
  <c r="L194" i="1"/>
  <c r="O194" i="1" s="1"/>
  <c r="L169" i="1"/>
  <c r="O169" i="1" s="1"/>
  <c r="L133" i="1"/>
  <c r="O133" i="1" s="1"/>
  <c r="Q241" i="1"/>
  <c r="L179" i="1"/>
  <c r="O179" i="1" s="1"/>
  <c r="L91" i="1"/>
  <c r="O91" i="1" s="1"/>
  <c r="Q45" i="1"/>
  <c r="L222" i="1"/>
  <c r="O222" i="1" s="1"/>
  <c r="L15" i="1"/>
  <c r="O15" i="1" s="1"/>
  <c r="Q343" i="1"/>
  <c r="L564" i="1"/>
  <c r="O564" i="1" s="1"/>
  <c r="L339" i="1"/>
  <c r="O339" i="1" s="1"/>
  <c r="L269" i="1"/>
  <c r="O269" i="1" s="1"/>
  <c r="Q148" i="1"/>
  <c r="Q101" i="1"/>
  <c r="L7" i="1"/>
  <c r="O7" i="1" s="1"/>
  <c r="L180" i="1"/>
  <c r="O180" i="1" s="1"/>
  <c r="Q183" i="1"/>
  <c r="Q165" i="1"/>
  <c r="Q84" i="1"/>
  <c r="Q68" i="1"/>
  <c r="Q55" i="1"/>
  <c r="L22" i="1"/>
  <c r="O22" i="1" s="1"/>
  <c r="L94" i="1"/>
  <c r="O94" i="1" s="1"/>
  <c r="Q234" i="1"/>
  <c r="Q198" i="1"/>
  <c r="Q67" i="1"/>
  <c r="Q410" i="1"/>
  <c r="L390" i="1"/>
  <c r="O390" i="1" s="1"/>
  <c r="L451" i="1"/>
  <c r="O451" i="1" s="1"/>
  <c r="L319" i="1"/>
  <c r="O319" i="1" s="1"/>
  <c r="L498" i="1"/>
  <c r="O498" i="1" s="1"/>
  <c r="L378" i="1"/>
  <c r="O378" i="1" s="1"/>
  <c r="Q338" i="1"/>
  <c r="Q519" i="1"/>
  <c r="Q159" i="1"/>
  <c r="L9" i="1"/>
  <c r="O9" i="1" s="1"/>
  <c r="L178" i="1"/>
  <c r="O178" i="1" s="1"/>
  <c r="Q151" i="1"/>
  <c r="Q20" i="1"/>
  <c r="L466" i="1"/>
  <c r="O466" i="1" s="1"/>
  <c r="Q270" i="1"/>
  <c r="L475" i="1"/>
  <c r="O475" i="1" s="1"/>
  <c r="L182" i="1"/>
  <c r="O182" i="1" s="1"/>
  <c r="L56" i="1"/>
  <c r="O56" i="1" s="1"/>
  <c r="Q131" i="1"/>
  <c r="L74" i="1"/>
  <c r="O74" i="1" s="1"/>
  <c r="Q99" i="1"/>
  <c r="L47" i="1"/>
  <c r="O47" i="1" s="1"/>
  <c r="Q42" i="1"/>
  <c r="L242" i="1"/>
  <c r="O242" i="1" s="1"/>
  <c r="L130" i="1"/>
  <c r="O130" i="1" s="1"/>
  <c r="Q567" i="1"/>
  <c r="L429" i="1"/>
  <c r="O429" i="1" s="1"/>
  <c r="Q282" i="1"/>
  <c r="Q394" i="1"/>
  <c r="L297" i="1"/>
  <c r="O297" i="1" s="1"/>
  <c r="L445" i="1"/>
  <c r="O445" i="1" s="1"/>
  <c r="Q60" i="1"/>
  <c r="L115" i="1"/>
  <c r="O115" i="1" s="1"/>
  <c r="L82" i="1"/>
  <c r="O82" i="1" s="1"/>
  <c r="Q19" i="1"/>
  <c r="L106" i="1"/>
  <c r="O106" i="1" s="1"/>
  <c r="L163" i="1"/>
  <c r="O163" i="1" s="1"/>
  <c r="Q230" i="1"/>
  <c r="Q212" i="1"/>
  <c r="Q208" i="1"/>
  <c r="Q153" i="1"/>
  <c r="L88" i="1"/>
  <c r="O88" i="1" s="1"/>
  <c r="L543" i="1"/>
  <c r="O543" i="1" s="1"/>
  <c r="L454" i="1"/>
  <c r="O454" i="1" s="1"/>
  <c r="Q307" i="1"/>
  <c r="L247" i="1"/>
  <c r="O247" i="1" s="1"/>
  <c r="L478" i="1"/>
  <c r="O478" i="1" s="1"/>
  <c r="L294" i="1"/>
  <c r="O294" i="1" s="1"/>
  <c r="Q463" i="1"/>
  <c r="Q274" i="1"/>
  <c r="L355" i="1"/>
  <c r="O355" i="1" s="1"/>
  <c r="L92" i="1"/>
  <c r="O92" i="1" s="1"/>
  <c r="L201" i="1"/>
  <c r="O201" i="1" s="1"/>
  <c r="Q161" i="1"/>
  <c r="L190" i="1"/>
  <c r="O190" i="1" s="1"/>
  <c r="L152" i="1"/>
  <c r="O152" i="1" s="1"/>
  <c r="L215" i="1"/>
  <c r="O215" i="1" s="1"/>
  <c r="Q204" i="1"/>
  <c r="Q199" i="1"/>
  <c r="L426" i="1"/>
  <c r="O426" i="1" s="1"/>
  <c r="L479" i="1"/>
  <c r="O479" i="1" s="1"/>
  <c r="L359" i="1"/>
  <c r="O359" i="1" s="1"/>
  <c r="L258" i="1"/>
  <c r="O258" i="1" s="1"/>
  <c r="L539" i="1"/>
  <c r="O539" i="1" s="1"/>
  <c r="L310" i="1"/>
  <c r="O310" i="1" s="1"/>
  <c r="L286" i="1"/>
  <c r="O286" i="1" s="1"/>
  <c r="L261" i="1"/>
  <c r="O261" i="1" s="1"/>
  <c r="L315" i="1"/>
  <c r="O315" i="1" s="1"/>
  <c r="L414" i="1"/>
  <c r="O414" i="1" s="1"/>
  <c r="L233" i="1"/>
  <c r="O233" i="1" s="1"/>
  <c r="Q231" i="1"/>
  <c r="L219" i="1"/>
  <c r="O219" i="1" s="1"/>
  <c r="L111" i="1"/>
  <c r="O111" i="1" s="1"/>
  <c r="Q527" i="1"/>
  <c r="Q323" i="1"/>
  <c r="L327" i="1"/>
  <c r="O327" i="1" s="1"/>
  <c r="Q555" i="1"/>
  <c r="Q237" i="1"/>
  <c r="Q71" i="1"/>
  <c r="L155" i="1"/>
  <c r="O155" i="1" s="1"/>
  <c r="L13" i="1"/>
  <c r="O13" i="1" s="1"/>
  <c r="Q197" i="1"/>
  <c r="Q192" i="1"/>
  <c r="J458" i="1"/>
  <c r="L458" i="1" s="1"/>
  <c r="O458" i="1" s="1"/>
  <c r="E458" i="1"/>
  <c r="J377" i="1"/>
  <c r="L377" i="1" s="1"/>
  <c r="O377" i="1" s="1"/>
  <c r="E377" i="1"/>
  <c r="J346" i="1"/>
  <c r="L346" i="1" s="1"/>
  <c r="O346" i="1" s="1"/>
  <c r="E346" i="1"/>
  <c r="J305" i="1"/>
  <c r="L305" i="1" s="1"/>
  <c r="O305" i="1" s="1"/>
  <c r="E305" i="1"/>
  <c r="J28" i="1"/>
  <c r="Q28" i="1" s="1"/>
  <c r="E28" i="1"/>
  <c r="J6" i="1"/>
  <c r="L6" i="1" s="1"/>
  <c r="O6" i="1" s="1"/>
  <c r="E6" i="1"/>
  <c r="J427" i="1"/>
  <c r="L427" i="1" s="1"/>
  <c r="O427" i="1" s="1"/>
  <c r="E427" i="1"/>
  <c r="J50" i="1"/>
  <c r="L50" i="1" s="1"/>
  <c r="O50" i="1" s="1"/>
  <c r="E50" i="1"/>
  <c r="J559" i="1"/>
  <c r="Q559" i="1" s="1"/>
  <c r="E559" i="1"/>
  <c r="J510" i="1"/>
  <c r="L510" i="1" s="1"/>
  <c r="O510" i="1" s="1"/>
  <c r="E510" i="1"/>
  <c r="J453" i="1"/>
  <c r="L453" i="1" s="1"/>
  <c r="O453" i="1" s="1"/>
  <c r="E453" i="1"/>
  <c r="J275" i="1"/>
  <c r="L275" i="1" s="1"/>
  <c r="O275" i="1" s="1"/>
  <c r="E275" i="1"/>
  <c r="J240" i="1"/>
  <c r="Q240" i="1" s="1"/>
  <c r="E240" i="1"/>
  <c r="J93" i="1"/>
  <c r="Q93" i="1" s="1"/>
  <c r="E93" i="1"/>
  <c r="J26" i="1"/>
  <c r="L26" i="1" s="1"/>
  <c r="O26" i="1" s="1"/>
  <c r="E26" i="1"/>
  <c r="J556" i="1"/>
  <c r="Q556" i="1" s="1"/>
  <c r="E556" i="1"/>
  <c r="J432" i="1"/>
  <c r="Q432" i="1" s="1"/>
  <c r="E432" i="1"/>
  <c r="J119" i="1"/>
  <c r="L119" i="1" s="1"/>
  <c r="O119" i="1" s="1"/>
  <c r="E119" i="1"/>
  <c r="J54" i="1"/>
  <c r="Q54" i="1" s="1"/>
  <c r="E54" i="1"/>
  <c r="J523" i="1"/>
  <c r="L523" i="1" s="1"/>
  <c r="O523" i="1" s="1"/>
  <c r="E523" i="1"/>
  <c r="J443" i="1"/>
  <c r="L443" i="1" s="1"/>
  <c r="O443" i="1" s="1"/>
  <c r="E443" i="1"/>
  <c r="J350" i="1"/>
  <c r="L350" i="1" s="1"/>
  <c r="O350" i="1" s="1"/>
  <c r="E350" i="1"/>
  <c r="J337" i="1"/>
  <c r="L337" i="1" s="1"/>
  <c r="O337" i="1" s="1"/>
  <c r="E337" i="1"/>
  <c r="J35" i="1"/>
  <c r="L35" i="1" s="1"/>
  <c r="O35" i="1" s="1"/>
  <c r="E35" i="1"/>
  <c r="J29" i="1"/>
  <c r="Q29" i="1" s="1"/>
  <c r="E29" i="1"/>
  <c r="J506" i="1"/>
  <c r="Q506" i="1" s="1"/>
  <c r="E506" i="1"/>
  <c r="J367" i="1"/>
  <c r="Q367" i="1" s="1"/>
  <c r="E367" i="1"/>
  <c r="J100" i="1"/>
  <c r="L100" i="1" s="1"/>
  <c r="O100" i="1" s="1"/>
  <c r="E100" i="1"/>
  <c r="J21" i="1"/>
  <c r="L21" i="1" s="1"/>
  <c r="O21" i="1" s="1"/>
  <c r="E21" i="1"/>
  <c r="J565" i="1"/>
  <c r="Q565" i="1" s="1"/>
  <c r="E565" i="1"/>
  <c r="J452" i="1"/>
  <c r="Q452" i="1" s="1"/>
  <c r="E452" i="1"/>
  <c r="J370" i="1"/>
  <c r="L370" i="1" s="1"/>
  <c r="O370" i="1" s="1"/>
  <c r="E370" i="1"/>
  <c r="J344" i="1"/>
  <c r="L344" i="1" s="1"/>
  <c r="O344" i="1" s="1"/>
  <c r="E344" i="1"/>
  <c r="J302" i="1"/>
  <c r="L302" i="1" s="1"/>
  <c r="O302" i="1" s="1"/>
  <c r="E302" i="1"/>
  <c r="J4" i="1"/>
  <c r="Q4" i="1" s="1"/>
  <c r="J326" i="1"/>
  <c r="L326" i="1" s="1"/>
  <c r="O326" i="1" s="1"/>
  <c r="E326" i="1"/>
  <c r="J557" i="1"/>
  <c r="Q557" i="1" s="1"/>
  <c r="E557" i="1"/>
  <c r="J507" i="1"/>
  <c r="L507" i="1" s="1"/>
  <c r="O507" i="1" s="1"/>
  <c r="E507" i="1"/>
  <c r="J483" i="1"/>
  <c r="L483" i="1" s="1"/>
  <c r="O483" i="1" s="1"/>
  <c r="E483" i="1"/>
  <c r="J316" i="1"/>
  <c r="L316" i="1" s="1"/>
  <c r="O316" i="1" s="1"/>
  <c r="E316" i="1"/>
  <c r="J248" i="1"/>
  <c r="Q248" i="1" s="1"/>
  <c r="E248" i="1"/>
  <c r="J137" i="1"/>
  <c r="L137" i="1" s="1"/>
  <c r="O137" i="1" s="1"/>
  <c r="E137" i="1"/>
  <c r="J228" i="1"/>
  <c r="E228" i="1"/>
  <c r="J376" i="1"/>
  <c r="Q376" i="1" s="1"/>
  <c r="E376" i="1"/>
  <c r="J97" i="1"/>
  <c r="Q97" i="1" s="1"/>
  <c r="E97" i="1"/>
  <c r="J473" i="1"/>
  <c r="Q473" i="1" s="1"/>
  <c r="E473" i="1"/>
  <c r="J520" i="1"/>
  <c r="Q520" i="1" s="1"/>
  <c r="E520" i="1"/>
  <c r="J438" i="1"/>
  <c r="Q438" i="1" s="1"/>
  <c r="E438" i="1"/>
  <c r="J348" i="1"/>
  <c r="L348" i="1" s="1"/>
  <c r="O348" i="1" s="1"/>
  <c r="E348" i="1"/>
  <c r="J298" i="1"/>
  <c r="Q298" i="1" s="1"/>
  <c r="E298" i="1"/>
  <c r="J53" i="1"/>
  <c r="Q53" i="1" s="1"/>
  <c r="E53" i="1"/>
  <c r="J537" i="1"/>
  <c r="L537" i="1" s="1"/>
  <c r="O537" i="1" s="1"/>
  <c r="E537" i="1"/>
  <c r="J465" i="1"/>
  <c r="Q465" i="1" s="1"/>
  <c r="E465" i="1"/>
  <c r="J332" i="1"/>
  <c r="Q332" i="1" s="1"/>
  <c r="E332" i="1"/>
  <c r="J268" i="1"/>
  <c r="Q268" i="1" s="1"/>
  <c r="E268" i="1"/>
  <c r="J416" i="1"/>
  <c r="L416" i="1" s="1"/>
  <c r="O416" i="1" s="1"/>
  <c r="E416" i="1"/>
  <c r="J558" i="1"/>
  <c r="Q558" i="1" s="1"/>
  <c r="E558" i="1"/>
  <c r="J551" i="1"/>
  <c r="Q551" i="1" s="1"/>
  <c r="E551" i="1"/>
  <c r="J480" i="1"/>
  <c r="L480" i="1" s="1"/>
  <c r="O480" i="1" s="1"/>
  <c r="E480" i="1"/>
  <c r="J450" i="1"/>
  <c r="Q450" i="1" s="1"/>
  <c r="E450" i="1"/>
  <c r="J439" i="1"/>
  <c r="L439" i="1" s="1"/>
  <c r="O439" i="1" s="1"/>
  <c r="E439" i="1"/>
  <c r="J368" i="1"/>
  <c r="L368" i="1" s="1"/>
  <c r="O368" i="1" s="1"/>
  <c r="E368" i="1"/>
  <c r="J352" i="1"/>
  <c r="L352" i="1" s="1"/>
  <c r="O352" i="1" s="1"/>
  <c r="E352" i="1"/>
  <c r="J341" i="1"/>
  <c r="L341" i="1" s="1"/>
  <c r="O341" i="1" s="1"/>
  <c r="E341" i="1"/>
  <c r="J321" i="1"/>
  <c r="L321" i="1" s="1"/>
  <c r="O321" i="1" s="1"/>
  <c r="E321" i="1"/>
  <c r="J289" i="1"/>
  <c r="L289" i="1" s="1"/>
  <c r="O289" i="1" s="1"/>
  <c r="E289" i="1"/>
  <c r="J189" i="1"/>
  <c r="Q189" i="1" s="1"/>
  <c r="E189" i="1"/>
  <c r="J139" i="1"/>
  <c r="Q139" i="1" s="1"/>
  <c r="E139" i="1"/>
  <c r="J65" i="1"/>
  <c r="L65" i="1" s="1"/>
  <c r="O65" i="1" s="1"/>
  <c r="E65" i="1"/>
  <c r="J561" i="1"/>
  <c r="Q561" i="1" s="1"/>
  <c r="E561" i="1"/>
  <c r="J501" i="1"/>
  <c r="L501" i="1" s="1"/>
  <c r="O501" i="1" s="1"/>
  <c r="E501" i="1"/>
  <c r="J244" i="1"/>
  <c r="L244" i="1" s="1"/>
  <c r="O244" i="1" s="1"/>
  <c r="E244" i="1"/>
  <c r="J544" i="1"/>
  <c r="Q544" i="1" s="1"/>
  <c r="E544" i="1"/>
  <c r="J528" i="1"/>
  <c r="L528" i="1" s="1"/>
  <c r="O528" i="1" s="1"/>
  <c r="E528" i="1"/>
  <c r="J505" i="1"/>
  <c r="L505" i="1" s="1"/>
  <c r="O505" i="1" s="1"/>
  <c r="E505" i="1"/>
  <c r="J494" i="1"/>
  <c r="L494" i="1" s="1"/>
  <c r="O494" i="1" s="1"/>
  <c r="E494" i="1"/>
  <c r="J481" i="1"/>
  <c r="L481" i="1" s="1"/>
  <c r="O481" i="1" s="1"/>
  <c r="E481" i="1"/>
  <c r="J431" i="1"/>
  <c r="L431" i="1" s="1"/>
  <c r="O431" i="1" s="1"/>
  <c r="E431" i="1"/>
  <c r="J308" i="1"/>
  <c r="L308" i="1" s="1"/>
  <c r="O308" i="1" s="1"/>
  <c r="E308" i="1"/>
  <c r="J267" i="1"/>
  <c r="L267" i="1" s="1"/>
  <c r="O267" i="1" s="1"/>
  <c r="E267" i="1"/>
  <c r="L154" i="1"/>
  <c r="O154" i="1" s="1"/>
  <c r="J143" i="1"/>
  <c r="L143" i="1" s="1"/>
  <c r="O143" i="1" s="1"/>
  <c r="E143" i="1"/>
  <c r="L134" i="1"/>
  <c r="O134" i="1" s="1"/>
  <c r="J129" i="1"/>
  <c r="Q129" i="1" s="1"/>
  <c r="E129" i="1"/>
  <c r="J121" i="1"/>
  <c r="Q121" i="1" s="1"/>
  <c r="E121" i="1"/>
  <c r="L224" i="1"/>
  <c r="O224" i="1" s="1"/>
  <c r="Q16" i="1"/>
  <c r="L12" i="1"/>
  <c r="O12" i="1" s="1"/>
  <c r="L10" i="1"/>
  <c r="O10" i="1" s="1"/>
  <c r="J542" i="1"/>
  <c r="Q542" i="1" s="1"/>
  <c r="E542" i="1"/>
  <c r="J457" i="1"/>
  <c r="Q457" i="1" s="1"/>
  <c r="E457" i="1"/>
  <c r="J329" i="1"/>
  <c r="L329" i="1" s="1"/>
  <c r="O329" i="1" s="1"/>
  <c r="E329" i="1"/>
  <c r="J188" i="1"/>
  <c r="Q188" i="1" s="1"/>
  <c r="E188" i="1"/>
  <c r="L72" i="1"/>
  <c r="O72" i="1" s="1"/>
  <c r="L59" i="1"/>
  <c r="O59" i="1" s="1"/>
  <c r="L235" i="1"/>
  <c r="O235" i="1" s="1"/>
  <c r="J547" i="1"/>
  <c r="Q547" i="1" s="1"/>
  <c r="E547" i="1"/>
  <c r="J514" i="1"/>
  <c r="L514" i="1" s="1"/>
  <c r="O514" i="1" s="1"/>
  <c r="E514" i="1"/>
  <c r="J448" i="1"/>
  <c r="L448" i="1" s="1"/>
  <c r="O448" i="1" s="1"/>
  <c r="E448" i="1"/>
  <c r="J375" i="1"/>
  <c r="L375" i="1" s="1"/>
  <c r="O375" i="1" s="1"/>
  <c r="E375" i="1"/>
  <c r="J361" i="1"/>
  <c r="L361" i="1" s="1"/>
  <c r="O361" i="1" s="1"/>
  <c r="E361" i="1"/>
  <c r="J342" i="1"/>
  <c r="L342" i="1" s="1"/>
  <c r="O342" i="1" s="1"/>
  <c r="E342" i="1"/>
  <c r="J322" i="1"/>
  <c r="L322" i="1" s="1"/>
  <c r="O322" i="1" s="1"/>
  <c r="E322" i="1"/>
  <c r="J293" i="1"/>
  <c r="Q293" i="1" s="1"/>
  <c r="E293" i="1"/>
  <c r="J108" i="1"/>
  <c r="L108" i="1" s="1"/>
  <c r="O108" i="1" s="1"/>
  <c r="E108" i="1"/>
  <c r="J77" i="1"/>
  <c r="L77" i="1" s="1"/>
  <c r="O77" i="1" s="1"/>
  <c r="E77" i="1"/>
  <c r="L51" i="1"/>
  <c r="O51" i="1" s="1"/>
  <c r="J422" i="1"/>
  <c r="Q422" i="1" s="1"/>
  <c r="E422" i="1"/>
  <c r="J43" i="1"/>
  <c r="Q43" i="1" s="1"/>
  <c r="E43" i="1"/>
  <c r="J37" i="1"/>
  <c r="L37" i="1" s="1"/>
  <c r="O37" i="1" s="1"/>
  <c r="E37" i="1"/>
  <c r="L218" i="1"/>
  <c r="O218" i="1" s="1"/>
  <c r="J532" i="1"/>
  <c r="L532" i="1" s="1"/>
  <c r="O532" i="1" s="1"/>
  <c r="E532" i="1"/>
  <c r="J490" i="1"/>
  <c r="Q490" i="1" s="1"/>
  <c r="E490" i="1"/>
  <c r="J430" i="1"/>
  <c r="L430" i="1" s="1"/>
  <c r="O430" i="1" s="1"/>
  <c r="E430" i="1"/>
  <c r="J320" i="1"/>
  <c r="L320" i="1" s="1"/>
  <c r="O320" i="1" s="1"/>
  <c r="E320" i="1"/>
  <c r="J260" i="1"/>
  <c r="L260" i="1" s="1"/>
  <c r="O260" i="1" s="1"/>
  <c r="E260" i="1"/>
  <c r="L185" i="1"/>
  <c r="O185" i="1" s="1"/>
  <c r="Q135" i="1"/>
  <c r="L122" i="1"/>
  <c r="O122" i="1" s="1"/>
  <c r="L103" i="1"/>
  <c r="O103" i="1" s="1"/>
  <c r="Q418" i="1"/>
  <c r="Q554" i="1"/>
  <c r="L535" i="1"/>
  <c r="O535" i="1" s="1"/>
  <c r="Q518" i="1"/>
  <c r="L492" i="1"/>
  <c r="O492" i="1" s="1"/>
  <c r="Q472" i="1"/>
  <c r="Q461" i="1"/>
  <c r="Q440" i="1"/>
  <c r="Q373" i="1"/>
  <c r="L354" i="1"/>
  <c r="O354" i="1" s="1"/>
  <c r="Q334" i="1"/>
  <c r="Q314" i="1"/>
  <c r="Q300" i="1"/>
  <c r="L290" i="1"/>
  <c r="O290" i="1" s="1"/>
  <c r="Q277" i="1"/>
  <c r="L263" i="1"/>
  <c r="O263" i="1" s="1"/>
  <c r="L253" i="1"/>
  <c r="O253" i="1" s="1"/>
  <c r="Q552" i="1"/>
  <c r="L534" i="1"/>
  <c r="O534" i="1" s="1"/>
  <c r="Q517" i="1"/>
  <c r="Q489" i="1"/>
  <c r="Q469" i="1"/>
  <c r="Q459" i="1"/>
  <c r="Q437" i="1"/>
  <c r="Q369" i="1"/>
  <c r="Q351" i="1"/>
  <c r="Q331" i="1"/>
  <c r="Q311" i="1"/>
  <c r="Q299" i="1"/>
  <c r="Q287" i="1"/>
  <c r="L276" i="1"/>
  <c r="O276" i="1" s="1"/>
  <c r="Q262" i="1"/>
  <c r="Q251" i="1"/>
  <c r="L402" i="1"/>
  <c r="O402" i="1" s="1"/>
  <c r="Q563" i="1"/>
  <c r="Q521" i="1"/>
  <c r="Q476" i="1"/>
  <c r="Q449" i="1"/>
  <c r="Q356" i="1"/>
  <c r="Q304" i="1"/>
  <c r="L279" i="1"/>
  <c r="O279" i="1" s="1"/>
  <c r="L255" i="1"/>
  <c r="O255" i="1" s="1"/>
  <c r="Q538" i="1"/>
  <c r="Q496" i="1"/>
  <c r="Q462" i="1"/>
  <c r="Q374" i="1"/>
  <c r="Q335" i="1"/>
  <c r="Q303" i="1"/>
  <c r="Q278" i="1"/>
  <c r="L254" i="1"/>
  <c r="O254" i="1" s="1"/>
  <c r="J391" i="1"/>
  <c r="Q391" i="1" s="1"/>
  <c r="E391" i="1"/>
  <c r="J512" i="1"/>
  <c r="L512" i="1" s="1"/>
  <c r="O512" i="1" s="1"/>
  <c r="E512" i="1"/>
  <c r="J444" i="1"/>
  <c r="L444" i="1" s="1"/>
  <c r="O444" i="1" s="1"/>
  <c r="E444" i="1"/>
  <c r="J360" i="1"/>
  <c r="Q360" i="1" s="1"/>
  <c r="E360" i="1"/>
  <c r="J333" i="1"/>
  <c r="Q333" i="1" s="1"/>
  <c r="E333" i="1"/>
  <c r="J128" i="1"/>
  <c r="L128" i="1" s="1"/>
  <c r="O128" i="1" s="1"/>
  <c r="E128" i="1"/>
  <c r="J104" i="1"/>
  <c r="Q104" i="1" s="1"/>
  <c r="E104" i="1"/>
  <c r="J81" i="1"/>
  <c r="L81" i="1" s="1"/>
  <c r="O81" i="1" s="1"/>
  <c r="E81" i="1"/>
  <c r="J32" i="1"/>
  <c r="L32" i="1" s="1"/>
  <c r="O32" i="1" s="1"/>
  <c r="E32" i="1"/>
  <c r="J526" i="1"/>
  <c r="Q526" i="1" s="1"/>
  <c r="E526" i="1"/>
  <c r="J236" i="1"/>
  <c r="Q236" i="1" s="1"/>
  <c r="E236" i="1"/>
  <c r="J536" i="1"/>
  <c r="Q536" i="1" s="1"/>
  <c r="E536" i="1"/>
  <c r="J499" i="1"/>
  <c r="Q499" i="1" s="1"/>
  <c r="E499" i="1"/>
  <c r="J486" i="1"/>
  <c r="L486" i="1" s="1"/>
  <c r="O486" i="1" s="1"/>
  <c r="E486" i="1"/>
  <c r="J324" i="1"/>
  <c r="L324" i="1" s="1"/>
  <c r="O324" i="1" s="1"/>
  <c r="E324" i="1"/>
  <c r="J256" i="1"/>
  <c r="Q256" i="1" s="1"/>
  <c r="E256" i="1"/>
  <c r="J105" i="1"/>
  <c r="L105" i="1" s="1"/>
  <c r="O105" i="1" s="1"/>
  <c r="E105" i="1"/>
  <c r="J31" i="1"/>
  <c r="L31" i="1" s="1"/>
  <c r="O31" i="1" s="1"/>
  <c r="E31" i="1"/>
  <c r="J487" i="1"/>
  <c r="Q487" i="1" s="1"/>
  <c r="E487" i="1"/>
  <c r="J271" i="1"/>
  <c r="Q271" i="1" s="1"/>
  <c r="E271" i="1"/>
  <c r="J566" i="1"/>
  <c r="Q566" i="1" s="1"/>
  <c r="E566" i="1"/>
  <c r="J484" i="1"/>
  <c r="L484" i="1" s="1"/>
  <c r="O484" i="1" s="1"/>
  <c r="E484" i="1"/>
  <c r="J366" i="1"/>
  <c r="Q366" i="1" s="1"/>
  <c r="E366" i="1"/>
  <c r="J301" i="1"/>
  <c r="L301" i="1" s="1"/>
  <c r="O301" i="1" s="1"/>
  <c r="E301" i="1"/>
  <c r="J171" i="1"/>
  <c r="Q171" i="1" s="1"/>
  <c r="E171" i="1"/>
  <c r="J124" i="1"/>
  <c r="Q124" i="1" s="1"/>
  <c r="E124" i="1"/>
  <c r="J61" i="1"/>
  <c r="L61" i="1" s="1"/>
  <c r="O61" i="1" s="1"/>
  <c r="E61" i="1"/>
  <c r="J545" i="1"/>
  <c r="Q545" i="1" s="1"/>
  <c r="E545" i="1"/>
  <c r="J477" i="1"/>
  <c r="L477" i="1" s="1"/>
  <c r="O477" i="1" s="1"/>
  <c r="E477" i="1"/>
  <c r="J285" i="1"/>
  <c r="Q285" i="1" s="1"/>
  <c r="E285" i="1"/>
  <c r="J504" i="1"/>
  <c r="L504" i="1" s="1"/>
  <c r="O504" i="1" s="1"/>
  <c r="E504" i="1"/>
  <c r="J442" i="1"/>
  <c r="Q442" i="1" s="1"/>
  <c r="E442" i="1"/>
  <c r="J357" i="1"/>
  <c r="L357" i="1" s="1"/>
  <c r="O357" i="1" s="1"/>
  <c r="E357" i="1"/>
  <c r="J330" i="1"/>
  <c r="L330" i="1" s="1"/>
  <c r="O330" i="1" s="1"/>
  <c r="E330" i="1"/>
  <c r="J73" i="1"/>
  <c r="L73" i="1" s="1"/>
  <c r="O73" i="1" s="1"/>
  <c r="E73" i="1"/>
  <c r="J406" i="1"/>
  <c r="L406" i="1" s="1"/>
  <c r="O406" i="1" s="1"/>
  <c r="E406" i="1"/>
  <c r="J511" i="1"/>
  <c r="L511" i="1" s="1"/>
  <c r="O511" i="1" s="1"/>
  <c r="E511" i="1"/>
  <c r="J533" i="1"/>
  <c r="L533" i="1" s="1"/>
  <c r="O533" i="1" s="1"/>
  <c r="E533" i="1"/>
  <c r="J497" i="1"/>
  <c r="L497" i="1" s="1"/>
  <c r="O497" i="1" s="1"/>
  <c r="E497" i="1"/>
  <c r="J434" i="1"/>
  <c r="L434" i="1" s="1"/>
  <c r="O434" i="1" s="1"/>
  <c r="E434" i="1"/>
  <c r="J272" i="1"/>
  <c r="L272" i="1" s="1"/>
  <c r="O272" i="1" s="1"/>
  <c r="E272" i="1"/>
  <c r="J123" i="1"/>
  <c r="L123" i="1" s="1"/>
  <c r="O123" i="1" s="1"/>
  <c r="E123" i="1"/>
  <c r="J30" i="1"/>
  <c r="Q30" i="1" s="1"/>
  <c r="E30" i="1"/>
  <c r="J17" i="1"/>
  <c r="L17" i="1" s="1"/>
  <c r="O17" i="1" s="1"/>
  <c r="E17" i="1"/>
  <c r="J548" i="1"/>
  <c r="Q548" i="1" s="1"/>
  <c r="E548" i="1"/>
  <c r="J474" i="1"/>
  <c r="Q474" i="1" s="1"/>
  <c r="E474" i="1"/>
  <c r="J239" i="1"/>
  <c r="Q239" i="1" s="1"/>
  <c r="E239" i="1"/>
  <c r="J560" i="1"/>
  <c r="L560" i="1" s="1"/>
  <c r="O560" i="1" s="1"/>
  <c r="E560" i="1"/>
  <c r="J471" i="1"/>
  <c r="L471" i="1" s="1"/>
  <c r="O471" i="1" s="1"/>
  <c r="E471" i="1"/>
  <c r="J364" i="1"/>
  <c r="Q364" i="1" s="1"/>
  <c r="E364" i="1"/>
  <c r="J328" i="1"/>
  <c r="L328" i="1" s="1"/>
  <c r="O328" i="1" s="1"/>
  <c r="E328" i="1"/>
  <c r="J116" i="1"/>
  <c r="Q116" i="1" s="1"/>
  <c r="E116" i="1"/>
  <c r="J85" i="1"/>
  <c r="Q85" i="1" s="1"/>
  <c r="E85" i="1"/>
  <c r="J39" i="1"/>
  <c r="E39" i="1"/>
  <c r="J495" i="1"/>
  <c r="Q495" i="1" s="1"/>
  <c r="E495" i="1"/>
  <c r="J415" i="1"/>
  <c r="L415" i="1" s="1"/>
  <c r="O415" i="1" s="1"/>
  <c r="E415" i="1"/>
  <c r="J515" i="1"/>
  <c r="L515" i="1" s="1"/>
  <c r="O515" i="1" s="1"/>
  <c r="E515" i="1"/>
  <c r="J460" i="1"/>
  <c r="Q460" i="1" s="1"/>
  <c r="E460" i="1"/>
  <c r="J447" i="1"/>
  <c r="L447" i="1" s="1"/>
  <c r="O447" i="1" s="1"/>
  <c r="E447" i="1"/>
  <c r="J436" i="1"/>
  <c r="L436" i="1" s="1"/>
  <c r="O436" i="1" s="1"/>
  <c r="E436" i="1"/>
  <c r="J362" i="1"/>
  <c r="L362" i="1" s="1"/>
  <c r="O362" i="1" s="1"/>
  <c r="E362" i="1"/>
  <c r="J349" i="1"/>
  <c r="L349" i="1" s="1"/>
  <c r="O349" i="1" s="1"/>
  <c r="E349" i="1"/>
  <c r="J336" i="1"/>
  <c r="Q336" i="1" s="1"/>
  <c r="E336" i="1"/>
  <c r="J313" i="1"/>
  <c r="Q313" i="1" s="1"/>
  <c r="E313" i="1"/>
  <c r="J280" i="1"/>
  <c r="Q280" i="1" s="1"/>
  <c r="E280" i="1"/>
  <c r="J175" i="1"/>
  <c r="Q175" i="1" s="1"/>
  <c r="E175" i="1"/>
  <c r="J136" i="1"/>
  <c r="Q136" i="1" s="1"/>
  <c r="E136" i="1"/>
  <c r="J112" i="1"/>
  <c r="Q112" i="1" s="1"/>
  <c r="E112" i="1"/>
  <c r="J89" i="1"/>
  <c r="E89" i="1"/>
  <c r="J57" i="1"/>
  <c r="Q57" i="1" s="1"/>
  <c r="E57" i="1"/>
  <c r="J34" i="1"/>
  <c r="L34" i="1" s="1"/>
  <c r="O34" i="1" s="1"/>
  <c r="E34" i="1"/>
  <c r="J550" i="1"/>
  <c r="L550" i="1" s="1"/>
  <c r="O550" i="1" s="1"/>
  <c r="E550" i="1"/>
  <c r="J493" i="1"/>
  <c r="L493" i="1" s="1"/>
  <c r="O493" i="1" s="1"/>
  <c r="E493" i="1"/>
  <c r="J125" i="1"/>
  <c r="Q125" i="1" s="1"/>
  <c r="E125" i="1"/>
  <c r="J49" i="1"/>
  <c r="L49" i="1" s="1"/>
  <c r="O49" i="1" s="1"/>
  <c r="E49" i="1"/>
  <c r="J562" i="1"/>
  <c r="L562" i="1" s="1"/>
  <c r="O562" i="1" s="1"/>
  <c r="E562" i="1"/>
  <c r="J541" i="1"/>
  <c r="L541" i="1" s="1"/>
  <c r="O541" i="1" s="1"/>
  <c r="E541" i="1"/>
  <c r="J522" i="1"/>
  <c r="L522" i="1" s="1"/>
  <c r="O522" i="1" s="1"/>
  <c r="E522" i="1"/>
  <c r="J502" i="1"/>
  <c r="L502" i="1" s="1"/>
  <c r="O502" i="1" s="1"/>
  <c r="E502" i="1"/>
  <c r="J491" i="1"/>
  <c r="L491" i="1" s="1"/>
  <c r="O491" i="1" s="1"/>
  <c r="E491" i="1"/>
  <c r="J470" i="1"/>
  <c r="L470" i="1" s="1"/>
  <c r="O470" i="1" s="1"/>
  <c r="E470" i="1"/>
  <c r="J371" i="1"/>
  <c r="Q371" i="1" s="1"/>
  <c r="E371" i="1"/>
  <c r="J284" i="1"/>
  <c r="Q284" i="1" s="1"/>
  <c r="E284" i="1"/>
  <c r="J264" i="1"/>
  <c r="L264" i="1" s="1"/>
  <c r="O264" i="1" s="1"/>
  <c r="E264" i="1"/>
  <c r="J176" i="1"/>
  <c r="L176" i="1" s="1"/>
  <c r="O176" i="1" s="1"/>
  <c r="E176" i="1"/>
  <c r="J113" i="1"/>
  <c r="L113" i="1" s="1"/>
  <c r="O113" i="1" s="1"/>
  <c r="E113" i="1"/>
  <c r="J96" i="1"/>
  <c r="L96" i="1" s="1"/>
  <c r="O96" i="1" s="1"/>
  <c r="E96" i="1"/>
  <c r="J509" i="1"/>
  <c r="Q509" i="1" s="1"/>
  <c r="E509" i="1"/>
  <c r="J441" i="1"/>
  <c r="L441" i="1" s="1"/>
  <c r="O441" i="1" s="1"/>
  <c r="E441" i="1"/>
  <c r="J312" i="1"/>
  <c r="L312" i="1" s="1"/>
  <c r="O312" i="1" s="1"/>
  <c r="E312" i="1"/>
  <c r="E127" i="1"/>
  <c r="J531" i="1"/>
  <c r="L531" i="1" s="1"/>
  <c r="O531" i="1" s="1"/>
  <c r="E531" i="1"/>
  <c r="J508" i="1"/>
  <c r="Q508" i="1" s="1"/>
  <c r="E508" i="1"/>
  <c r="J446" i="1"/>
  <c r="L446" i="1" s="1"/>
  <c r="O446" i="1" s="1"/>
  <c r="E446" i="1"/>
  <c r="J372" i="1"/>
  <c r="Q372" i="1" s="1"/>
  <c r="E372" i="1"/>
  <c r="J353" i="1"/>
  <c r="L353" i="1" s="1"/>
  <c r="O353" i="1" s="1"/>
  <c r="E353" i="1"/>
  <c r="J340" i="1"/>
  <c r="L340" i="1" s="1"/>
  <c r="O340" i="1" s="1"/>
  <c r="E340" i="1"/>
  <c r="J317" i="1"/>
  <c r="L317" i="1" s="1"/>
  <c r="O317" i="1" s="1"/>
  <c r="E317" i="1"/>
  <c r="J187" i="1"/>
  <c r="Q187" i="1" s="1"/>
  <c r="E187" i="1"/>
  <c r="J132" i="1"/>
  <c r="L132" i="1" s="1"/>
  <c r="O132" i="1" s="1"/>
  <c r="E132" i="1"/>
  <c r="J69" i="1"/>
  <c r="S22" i="1" s="1"/>
  <c r="T22" i="1" s="1"/>
  <c r="V22" i="1" s="1"/>
  <c r="X22" i="1" s="1"/>
  <c r="E69" i="1"/>
  <c r="J232" i="1"/>
  <c r="Q232" i="1" s="1"/>
  <c r="E232" i="1"/>
  <c r="J36" i="1"/>
  <c r="Q36" i="1" s="1"/>
  <c r="E36" i="1"/>
  <c r="J33" i="1"/>
  <c r="Q33" i="1" s="1"/>
  <c r="E33" i="1"/>
  <c r="J553" i="1"/>
  <c r="Q553" i="1" s="1"/>
  <c r="E553" i="1"/>
  <c r="J524" i="1"/>
  <c r="Q524" i="1" s="1"/>
  <c r="E524" i="1"/>
  <c r="J482" i="1"/>
  <c r="L482" i="1" s="1"/>
  <c r="O482" i="1" s="1"/>
  <c r="E482" i="1"/>
  <c r="J379" i="1"/>
  <c r="Q379" i="1" s="1"/>
  <c r="E379" i="1"/>
  <c r="J288" i="1"/>
  <c r="Q288" i="1" s="1"/>
  <c r="E288" i="1"/>
  <c r="J252" i="1"/>
  <c r="Q252" i="1" s="1"/>
  <c r="E252" i="1"/>
  <c r="E38" i="1"/>
  <c r="Q416" i="1"/>
  <c r="L4" i="1"/>
  <c r="O4" i="1" s="1"/>
  <c r="Q6" i="1" l="1"/>
  <c r="L367" i="1"/>
  <c r="O367" i="1" s="1"/>
  <c r="Q337" i="1"/>
  <c r="L506" i="1"/>
  <c r="O506" i="1" s="1"/>
  <c r="Q100" i="1"/>
  <c r="Q119" i="1"/>
  <c r="Q302" i="1"/>
  <c r="Q275" i="1"/>
  <c r="Q137" i="1"/>
  <c r="Q305" i="1"/>
  <c r="L298" i="1"/>
  <c r="O298" i="1" s="1"/>
  <c r="L473" i="1"/>
  <c r="O473" i="1" s="1"/>
  <c r="L465" i="1"/>
  <c r="O465" i="1" s="1"/>
  <c r="Q143" i="1"/>
  <c r="L422" i="1"/>
  <c r="O422" i="1" s="1"/>
  <c r="L542" i="1"/>
  <c r="O542" i="1" s="1"/>
  <c r="L561" i="1"/>
  <c r="O561" i="1" s="1"/>
  <c r="L112" i="1"/>
  <c r="O112" i="1" s="1"/>
  <c r="Q375" i="1"/>
  <c r="Q77" i="1"/>
  <c r="Q289" i="1"/>
  <c r="Q501" i="1"/>
  <c r="L547" i="1"/>
  <c r="O547" i="1" s="1"/>
  <c r="L189" i="1"/>
  <c r="O189" i="1" s="1"/>
  <c r="L53" i="1"/>
  <c r="O53" i="1" s="1"/>
  <c r="Q439" i="1"/>
  <c r="Q312" i="1"/>
  <c r="Q37" i="1"/>
  <c r="Q329" i="1"/>
  <c r="Q368" i="1"/>
  <c r="L43" i="1"/>
  <c r="O43" i="1" s="1"/>
  <c r="Q507" i="1"/>
  <c r="L457" i="1"/>
  <c r="O457" i="1" s="1"/>
  <c r="Q494" i="1"/>
  <c r="Q512" i="1"/>
  <c r="L139" i="1"/>
  <c r="O139" i="1" s="1"/>
  <c r="Q31" i="1"/>
  <c r="Q537" i="1"/>
  <c r="Q316" i="1"/>
  <c r="Q370" i="1"/>
  <c r="Q550" i="1"/>
  <c r="Q514" i="1"/>
  <c r="L536" i="1"/>
  <c r="O536" i="1" s="1"/>
  <c r="Q320" i="1"/>
  <c r="Q431" i="1"/>
  <c r="Q341" i="1"/>
  <c r="Q128" i="1"/>
  <c r="L442" i="1"/>
  <c r="O442" i="1" s="1"/>
  <c r="Q415" i="1"/>
  <c r="L285" i="1"/>
  <c r="O285" i="1" s="1"/>
  <c r="L271" i="1"/>
  <c r="O271" i="1" s="1"/>
  <c r="L69" i="1"/>
  <c r="O69" i="1" s="1"/>
  <c r="Q35" i="1"/>
  <c r="Q132" i="1"/>
  <c r="L332" i="1"/>
  <c r="O332" i="1" s="1"/>
  <c r="L438" i="1"/>
  <c r="O438" i="1" s="1"/>
  <c r="Q533" i="1"/>
  <c r="L565" i="1"/>
  <c r="O565" i="1" s="1"/>
  <c r="L293" i="1"/>
  <c r="O293" i="1" s="1"/>
  <c r="L556" i="1"/>
  <c r="O556" i="1" s="1"/>
  <c r="Q377" i="1"/>
  <c r="Q528" i="1"/>
  <c r="L551" i="1"/>
  <c r="O551" i="1" s="1"/>
  <c r="S39" i="1"/>
  <c r="T39" i="1" s="1"/>
  <c r="V39" i="1" s="1"/>
  <c r="X39" i="1" s="1"/>
  <c r="L124" i="1"/>
  <c r="O124" i="1" s="1"/>
  <c r="L33" i="1"/>
  <c r="O33" i="1" s="1"/>
  <c r="L121" i="1"/>
  <c r="O121" i="1" s="1"/>
  <c r="L57" i="1"/>
  <c r="O57" i="1" s="1"/>
  <c r="L376" i="1"/>
  <c r="O376" i="1" s="1"/>
  <c r="Q434" i="1"/>
  <c r="Q326" i="1"/>
  <c r="Q330" i="1"/>
  <c r="L509" i="1"/>
  <c r="O509" i="1" s="1"/>
  <c r="L313" i="1"/>
  <c r="O313" i="1" s="1"/>
  <c r="Q350" i="1"/>
  <c r="L360" i="1"/>
  <c r="O360" i="1" s="1"/>
  <c r="L379" i="1"/>
  <c r="O379" i="1" s="1"/>
  <c r="L490" i="1"/>
  <c r="O490" i="1" s="1"/>
  <c r="Q267" i="1"/>
  <c r="L450" i="1"/>
  <c r="O450" i="1" s="1"/>
  <c r="Q113" i="1"/>
  <c r="L125" i="1"/>
  <c r="O125" i="1" s="1"/>
  <c r="Q406" i="1"/>
  <c r="L371" i="1"/>
  <c r="O371" i="1" s="1"/>
  <c r="Q484" i="1"/>
  <c r="Q486" i="1"/>
  <c r="L526" i="1"/>
  <c r="O526" i="1" s="1"/>
  <c r="Q353" i="1"/>
  <c r="L39" i="1"/>
  <c r="O39" i="1" s="1"/>
  <c r="Q123" i="1"/>
  <c r="L474" i="1"/>
  <c r="O474" i="1" s="1"/>
  <c r="Q436" i="1"/>
  <c r="Q39" i="1"/>
  <c r="L116" i="1"/>
  <c r="O116" i="1" s="1"/>
  <c r="Q17" i="1"/>
  <c r="L93" i="1"/>
  <c r="O93" i="1" s="1"/>
  <c r="Q81" i="1"/>
  <c r="L553" i="1"/>
  <c r="O553" i="1" s="1"/>
  <c r="Q522" i="1"/>
  <c r="Q342" i="1"/>
  <c r="L545" i="1"/>
  <c r="O545" i="1" s="1"/>
  <c r="Q523" i="1"/>
  <c r="L256" i="1"/>
  <c r="O256" i="1" s="1"/>
  <c r="Q510" i="1"/>
  <c r="L336" i="1"/>
  <c r="O336" i="1" s="1"/>
  <c r="Q244" i="1"/>
  <c r="Q176" i="1"/>
  <c r="L29" i="1"/>
  <c r="O29" i="1" s="1"/>
  <c r="L85" i="1"/>
  <c r="O85" i="1" s="1"/>
  <c r="L268" i="1"/>
  <c r="O268" i="1" s="1"/>
  <c r="L495" i="1"/>
  <c r="O495" i="1" s="1"/>
  <c r="Q328" i="1"/>
  <c r="L548" i="1"/>
  <c r="O548" i="1" s="1"/>
  <c r="L452" i="1"/>
  <c r="O452" i="1" s="1"/>
  <c r="L508" i="1"/>
  <c r="O508" i="1" s="1"/>
  <c r="Q562" i="1"/>
  <c r="Q260" i="1"/>
  <c r="L558" i="1"/>
  <c r="O558" i="1" s="1"/>
  <c r="Q453" i="1"/>
  <c r="L391" i="1"/>
  <c r="O391" i="1" s="1"/>
  <c r="Q446" i="1"/>
  <c r="L460" i="1"/>
  <c r="O460" i="1" s="1"/>
  <c r="S15" i="1"/>
  <c r="T15" i="1" s="1"/>
  <c r="V15" i="1" s="1"/>
  <c r="X15" i="1" s="1"/>
  <c r="S26" i="1"/>
  <c r="T26" i="1" s="1"/>
  <c r="V26" i="1" s="1"/>
  <c r="X26" i="1" s="1"/>
  <c r="Q49" i="1"/>
  <c r="Q73" i="1"/>
  <c r="L36" i="1"/>
  <c r="O36" i="1" s="1"/>
  <c r="L28" i="1"/>
  <c r="O28" i="1" s="1"/>
  <c r="L520" i="1"/>
  <c r="O520" i="1" s="1"/>
  <c r="L248" i="1"/>
  <c r="O248" i="1" s="1"/>
  <c r="Q532" i="1"/>
  <c r="Q308" i="1"/>
  <c r="L366" i="1"/>
  <c r="O366" i="1" s="1"/>
  <c r="L284" i="1"/>
  <c r="O284" i="1" s="1"/>
  <c r="L54" i="1"/>
  <c r="O54" i="1" s="1"/>
  <c r="Q228" i="1"/>
  <c r="L240" i="1"/>
  <c r="O240" i="1" s="1"/>
  <c r="Q108" i="1"/>
  <c r="L129" i="1"/>
  <c r="O129" i="1" s="1"/>
  <c r="Q348" i="1"/>
  <c r="S46" i="1"/>
  <c r="T46" i="1" s="1"/>
  <c r="V46" i="1" s="1"/>
  <c r="X46" i="1" s="1"/>
  <c r="L232" i="1"/>
  <c r="O232" i="1" s="1"/>
  <c r="L30" i="1"/>
  <c r="O30" i="1" s="1"/>
  <c r="Q65" i="1"/>
  <c r="L175" i="1"/>
  <c r="O175" i="1" s="1"/>
  <c r="Q61" i="1"/>
  <c r="Q105" i="1"/>
  <c r="L236" i="1"/>
  <c r="O236" i="1" s="1"/>
  <c r="Q32" i="1"/>
  <c r="L104" i="1"/>
  <c r="O104" i="1" s="1"/>
  <c r="L97" i="1"/>
  <c r="O97" i="1" s="1"/>
  <c r="Q21" i="1"/>
  <c r="L364" i="1"/>
  <c r="O364" i="1" s="1"/>
  <c r="Q560" i="1"/>
  <c r="Q272" i="1"/>
  <c r="Q483" i="1"/>
  <c r="L557" i="1"/>
  <c r="O557" i="1" s="1"/>
  <c r="Q491" i="1"/>
  <c r="Q515" i="1"/>
  <c r="Q505" i="1"/>
  <c r="Q321" i="1"/>
  <c r="Q301" i="1"/>
  <c r="L487" i="1"/>
  <c r="O487" i="1" s="1"/>
  <c r="L499" i="1"/>
  <c r="O499" i="1" s="1"/>
  <c r="L559" i="1"/>
  <c r="O559" i="1" s="1"/>
  <c r="L333" i="1"/>
  <c r="O333" i="1" s="1"/>
  <c r="Q458" i="1"/>
  <c r="Q317" i="1"/>
  <c r="Q541" i="1"/>
  <c r="Q361" i="1"/>
  <c r="L228" i="1"/>
  <c r="O228" i="1" s="1"/>
  <c r="Q344" i="1"/>
  <c r="Q504" i="1"/>
  <c r="L252" i="1"/>
  <c r="O252" i="1" s="1"/>
  <c r="Q340" i="1"/>
  <c r="Q264" i="1"/>
  <c r="Q349" i="1"/>
  <c r="Q430" i="1"/>
  <c r="Q443" i="1"/>
  <c r="L432" i="1"/>
  <c r="O432" i="1" s="1"/>
  <c r="Q346" i="1"/>
  <c r="Q531" i="1"/>
  <c r="Q470" i="1"/>
  <c r="Q362" i="1"/>
  <c r="S14" i="1"/>
  <c r="T14" i="1" s="1"/>
  <c r="V14" i="1" s="1"/>
  <c r="X14" i="1" s="1"/>
  <c r="S42" i="1"/>
  <c r="T42" i="1" s="1"/>
  <c r="V42" i="1" s="1"/>
  <c r="X42" i="1" s="1"/>
  <c r="L239" i="1"/>
  <c r="O239" i="1" s="1"/>
  <c r="Q89" i="1"/>
  <c r="L136" i="1"/>
  <c r="O136" i="1" s="1"/>
  <c r="Q471" i="1"/>
  <c r="Q497" i="1"/>
  <c r="Q511" i="1"/>
  <c r="Q357" i="1"/>
  <c r="Q482" i="1"/>
  <c r="L280" i="1"/>
  <c r="O280" i="1" s="1"/>
  <c r="Q481" i="1"/>
  <c r="L544" i="1"/>
  <c r="O544" i="1" s="1"/>
  <c r="Q352" i="1"/>
  <c r="Q480" i="1"/>
  <c r="Q477" i="1"/>
  <c r="L566" i="1"/>
  <c r="O566" i="1" s="1"/>
  <c r="Q324" i="1"/>
  <c r="Q427" i="1"/>
  <c r="Q444" i="1"/>
  <c r="Q441" i="1"/>
  <c r="Q493" i="1"/>
  <c r="Q447" i="1"/>
  <c r="Q322" i="1"/>
  <c r="Q448" i="1"/>
  <c r="S10" i="1"/>
  <c r="T10" i="1" s="1"/>
  <c r="V10" i="1" s="1"/>
  <c r="X10" i="1" s="1"/>
  <c r="S30" i="1"/>
  <c r="T30" i="1" s="1"/>
  <c r="V30" i="1" s="1"/>
  <c r="X30" i="1" s="1"/>
  <c r="L187" i="1"/>
  <c r="O187" i="1" s="1"/>
  <c r="L171" i="1"/>
  <c r="O171" i="1" s="1"/>
  <c r="Q69" i="1"/>
  <c r="Q96" i="1"/>
  <c r="L89" i="1"/>
  <c r="O89" i="1" s="1"/>
  <c r="Q26" i="1"/>
  <c r="Q34" i="1"/>
  <c r="L372" i="1"/>
  <c r="O372" i="1" s="1"/>
  <c r="L524" i="1"/>
  <c r="O524" i="1" s="1"/>
  <c r="Q502" i="1"/>
  <c r="S34" i="1"/>
  <c r="T34" i="1" s="1"/>
  <c r="V34" i="1" s="1"/>
  <c r="X34" i="1" s="1"/>
  <c r="J421" i="1"/>
  <c r="S45" i="1" s="1"/>
  <c r="T45" i="1" s="1"/>
  <c r="V45" i="1" s="1"/>
  <c r="X45" i="1" s="1"/>
  <c r="E421" i="1"/>
  <c r="J388" i="1"/>
  <c r="S12" i="1" s="1"/>
  <c r="T12" i="1" s="1"/>
  <c r="V12" i="1" s="1"/>
  <c r="X12" i="1" s="1"/>
  <c r="E388" i="1"/>
  <c r="J389" i="1"/>
  <c r="S13" i="1" s="1"/>
  <c r="T13" i="1" s="1"/>
  <c r="V13" i="1" s="1"/>
  <c r="X13" i="1" s="1"/>
  <c r="E389" i="1"/>
  <c r="J408" i="1"/>
  <c r="E408" i="1"/>
  <c r="J385" i="1"/>
  <c r="S9" i="1" s="1"/>
  <c r="T9" i="1" s="1"/>
  <c r="V9" i="1" s="1"/>
  <c r="X9" i="1" s="1"/>
  <c r="E385" i="1"/>
  <c r="J404" i="1"/>
  <c r="S28" i="1" s="1"/>
  <c r="T28" i="1" s="1"/>
  <c r="V28" i="1" s="1"/>
  <c r="X28" i="1" s="1"/>
  <c r="E404" i="1"/>
  <c r="L188" i="1"/>
  <c r="O188" i="1" s="1"/>
  <c r="J424" i="1"/>
  <c r="E424" i="1"/>
  <c r="J25" i="1"/>
  <c r="Q25" i="1" s="1"/>
  <c r="E25" i="1"/>
  <c r="F5" i="3" s="1"/>
  <c r="J417" i="1"/>
  <c r="S41" i="1" s="1"/>
  <c r="T41" i="1" s="1"/>
  <c r="V41" i="1" s="1"/>
  <c r="X41" i="1" s="1"/>
  <c r="E417" i="1"/>
  <c r="J397" i="1"/>
  <c r="S21" i="1" s="1"/>
  <c r="T21" i="1" s="1"/>
  <c r="V21" i="1" s="1"/>
  <c r="X21" i="1" s="1"/>
  <c r="E397" i="1"/>
  <c r="J411" i="1"/>
  <c r="S35" i="1" s="1"/>
  <c r="T35" i="1" s="1"/>
  <c r="V35" i="1" s="1"/>
  <c r="X35" i="1" s="1"/>
  <c r="E411" i="1"/>
  <c r="J419" i="1"/>
  <c r="S43" i="1" s="1"/>
  <c r="T43" i="1" s="1"/>
  <c r="V43" i="1" s="1"/>
  <c r="X43" i="1" s="1"/>
  <c r="E419" i="1"/>
  <c r="L288" i="1"/>
  <c r="O288" i="1" s="1"/>
  <c r="S6" i="1"/>
  <c r="T6" i="1" s="1"/>
  <c r="V6" i="1" s="1"/>
  <c r="X6" i="1" s="1"/>
  <c r="J381" i="1"/>
  <c r="S5" i="1" s="1"/>
  <c r="T5" i="1" s="1"/>
  <c r="V5" i="1" s="1"/>
  <c r="X5" i="1" s="1"/>
  <c r="E381" i="1"/>
  <c r="J409" i="1"/>
  <c r="S33" i="1" s="1"/>
  <c r="T33" i="1" s="1"/>
  <c r="V33" i="1" s="1"/>
  <c r="X33" i="1" s="1"/>
  <c r="E409" i="1"/>
  <c r="J393" i="1"/>
  <c r="S17" i="1" s="1"/>
  <c r="T17" i="1" s="1"/>
  <c r="V17" i="1" s="1"/>
  <c r="X17" i="1" s="1"/>
  <c r="E393" i="1"/>
  <c r="J425" i="1"/>
  <c r="S49" i="1" s="1"/>
  <c r="T49" i="1" s="1"/>
  <c r="V49" i="1" s="1"/>
  <c r="X49" i="1" s="1"/>
  <c r="E425" i="1"/>
  <c r="J399" i="1"/>
  <c r="S23" i="1" s="1"/>
  <c r="T23" i="1" s="1"/>
  <c r="V23" i="1" s="1"/>
  <c r="X23" i="1" s="1"/>
  <c r="E399" i="1"/>
  <c r="Q50" i="1"/>
  <c r="J380" i="1"/>
  <c r="S4" i="1" s="1"/>
  <c r="T4" i="1" s="1"/>
  <c r="V4" i="1" s="1"/>
  <c r="X4" i="1" s="1"/>
  <c r="E380" i="1"/>
  <c r="J401" i="1"/>
  <c r="L401" i="1" s="1"/>
  <c r="O401" i="1" s="1"/>
  <c r="E401" i="1"/>
  <c r="J413" i="1"/>
  <c r="S37" i="1" s="1"/>
  <c r="T37" i="1" s="1"/>
  <c r="V37" i="1" s="1"/>
  <c r="X37" i="1" s="1"/>
  <c r="E413" i="1"/>
  <c r="J383" i="1"/>
  <c r="S7" i="1" s="1"/>
  <c r="T7" i="1" s="1"/>
  <c r="V7" i="1" s="1"/>
  <c r="X7" i="1" s="1"/>
  <c r="E383" i="1"/>
  <c r="J407" i="1"/>
  <c r="S31" i="1" s="1"/>
  <c r="T31" i="1" s="1"/>
  <c r="V31" i="1" s="1"/>
  <c r="X31" i="1" s="1"/>
  <c r="E407" i="1"/>
  <c r="J400" i="1"/>
  <c r="E400" i="1"/>
  <c r="J403" i="1"/>
  <c r="S27" i="1" s="1"/>
  <c r="T27" i="1" s="1"/>
  <c r="V27" i="1" s="1"/>
  <c r="X27" i="1" s="1"/>
  <c r="E403" i="1"/>
  <c r="J423" i="1"/>
  <c r="S47" i="1" s="1"/>
  <c r="T47" i="1" s="1"/>
  <c r="V47" i="1" s="1"/>
  <c r="X47" i="1" s="1"/>
  <c r="E423" i="1"/>
  <c r="J387" i="1"/>
  <c r="S11" i="1" s="1"/>
  <c r="T11" i="1" s="1"/>
  <c r="V11" i="1" s="1"/>
  <c r="X11" i="1" s="1"/>
  <c r="E387" i="1"/>
  <c r="J395" i="1"/>
  <c r="S19" i="1" s="1"/>
  <c r="T19" i="1" s="1"/>
  <c r="V19" i="1" s="1"/>
  <c r="X19" i="1" s="1"/>
  <c r="E395" i="1"/>
  <c r="J420" i="1"/>
  <c r="S44" i="1" s="1"/>
  <c r="T44" i="1" s="1"/>
  <c r="V44" i="1" s="1"/>
  <c r="X44" i="1" s="1"/>
  <c r="E420" i="1"/>
  <c r="J396" i="1"/>
  <c r="S20" i="1" s="1"/>
  <c r="T20" i="1" s="1"/>
  <c r="V20" i="1" s="1"/>
  <c r="X20" i="1" s="1"/>
  <c r="E396" i="1"/>
  <c r="J384" i="1"/>
  <c r="S8" i="1" s="1"/>
  <c r="T8" i="1" s="1"/>
  <c r="V8" i="1" s="1"/>
  <c r="X8" i="1" s="1"/>
  <c r="E384" i="1"/>
  <c r="J392" i="1"/>
  <c r="S16" i="1" s="1"/>
  <c r="T16" i="1" s="1"/>
  <c r="V16" i="1" s="1"/>
  <c r="X16" i="1" s="1"/>
  <c r="E392" i="1"/>
  <c r="J405" i="1"/>
  <c r="S29" i="1" s="1"/>
  <c r="T29" i="1" s="1"/>
  <c r="V29" i="1" s="1"/>
  <c r="X29" i="1" s="1"/>
  <c r="E405" i="1"/>
  <c r="J412" i="1"/>
  <c r="S36" i="1" s="1"/>
  <c r="T36" i="1" s="1"/>
  <c r="V36" i="1" s="1"/>
  <c r="X36" i="1" s="1"/>
  <c r="E412" i="1"/>
  <c r="S18" i="1"/>
  <c r="T18" i="1" s="1"/>
  <c r="V18" i="1" s="1"/>
  <c r="X18" i="1" s="1"/>
  <c r="F4" i="3" l="1"/>
  <c r="F3" i="3"/>
  <c r="Q417" i="1"/>
  <c r="Q408" i="1"/>
  <c r="L421" i="1"/>
  <c r="O421" i="1" s="1"/>
  <c r="Q388" i="1"/>
  <c r="L388" i="1"/>
  <c r="O388" i="1" s="1"/>
  <c r="Q404" i="1"/>
  <c r="L25" i="1"/>
  <c r="O25" i="1" s="1"/>
  <c r="Q419" i="1"/>
  <c r="Q397" i="1"/>
  <c r="Q403" i="1"/>
  <c r="L383" i="1"/>
  <c r="O383" i="1" s="1"/>
  <c r="L424" i="1"/>
  <c r="O424" i="1" s="1"/>
  <c r="Q383" i="1"/>
  <c r="L392" i="1"/>
  <c r="O392" i="1" s="1"/>
  <c r="L399" i="1"/>
  <c r="O399" i="1" s="1"/>
  <c r="L381" i="1"/>
  <c r="O381" i="1" s="1"/>
  <c r="Q395" i="1"/>
  <c r="Q393" i="1"/>
  <c r="Q387" i="1"/>
  <c r="L407" i="1"/>
  <c r="O407" i="1" s="1"/>
  <c r="Q392" i="1"/>
  <c r="Q409" i="1"/>
  <c r="Q389" i="1"/>
  <c r="Q412" i="1"/>
  <c r="Q396" i="1"/>
  <c r="L393" i="1"/>
  <c r="O393" i="1" s="1"/>
  <c r="Q385" i="1"/>
  <c r="Q381" i="1"/>
  <c r="L385" i="1"/>
  <c r="O385" i="1" s="1"/>
  <c r="L389" i="1"/>
  <c r="O389" i="1" s="1"/>
  <c r="Q421" i="1"/>
  <c r="L412" i="1"/>
  <c r="O412" i="1" s="1"/>
  <c r="L420" i="1"/>
  <c r="O420" i="1" s="1"/>
  <c r="Q399" i="1"/>
  <c r="L387" i="1"/>
  <c r="O387" i="1" s="1"/>
  <c r="Q411" i="1"/>
  <c r="L417" i="1"/>
  <c r="O417" i="1" s="1"/>
  <c r="L403" i="1"/>
  <c r="O403" i="1" s="1"/>
  <c r="Q384" i="1"/>
  <c r="Q401" i="1"/>
  <c r="L411" i="1"/>
  <c r="O411" i="1" s="1"/>
  <c r="Q424" i="1"/>
  <c r="Q407" i="1"/>
  <c r="L405" i="1"/>
  <c r="O405" i="1" s="1"/>
  <c r="L396" i="1"/>
  <c r="O396" i="1" s="1"/>
  <c r="L395" i="1"/>
  <c r="O395" i="1" s="1"/>
  <c r="L409" i="1"/>
  <c r="O409" i="1" s="1"/>
  <c r="Q413" i="1"/>
  <c r="L404" i="1"/>
  <c r="O404" i="1" s="1"/>
  <c r="L408" i="1"/>
  <c r="O408" i="1" s="1"/>
  <c r="Q423" i="1"/>
  <c r="Q400" i="1"/>
  <c r="Q405" i="1"/>
  <c r="L384" i="1"/>
  <c r="O384" i="1" s="1"/>
  <c r="Q420" i="1"/>
  <c r="L380" i="1"/>
  <c r="O380" i="1" s="1"/>
  <c r="Q425" i="1"/>
  <c r="S25" i="1"/>
  <c r="T25" i="1" s="1"/>
  <c r="V25" i="1" s="1"/>
  <c r="X25" i="1" s="1"/>
  <c r="L419" i="1"/>
  <c r="O419" i="1" s="1"/>
  <c r="L397" i="1"/>
  <c r="O397" i="1" s="1"/>
  <c r="L413" i="1"/>
  <c r="O413" i="1" s="1"/>
  <c r="L423" i="1"/>
  <c r="O423" i="1" s="1"/>
  <c r="L400" i="1"/>
  <c r="O400" i="1" s="1"/>
  <c r="Q380" i="1"/>
  <c r="L425" i="1"/>
  <c r="O425" i="1" s="1"/>
  <c r="H5" i="3" l="1"/>
  <c r="J24" i="1" l="1"/>
  <c r="S24" i="1" s="1"/>
  <c r="T24" i="1" s="1"/>
  <c r="V24" i="1" s="1"/>
  <c r="X24" i="1" s="1"/>
  <c r="J220" i="1"/>
  <c r="J38" i="1"/>
  <c r="S38" i="1" s="1"/>
  <c r="T38" i="1" s="1"/>
  <c r="V38" i="1" s="1"/>
  <c r="X38" i="1" s="1"/>
  <c r="J181" i="1"/>
  <c r="J48" i="1"/>
  <c r="S48" i="1" s="1"/>
  <c r="T48" i="1" s="1"/>
  <c r="V48" i="1" s="1"/>
  <c r="X48" i="1" s="1"/>
  <c r="J238" i="1"/>
  <c r="J127" i="1"/>
  <c r="Q220" i="1" l="1"/>
  <c r="L220" i="1"/>
  <c r="O220" i="1" s="1"/>
  <c r="S32" i="1"/>
  <c r="T32" i="1" s="1"/>
  <c r="V32" i="1" s="1"/>
  <c r="X32" i="1" s="1"/>
  <c r="G3" i="3" s="1"/>
  <c r="S40" i="1"/>
  <c r="T40" i="1" s="1"/>
  <c r="V40" i="1" s="1"/>
  <c r="X40" i="1" s="1"/>
  <c r="Q181" i="1"/>
  <c r="L181" i="1"/>
  <c r="O181" i="1" s="1"/>
  <c r="Q238" i="1"/>
  <c r="L238" i="1"/>
  <c r="O238" i="1" s="1"/>
  <c r="S50" i="1"/>
  <c r="T50" i="1" s="1"/>
  <c r="V50" i="1" s="1"/>
  <c r="X50" i="1" s="1"/>
  <c r="L127" i="1"/>
  <c r="O127" i="1" s="1"/>
  <c r="Q127" i="1"/>
  <c r="Q38" i="1"/>
  <c r="L48" i="1"/>
  <c r="O48" i="1" s="1"/>
  <c r="Q48" i="1"/>
  <c r="L24" i="1"/>
  <c r="O24" i="1" s="1"/>
  <c r="Q24" i="1"/>
  <c r="L38" i="1"/>
  <c r="O38" i="1" s="1"/>
  <c r="X51" i="1" l="1"/>
  <c r="G5" i="3" s="1"/>
  <c r="I5" i="3" s="1"/>
  <c r="H3" i="3"/>
  <c r="I3" i="3" s="1"/>
  <c r="G4" i="3"/>
  <c r="Q568" i="1"/>
  <c r="C5" i="3" s="1"/>
  <c r="O568" i="1"/>
  <c r="C6" i="3" s="1"/>
  <c r="H4" i="3"/>
  <c r="I4" i="3" l="1"/>
  <c r="C3" i="3"/>
  <c r="C7" i="3" s="1"/>
  <c r="K10" i="5"/>
  <c r="K11" i="5"/>
  <c r="K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tc={00D0AE95-AB47-40A7-9D2D-3B9F0D2E0E8D}</author>
    <author>tc={310ECCEC-E02F-4A6C-930F-0917E2BA8E17}</author>
    <author>tc={3939DBF5-17F3-44B6-A635-7FAC4FA4576B}</author>
    <author>tc={FA8DFB43-8FF3-41C3-809D-65604DE49335}</author>
  </authors>
  <commentList>
    <comment ref="O3" authorId="0" shapeId="0" xr:uid="{00D0AE95-AB47-40A7-9D2D-3B9F0D2E0E8D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w. O&amp; costs in tab</t>
      </text>
    </comment>
    <comment ref="U3" authorId="1" shapeId="0" xr:uid="{310ECCEC-E02F-4A6C-930F-0917E2BA8E17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Assumes new landfills will need to be constructed by 2030</t>
      </text>
    </comment>
    <comment ref="W4" authorId="2" shapeId="0" xr:uid="{3939DBF5-17F3-44B6-A635-7FAC4FA4576B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gaps filled with average of other numbers</t>
      </text>
    </comment>
    <comment ref="I8" authorId="3" shapeId="0" xr:uid="{FA8DFB43-8FF3-41C3-809D-65604DE49335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gap filled with average waste per capita values gathered for other cities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5DA74E0-770C-4306-A04C-149590B59647}">
      <text>
        <r>
          <rPr>
            <sz val="11"/>
            <color rgb="FF000000"/>
            <rFont val="Calibri"/>
            <family val="2"/>
          </rPr>
          <t>======
ID#AAAADYqxcUs
tc={E58D0C60-78DC-48D0-8B7E-8B5AE086BC73}    (2019-08-01 12:04:12)
[Threaded comment]
Your version of Excel allows you to read this threaded comment; however, any edits to it will get removed if the file is opened in a newer version of Excel. Learn more: https://go.microsoft.com/fwlink/?linkid=870924
Comment:
    Source: Colombian 2018 Census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tc={128B4D21-62D3-4D48-9E7B-55E487EA5DA5}</author>
  </authors>
  <commentList>
    <comment ref="F47" authorId="0" shapeId="0" xr:uid="{128B4D21-62D3-4D48-9E7B-55E487EA5DA5}">
      <text>
        <t>[Threaded comment]
Your version of Excel allows you to read this threaded comment; however, any edits to it will get removed if the file is opened in a newer version of Excel. Learn more: https://go.microsoft.com/fwlink/?linkid=870924
Comment:
    Derived from generating 5400 ton/year in 2015 as a municipality</t>
      </text>
    </comment>
  </commentList>
</comments>
</file>

<file path=xl/sharedStrings.xml><?xml version="1.0" encoding="utf-8"?>
<sst xmlns="http://schemas.openxmlformats.org/spreadsheetml/2006/main" count="1097" uniqueCount="223">
  <si>
    <t>Year</t>
  </si>
  <si>
    <t>City</t>
  </si>
  <si>
    <t>Population</t>
  </si>
  <si>
    <t>Total Waste Generated per Year (Tons)</t>
  </si>
  <si>
    <t>Average GDP growth rate for the past 10 years (%)</t>
  </si>
  <si>
    <t>GDP per capita (projected, constant 2011 international $)</t>
  </si>
  <si>
    <t>Average population growth rate for the past 10 years (%)</t>
  </si>
  <si>
    <t>Average inflation for the past 10 years (%)</t>
  </si>
  <si>
    <t>Variable</t>
  </si>
  <si>
    <t>Source</t>
  </si>
  <si>
    <t>WDI</t>
  </si>
  <si>
    <t>Waste Atlas</t>
  </si>
  <si>
    <t>GDP per capita in 2010, PPP (constant 2011 international $)</t>
  </si>
  <si>
    <t>S.No.</t>
  </si>
  <si>
    <t>Item</t>
  </si>
  <si>
    <t>Cost (USD 2019)</t>
  </si>
  <si>
    <t>Infrastructure</t>
  </si>
  <si>
    <t>Operation</t>
  </si>
  <si>
    <t>IDB Solid Waste Management in Latin America and the Caribbean 2010 report</t>
  </si>
  <si>
    <t>TOTAL</t>
  </si>
  <si>
    <t>No.</t>
  </si>
  <si>
    <t>Bogota</t>
  </si>
  <si>
    <t>Medellin</t>
  </si>
  <si>
    <t>Cali</t>
  </si>
  <si>
    <t>Barranquilla</t>
  </si>
  <si>
    <t>Bucaramanga</t>
  </si>
  <si>
    <t>Cartagena</t>
  </si>
  <si>
    <t>Cucuta</t>
  </si>
  <si>
    <t>Pereira</t>
  </si>
  <si>
    <t>Santa Marta</t>
  </si>
  <si>
    <t>Ibague</t>
  </si>
  <si>
    <t>Pasto</t>
  </si>
  <si>
    <t>Manizales</t>
  </si>
  <si>
    <t>Villavicencio</t>
  </si>
  <si>
    <t>Neiva</t>
  </si>
  <si>
    <t>Armenia</t>
  </si>
  <si>
    <t>Valledupar</t>
  </si>
  <si>
    <t>Monteria</t>
  </si>
  <si>
    <t>Sincelejo</t>
  </si>
  <si>
    <t>Popayan</t>
  </si>
  <si>
    <t>Tunja</t>
  </si>
  <si>
    <t>Riohacha</t>
  </si>
  <si>
    <t>Florencia</t>
  </si>
  <si>
    <t>Quibdo</t>
  </si>
  <si>
    <t>Arauca</t>
  </si>
  <si>
    <t>Yopal</t>
  </si>
  <si>
    <t>Leticia</t>
  </si>
  <si>
    <t>San Andres</t>
  </si>
  <si>
    <t>San Jose del Guaviare</t>
  </si>
  <si>
    <t>Mocoa</t>
  </si>
  <si>
    <t>Puerto Carreno</t>
  </si>
  <si>
    <t>Inirida</t>
  </si>
  <si>
    <t>Mitu</t>
  </si>
  <si>
    <t>Cartago</t>
  </si>
  <si>
    <t>Ipiales</t>
  </si>
  <si>
    <t>Bello</t>
  </si>
  <si>
    <t>Buenaventura</t>
  </si>
  <si>
    <t>Sogamoso</t>
  </si>
  <si>
    <t>El Banco</t>
  </si>
  <si>
    <t>Arjona</t>
  </si>
  <si>
    <t>Sabanalarga</t>
  </si>
  <si>
    <t>Chiquinquira</t>
  </si>
  <si>
    <t>Pamplona</t>
  </si>
  <si>
    <t>Guapi</t>
  </si>
  <si>
    <t>Honda</t>
  </si>
  <si>
    <t>Campoalegre</t>
  </si>
  <si>
    <t>Source: Colombian 2018 Census</t>
  </si>
  <si>
    <t>No</t>
  </si>
  <si>
    <t>Collection and Transportation cost per ton (US$)</t>
  </si>
  <si>
    <t>Percentage of landfilled waste</t>
  </si>
  <si>
    <t>Amount landfilled (tons)</t>
  </si>
  <si>
    <t>Determine capacity required to provide complete management coverage</t>
  </si>
  <si>
    <t>Projected Waste Generated per capita (kg/yr-person)</t>
  </si>
  <si>
    <t>Colombia CPI in 2005 (2010=100)</t>
  </si>
  <si>
    <t>Colombia CPI in 2012 (2010=100)</t>
  </si>
  <si>
    <t>Colombia CPI in 2010 (2010=100)</t>
  </si>
  <si>
    <t>Colombia CPI in 2017 (2010=100)</t>
  </si>
  <si>
    <t>Max amount of waste dumped on each hectare of land (ton)</t>
  </si>
  <si>
    <t>Proxy waste generation per capita (kg/year-person)</t>
  </si>
  <si>
    <t>https://planeacionarmenia.gov.co</t>
  </si>
  <si>
    <t>enuentra24.com</t>
  </si>
  <si>
    <t>Cost of Land outside of city center (COP 2019/Sq.km)</t>
  </si>
  <si>
    <t>gen</t>
  </si>
  <si>
    <t>Demand</t>
  </si>
  <si>
    <t>Capital Cost</t>
  </si>
  <si>
    <t>O&amp;M</t>
  </si>
  <si>
    <t>Capacity</t>
  </si>
  <si>
    <t>Source Value</t>
  </si>
  <si>
    <t>Value (USD 2019) US PPP</t>
  </si>
  <si>
    <t>Disposal cost per ton (USD 2019/ton)</t>
  </si>
  <si>
    <t>Collection, transportation</t>
  </si>
  <si>
    <t>Adequate Treatment of Waste, Operational Costs</t>
  </si>
  <si>
    <t>Waste Produced</t>
  </si>
  <si>
    <t>Waste distribution</t>
  </si>
  <si>
    <t>Population (2019)</t>
  </si>
  <si>
    <t>Exchange rate of Colombian Peso to USD in 2019: 1 USD = ____ COP</t>
  </si>
  <si>
    <t>No. Landfills</t>
  </si>
  <si>
    <t>22% full</t>
  </si>
  <si>
    <t>Possibly using La Esperanza (2012 Development Plan)</t>
  </si>
  <si>
    <t>Uses Los Angeles near Neiva</t>
  </si>
  <si>
    <t>"La Cortada"</t>
  </si>
  <si>
    <t>"Carapacho"</t>
  </si>
  <si>
    <t>Dona Juana</t>
  </si>
  <si>
    <t>All values are taken from Development Plans (2016), unless otherwise noted</t>
  </si>
  <si>
    <t>Los Pocitos</t>
  </si>
  <si>
    <t>Name of landfill</t>
  </si>
  <si>
    <t>PGIRS</t>
  </si>
  <si>
    <t>El Carmen de Bolivar</t>
  </si>
  <si>
    <t>Ocana</t>
  </si>
  <si>
    <t>Uses Sucre's landfill</t>
  </si>
  <si>
    <t>Percentage landfilled</t>
  </si>
  <si>
    <t>GDP per capita, PPP (constant 2011 international $) in 2017</t>
  </si>
  <si>
    <t>Annual receipt (ton/yr)</t>
  </si>
  <si>
    <t>Volume received (cubic m/yr)</t>
  </si>
  <si>
    <t>Life Span (yr)</t>
  </si>
  <si>
    <t>Land Required (includes facilities, road, etc.) (ha)</t>
  </si>
  <si>
    <t>Total Landfill Capacity (ton)</t>
  </si>
  <si>
    <t>Adequate sanitary landfills</t>
  </si>
  <si>
    <t>Cost of sanitary landfill installation</t>
  </si>
  <si>
    <t>Annual operations cost (EUR 2008)</t>
  </si>
  <si>
    <t>Annual repair and maintenance cost (EUR 2008)</t>
  </si>
  <si>
    <t>Annual personell and admin cost (EUR 2008)</t>
  </si>
  <si>
    <t>Annual operations cost (USD 2019 &amp; U.S. PPP)</t>
  </si>
  <si>
    <t>Annual repair and maintenance cost (USD 2019 &amp; U.S. PPP)</t>
  </si>
  <si>
    <t>Annual personell and admin cost (USD 2019 &amp; U.S. PPP)</t>
  </si>
  <si>
    <t>Inflation of USD from 2008. 1 USD 2008 = _____ USD 2019</t>
  </si>
  <si>
    <t>Price level ratio of PPP conversion factor (GDP) to market exchange rate of Germany in 2008</t>
  </si>
  <si>
    <t>https://www.statista.com/statistics/412794/euro-to-u-s-dollar-annual-average-exchange-rate/</t>
  </si>
  <si>
    <t>Exchange rate of Euro to USD in 2008 1 Euro = ____ USD</t>
  </si>
  <si>
    <t>http://www.in2013dollars.com/us/inflation/2008?amount=1</t>
  </si>
  <si>
    <t>*Colombian PPP -  adjusted</t>
  </si>
  <si>
    <t>Size of actual landfill (ha)</t>
  </si>
  <si>
    <t>https://www.thecalculatorsite.com/conversions/area/hectares-to-acres.php</t>
  </si>
  <si>
    <t>Price level ratio of PPP conversion factor (GDP) to market exchange rate in 2005 of Colombia</t>
  </si>
  <si>
    <t>Price level ratio of PPP conversion factor (GDP) to market exchange rate in 2019 of Colombia</t>
  </si>
  <si>
    <t>https://data.worldbank.org/indicator/PA.NUS.PPPC.RF?locations=CO</t>
  </si>
  <si>
    <t>Average cost for 1 hectare of land outside the city center</t>
  </si>
  <si>
    <t>Cost of Land outside of city center  (USD 2019/Hectare)</t>
  </si>
  <si>
    <t>Collection cost (USD 2019)</t>
  </si>
  <si>
    <t>Annual operations cost (USD 2019 &amp; U.S. PPP) per ton/yr waste</t>
  </si>
  <si>
    <t>Annual repair and maintenance cost (USD 2019 &amp; U.S. PPP) per ton/yr waste</t>
  </si>
  <si>
    <t>Annual personell and admin cost (USD 2019 &amp; U.S. PPP) per ton/yr waste</t>
  </si>
  <si>
    <t>TOTAL (USD 2019/ton-yr and U.S. PPP)</t>
  </si>
  <si>
    <t>Source:  German Environment Agency
Best Practice Municipal Waste Management: Information pool on approaches towards a  sustainable design of municipal waste management and supporting technologies and equipment (2018)</t>
  </si>
  <si>
    <t>Link: https://www.umweltbundesamt.de/sites/default/files/medien/1410/publikationen/2018-05-30_texte_40-2018-municipal-waste-management_en.pdf</t>
  </si>
  <si>
    <t>U.S. EPA: Economic Impact Analysis for the Proposed New Subpart to the New Source Performance Standards (2014)</t>
  </si>
  <si>
    <t>calculated based on model from What A Waste 2.0 (2010) by World Bank</t>
  </si>
  <si>
    <t>Number of acres in 1 hectare (acre/ha)</t>
  </si>
  <si>
    <t>Assumption</t>
  </si>
  <si>
    <t>Landfill Model Parameters: Sanitary Landfill</t>
  </si>
  <si>
    <t>Annual administrative, operations, and maintenance costs per ton</t>
  </si>
  <si>
    <t>German Environment Agency; Best Practice Municipal Waste Management: Information pool on approaches towards a  sustainable design of municipal waste management and supporting technologies and equipment (2018)</t>
  </si>
  <si>
    <t>Yearly Administrative, Operations and Maintenance Costs, per ton (USD 2019)</t>
  </si>
  <si>
    <r>
      <t>Waste collection</t>
    </r>
    <r>
      <rPr>
        <i/>
        <sz val="11"/>
        <color theme="1"/>
        <rFont val="Calibri"/>
        <family val="2"/>
        <scheme val="minor"/>
      </rPr>
      <t xml:space="preserve"> in Colombia</t>
    </r>
    <r>
      <rPr>
        <sz val="11"/>
        <color theme="1"/>
        <rFont val="Calibri"/>
        <family val="2"/>
        <scheme val="minor"/>
      </rPr>
      <t xml:space="preserve"> (US$/Ton)</t>
    </r>
  </si>
  <si>
    <t>Cost of additional sanitary landfill construction (USD 2019)</t>
  </si>
  <si>
    <t>Landfill demand by 2030</t>
  </si>
  <si>
    <t>Total hectares of sanitary landfilled needed by 2030</t>
  </si>
  <si>
    <t>Existing hectares of sanitary landfill</t>
  </si>
  <si>
    <t>Additional hectares of sanitary landfill needed</t>
  </si>
  <si>
    <t>Estimated cost of per hectare landfill construction in US (high end, EPA 2005)</t>
  </si>
  <si>
    <r>
      <t xml:space="preserve">Estimated cost of per hectare landfill construction in Colombia in 2019 </t>
    </r>
    <r>
      <rPr>
        <i/>
        <u/>
        <sz val="11"/>
        <color theme="1"/>
        <rFont val="Calibri"/>
        <family val="2"/>
        <scheme val="minor"/>
      </rPr>
      <t>(adjusted for PPP)</t>
    </r>
  </si>
  <si>
    <t>Total waste generated by 2030 (tons)</t>
  </si>
  <si>
    <t>Price of vacant land outside city center (USD 2019/ha)</t>
  </si>
  <si>
    <t>Annual running costs</t>
  </si>
  <si>
    <t>Sanitary Landfill Construction</t>
  </si>
  <si>
    <t>Waste Collection and Transportation</t>
  </si>
  <si>
    <t>Administrative, O&amp;M Costs of Sanitary Landfills</t>
  </si>
  <si>
    <t>Same location as Medellin - it borders medellin</t>
  </si>
  <si>
    <t>https://www.fincaraiz.com.co/lote-en-venta/medellin/las_palmas-det-4567396.aspx</t>
  </si>
  <si>
    <t>https://www.fincaraiz.com.co/lote-en-venta/barranquilla/puerto_colombia-det-3782357.aspx</t>
  </si>
  <si>
    <t>https://www.fincaraiz.com.co/lote-en-venta/cartagena/bayunca_pontezuela-det-4567808.aspx</t>
  </si>
  <si>
    <t>https://www.fincaraiz.com.co/lote-en-venta/tunja/vereda_poravita_oicata-det-4793446.aspx</t>
  </si>
  <si>
    <t>https://www.fincaraiz.com.co/lote-en-venta/sogamoso/vereda_toquecha-det-4706000.aspx</t>
  </si>
  <si>
    <t>https://www.fincaraiz.com.co/lote-en-venta/manizales/manuela-det-3811192.aspx</t>
  </si>
  <si>
    <t>https://www.fincaraiz.com.co/lote-en-venta/manizales/alto_bonito-det-2839144.aspx</t>
  </si>
  <si>
    <t>https://www.fincaraiz.com.co/lote-en-venta/otros-municipios/riverita-det-4861913.aspx</t>
  </si>
  <si>
    <t>https://www.fincaraiz.com.co/lote-en-venta/santa-marta/tigrera-det-4810822.aspx</t>
  </si>
  <si>
    <t>https://www.fincaraiz.com.co/lote-en-venta/santa-marta/minca-det-4753862.aspx</t>
  </si>
  <si>
    <t>https://www.fincaraiz.com.co/lote-en-venta/santa-marta/vereda_limon-det-3762925.aspx</t>
  </si>
  <si>
    <t>https://www.fincaraiz.com.co/lote-en-venta/villavicencio/canos_negros-det-4292063.aspx</t>
  </si>
  <si>
    <t>https://www.fincaraiz.com.co/lote-en-venta/pasto/corregimiento_encano_vereda_casapamba-det-4803239.aspx</t>
  </si>
  <si>
    <t>https://www.fincaraiz.com.co/lote-en-venta/pasto/tangua-det-4408252.aspx</t>
  </si>
  <si>
    <t>https://www.fincaraiz.com.co/lote-en-venta/pasto/laguna-det-3732165.aspx</t>
  </si>
  <si>
    <t>https://www.fincaraiz.com.co/lote-en-venta/cucuta/recta_corozal-det-2641355.aspx</t>
  </si>
  <si>
    <t>https://www.fincaraiz.com.co/lote-en-venta/pereira/via_cartago-det-4578158.aspx</t>
  </si>
  <si>
    <t>https://www.fincaraiz.com.co/lote-en-venta/pereira/jordan-det-2652599.aspx</t>
  </si>
  <si>
    <t>https://www.fincaraiz.com.co/lote-en-venta/pereira/via_armenia-det-4315927.aspx</t>
  </si>
  <si>
    <t>https://www.fincaraiz.com.co/lote-en-venta/bucaramanga/los_santos-det-4743710.aspx</t>
  </si>
  <si>
    <t>https://www.fincaraiz.com.co/lote-en-venta/honda/picota-det-4768202.aspx</t>
  </si>
  <si>
    <t>https://www.fincaraiz.com.co/lote-en-venta/honda/via_honda_mariquita-det-4773171.aspx</t>
  </si>
  <si>
    <t>https://www.fincaraiz.com.co/lote-en-venta/cali/zona_oeste-det-4929216.aspx</t>
  </si>
  <si>
    <t>https://www.fincaraiz.com.co/lote-en-venta/cali/corregimiento_paz-det-4816095.aspx</t>
  </si>
  <si>
    <t>No. Cities</t>
  </si>
  <si>
    <t>Encuentra 24</t>
  </si>
  <si>
    <t>Borders Pereira</t>
  </si>
  <si>
    <t>Average Cost of Land outside of city center  (USD 2019/Hectare)</t>
  </si>
  <si>
    <t>Average Annual Cost by City Type</t>
  </si>
  <si>
    <t>City Size</t>
  </si>
  <si>
    <t>Sample Size</t>
  </si>
  <si>
    <t>Total</t>
  </si>
  <si>
    <t>Small</t>
  </si>
  <si>
    <t>Medium</t>
  </si>
  <si>
    <t>Large</t>
  </si>
  <si>
    <t>.</t>
  </si>
  <si>
    <t>..</t>
  </si>
  <si>
    <t>Waste Per Capita in source year (kg/yr-person)</t>
  </si>
  <si>
    <t>Waste Per Capita in 2019 (kg/yr-person)</t>
  </si>
  <si>
    <t>GDP per capita, PPP (constant 2011 international $)</t>
  </si>
  <si>
    <t>Proxy waste per capita (kg/yr-person)</t>
  </si>
  <si>
    <r>
      <t xml:space="preserve">Source </t>
    </r>
    <r>
      <rPr>
        <i/>
        <sz val="11"/>
        <color theme="1"/>
        <rFont val="Calibri"/>
        <family val="2"/>
        <scheme val="minor"/>
      </rPr>
      <t>(from City's Development Plan unless otherwise noted)</t>
    </r>
  </si>
  <si>
    <t>Population (2016): 34,309</t>
  </si>
  <si>
    <t>Average waste generated per capita in 2019 (kg/yr-person)</t>
  </si>
  <si>
    <t>Development plans, PGIRS plans, Waste Atlas</t>
  </si>
  <si>
    <t>Population in 2019</t>
  </si>
  <si>
    <t>Average Waste Per Capita in 2019 (weighted by population)</t>
  </si>
  <si>
    <t>Proxy waste generation in base year (2019)</t>
  </si>
  <si>
    <t>Project GDP per capita (projected, constant 2011 international $)</t>
  </si>
  <si>
    <t>Average</t>
  </si>
  <si>
    <t>Size</t>
  </si>
  <si>
    <t>Average cost by city size (USD 2019/Ha)</t>
  </si>
  <si>
    <t>assumption</t>
  </si>
  <si>
    <t>-</t>
  </si>
  <si>
    <t>Available Area of Landfill (Ha)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</si>
</sst>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_(* #,##0.0_);_(* \(#,##0.0\);_(* &quot;-&quot;??_);_(@_)"/>
    <numFmt numFmtId="167" formatCode="_-[$£-809]* #,##0.00_-;\-[$£-809]* #,##0.00_-;_-[$£-809]* &quot;-&quot;??_-;_-@_-"/>
  </numFmts>
  <fonts count="3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1"/>
      <color theme="1"/>
      <name val="Calibri  "/>
    </font>
    <font>
      <u/>
      <sz val="12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FF0000"/>
      <name val="Calibri"/>
      <family val="2"/>
    </font>
    <font>
      <sz val="11"/>
      <name val="Calibri  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  "/>
    </font>
    <font>
      <sz val="11"/>
      <color rgb="FF0070C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u val="singleAccounting"/>
      <sz val="11"/>
      <color rgb="FF0070C0"/>
      <name val="Calibri"/>
      <family val="2"/>
      <scheme val="minor"/>
    </font>
    <font>
      <sz val="11"/>
      <color rgb="FF000000"/>
      <name val="Calibri  "/>
    </font>
    <font>
      <b/>
      <sz val="11"/>
      <color rgb="FF000000"/>
      <name val="Calibri  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Calibri"/>
      <family val="2"/>
    </font>
    <font>
      <u/>
      <sz val="11"/>
      <color theme="10"/>
      <name val="Calibri  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FBFBF"/>
        <bgColor rgb="FFBFBFBF"/>
      </patternFill>
    </fill>
  </fills>
  <borders count="2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3" fillId="0" borderId="0" applyFont="0" applyFill="0" applyBorder="0" applyAlignment="0" applyProtection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231">
    <xf numFmtId="0" fontId="0" fillId="0" borderId="0" xfId="0"/>
    <xf numFmtId="0" fontId="0" fillId="0" borderId="0" xfId="0" applyBorder="1"/>
    <xf numFmtId="0" fontId="0" fillId="0" borderId="1" xfId="0" applyBorder="1"/>
    <xf numFmtId="43" fontId="0" fillId="0" borderId="0" xfId="1" applyFont="1"/>
    <xf numFmtId="44" fontId="0" fillId="0" borderId="0" xfId="2" applyFont="1"/>
    <xf numFmtId="44" fontId="0" fillId="0" borderId="1" xfId="0" applyNumberFormat="1" applyBorder="1"/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44" fontId="0" fillId="4" borderId="2" xfId="0" applyNumberFormat="1" applyFill="1" applyBorder="1" applyAlignment="1">
      <alignment vertical="center"/>
    </xf>
    <xf numFmtId="0" fontId="15" fillId="0" borderId="5" xfId="0" applyFont="1" applyBorder="1" applyAlignment="1">
      <alignment horizontal="left" vertical="center"/>
    </xf>
    <xf numFmtId="0" fontId="0" fillId="0" borderId="0" xfId="0" applyFont="1"/>
    <xf numFmtId="0" fontId="16" fillId="0" borderId="0" xfId="0" applyFont="1"/>
    <xf numFmtId="164" fontId="16" fillId="0" borderId="0" xfId="1" applyNumberFormat="1" applyFont="1"/>
    <xf numFmtId="0" fontId="15" fillId="0" borderId="0" xfId="0" applyFont="1" applyBorder="1" applyAlignment="1">
      <alignment horizontal="left" vertical="center"/>
    </xf>
    <xf numFmtId="43" fontId="11" fillId="0" borderId="0" xfId="1" applyFont="1"/>
    <xf numFmtId="0" fontId="11" fillId="0" borderId="0" xfId="0" applyFont="1"/>
    <xf numFmtId="43" fontId="18" fillId="0" borderId="0" xfId="1" applyFont="1"/>
    <xf numFmtId="43" fontId="0" fillId="0" borderId="0" xfId="1" applyFont="1" applyBorder="1"/>
    <xf numFmtId="0" fontId="11" fillId="0" borderId="3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7" xfId="0" applyFont="1" applyBorder="1"/>
    <xf numFmtId="0" fontId="11" fillId="0" borderId="0" xfId="0" applyFont="1" applyAlignment="1">
      <alignment horizontal="left" vertical="center"/>
    </xf>
    <xf numFmtId="0" fontId="21" fillId="0" borderId="0" xfId="4" applyFont="1"/>
    <xf numFmtId="43" fontId="19" fillId="0" borderId="0" xfId="1" applyFont="1"/>
    <xf numFmtId="0" fontId="10" fillId="0" borderId="0" xfId="0" applyFont="1"/>
    <xf numFmtId="0" fontId="0" fillId="0" borderId="4" xfId="0" applyFont="1" applyBorder="1"/>
    <xf numFmtId="0" fontId="15" fillId="0" borderId="4" xfId="0" applyFont="1" applyBorder="1"/>
    <xf numFmtId="0" fontId="0" fillId="0" borderId="4" xfId="0" applyFont="1" applyBorder="1" applyAlignment="1">
      <alignment horizontal="center" wrapText="1"/>
    </xf>
    <xf numFmtId="0" fontId="0" fillId="0" borderId="0" xfId="0" applyFont="1" applyAlignment="1"/>
    <xf numFmtId="0" fontId="15" fillId="0" borderId="5" xfId="0" applyFont="1" applyBorder="1"/>
    <xf numFmtId="0" fontId="0" fillId="0" borderId="11" xfId="0" applyFont="1" applyBorder="1"/>
    <xf numFmtId="164" fontId="0" fillId="0" borderId="0" xfId="0" applyNumberFormat="1" applyFont="1"/>
    <xf numFmtId="164" fontId="15" fillId="0" borderId="0" xfId="0" applyNumberFormat="1" applyFont="1"/>
    <xf numFmtId="43" fontId="0" fillId="0" borderId="0" xfId="0" applyNumberFormat="1" applyFont="1" applyAlignment="1">
      <alignment horizontal="right"/>
    </xf>
    <xf numFmtId="3" fontId="15" fillId="0" borderId="0" xfId="0" applyNumberFormat="1" applyFont="1"/>
    <xf numFmtId="3" fontId="15" fillId="0" borderId="0" xfId="0" applyNumberFormat="1" applyFont="1" applyAlignment="1"/>
    <xf numFmtId="0" fontId="22" fillId="0" borderId="11" xfId="0" applyFont="1" applyFill="1" applyBorder="1"/>
    <xf numFmtId="0" fontId="0" fillId="0" borderId="5" xfId="0" applyFont="1" applyBorder="1"/>
    <xf numFmtId="0" fontId="23" fillId="0" borderId="0" xfId="0" applyFont="1"/>
    <xf numFmtId="0" fontId="0" fillId="0" borderId="0" xfId="0" applyFont="1" applyAlignment="1">
      <alignment horizontal="center" wrapText="1"/>
    </xf>
    <xf numFmtId="0" fontId="15" fillId="0" borderId="0" xfId="0" applyFont="1"/>
    <xf numFmtId="0" fontId="9" fillId="0" borderId="3" xfId="0" applyFont="1" applyBorder="1"/>
    <xf numFmtId="0" fontId="9" fillId="0" borderId="10" xfId="0" applyFont="1" applyBorder="1"/>
    <xf numFmtId="0" fontId="9" fillId="0" borderId="4" xfId="0" applyFont="1" applyBorder="1"/>
    <xf numFmtId="0" fontId="9" fillId="0" borderId="11" xfId="0" applyFont="1" applyBorder="1"/>
    <xf numFmtId="164" fontId="9" fillId="0" borderId="0" xfId="0" applyNumberFormat="1" applyFont="1"/>
    <xf numFmtId="0" fontId="9" fillId="0" borderId="11" xfId="0" applyFont="1" applyFill="1" applyBorder="1"/>
    <xf numFmtId="0" fontId="9" fillId="0" borderId="5" xfId="0" applyFont="1" applyBorder="1"/>
    <xf numFmtId="0" fontId="9" fillId="0" borderId="0" xfId="0" applyFont="1"/>
    <xf numFmtId="0" fontId="9" fillId="0" borderId="0" xfId="0" applyFont="1" applyBorder="1" applyAlignment="1">
      <alignment horizontal="left" vertical="center"/>
    </xf>
    <xf numFmtId="49" fontId="16" fillId="0" borderId="1" xfId="0" applyNumberFormat="1" applyFont="1" applyBorder="1"/>
    <xf numFmtId="0" fontId="24" fillId="0" borderId="5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24" fillId="0" borderId="6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/>
    <xf numFmtId="0" fontId="8" fillId="0" borderId="1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7" xfId="0" applyFont="1" applyBorder="1" applyAlignment="1">
      <alignment wrapText="1"/>
    </xf>
    <xf numFmtId="0" fontId="8" fillId="0" borderId="7" xfId="0" applyFont="1" applyBorder="1"/>
    <xf numFmtId="0" fontId="18" fillId="0" borderId="7" xfId="0" applyFont="1" applyBorder="1" applyAlignment="1">
      <alignment wrapText="1"/>
    </xf>
    <xf numFmtId="43" fontId="19" fillId="0" borderId="0" xfId="1" applyFont="1" applyAlignment="1">
      <alignment horizontal="right" vertical="center" wrapText="1"/>
    </xf>
    <xf numFmtId="0" fontId="25" fillId="0" borderId="0" xfId="0" applyFont="1" applyAlignment="1">
      <alignment horizontal="center"/>
    </xf>
    <xf numFmtId="44" fontId="25" fillId="0" borderId="0" xfId="2" applyFont="1" applyAlignment="1">
      <alignment horizontal="center" wrapText="1"/>
    </xf>
    <xf numFmtId="0" fontId="2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/>
    <xf numFmtId="0" fontId="7" fillId="0" borderId="0" xfId="0" applyFont="1" applyFill="1" applyAlignment="1">
      <alignment horizontal="center"/>
    </xf>
    <xf numFmtId="44" fontId="7" fillId="0" borderId="0" xfId="2" applyFont="1" applyFill="1"/>
    <xf numFmtId="3" fontId="7" fillId="0" borderId="0" xfId="0" applyNumberFormat="1" applyFont="1" applyFill="1"/>
    <xf numFmtId="4" fontId="7" fillId="0" borderId="0" xfId="0" applyNumberFormat="1" applyFont="1" applyFill="1"/>
    <xf numFmtId="0" fontId="7" fillId="0" borderId="0" xfId="2" applyNumberFormat="1" applyFont="1" applyAlignment="1">
      <alignment horizontal="center"/>
    </xf>
    <xf numFmtId="0" fontId="7" fillId="0" borderId="0" xfId="0" applyNumberFormat="1" applyFont="1" applyAlignment="1">
      <alignment horizontal="center"/>
    </xf>
    <xf numFmtId="44" fontId="7" fillId="0" borderId="0" xfId="2" applyFont="1"/>
    <xf numFmtId="43" fontId="7" fillId="0" borderId="0" xfId="1" applyFont="1" applyFill="1"/>
    <xf numFmtId="165" fontId="7" fillId="0" borderId="0" xfId="0" applyNumberFormat="1" applyFont="1" applyFill="1"/>
    <xf numFmtId="43" fontId="7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9" fontId="7" fillId="0" borderId="0" xfId="3" applyFont="1" applyFill="1"/>
    <xf numFmtId="9" fontId="7" fillId="0" borderId="0" xfId="3" applyFont="1" applyFill="1" applyAlignment="1">
      <alignment horizontal="center"/>
    </xf>
    <xf numFmtId="44" fontId="7" fillId="0" borderId="0" xfId="2" applyFont="1" applyFill="1" applyAlignment="1">
      <alignment wrapText="1"/>
    </xf>
    <xf numFmtId="43" fontId="7" fillId="0" borderId="0" xfId="1" applyFont="1"/>
    <xf numFmtId="0" fontId="6" fillId="0" borderId="0" xfId="0" applyFont="1"/>
    <xf numFmtId="49" fontId="20" fillId="0" borderId="0" xfId="0" applyNumberFormat="1" applyFont="1" applyFill="1"/>
    <xf numFmtId="0" fontId="26" fillId="0" borderId="0" xfId="0" applyFont="1" applyFill="1" applyAlignment="1"/>
    <xf numFmtId="44" fontId="28" fillId="0" borderId="0" xfId="2" applyFont="1"/>
    <xf numFmtId="0" fontId="28" fillId="0" borderId="0" xfId="0" applyFont="1"/>
    <xf numFmtId="0" fontId="17" fillId="0" borderId="0" xfId="4"/>
    <xf numFmtId="44" fontId="6" fillId="0" borderId="0" xfId="0" applyNumberFormat="1" applyFont="1"/>
    <xf numFmtId="0" fontId="31" fillId="0" borderId="0" xfId="0" applyFont="1" applyAlignment="1"/>
    <xf numFmtId="0" fontId="27" fillId="0" borderId="0" xfId="0" applyFont="1"/>
    <xf numFmtId="43" fontId="24" fillId="0" borderId="0" xfId="1" applyFont="1"/>
    <xf numFmtId="0" fontId="16" fillId="0" borderId="0" xfId="0" applyFont="1" applyBorder="1"/>
    <xf numFmtId="0" fontId="16" fillId="0" borderId="1" xfId="0" applyFont="1" applyBorder="1"/>
    <xf numFmtId="0" fontId="16" fillId="0" borderId="0" xfId="0" applyFont="1" applyFill="1" applyBorder="1"/>
    <xf numFmtId="0" fontId="31" fillId="0" borderId="0" xfId="0" applyFont="1" applyFill="1" applyBorder="1"/>
    <xf numFmtId="44" fontId="32" fillId="0" borderId="0" xfId="2" applyFont="1" applyFill="1" applyBorder="1"/>
    <xf numFmtId="0" fontId="0" fillId="0" borderId="0" xfId="0" applyFill="1"/>
    <xf numFmtId="164" fontId="0" fillId="0" borderId="0" xfId="1" applyNumberFormat="1" applyFont="1" applyFill="1"/>
    <xf numFmtId="0" fontId="5" fillId="0" borderId="0" xfId="0" applyFont="1"/>
    <xf numFmtId="43" fontId="0" fillId="0" borderId="0" xfId="0" applyNumberFormat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44" fontId="34" fillId="0" borderId="0" xfId="0" applyNumberFormat="1" applyFont="1"/>
    <xf numFmtId="0" fontId="34" fillId="0" borderId="0" xfId="0" applyFont="1" applyFill="1"/>
    <xf numFmtId="0" fontId="0" fillId="3" borderId="15" xfId="0" applyFill="1" applyBorder="1"/>
    <xf numFmtId="0" fontId="0" fillId="3" borderId="16" xfId="0" applyFill="1" applyBorder="1"/>
    <xf numFmtId="164" fontId="0" fillId="0" borderId="12" xfId="1" applyNumberFormat="1" applyFont="1" applyFill="1" applyBorder="1"/>
    <xf numFmtId="164" fontId="0" fillId="0" borderId="13" xfId="1" applyNumberFormat="1" applyFont="1" applyFill="1" applyBorder="1"/>
    <xf numFmtId="0" fontId="0" fillId="0" borderId="13" xfId="0" applyFill="1" applyBorder="1"/>
    <xf numFmtId="164" fontId="0" fillId="0" borderId="14" xfId="1" applyNumberFormat="1" applyFont="1" applyFill="1" applyBorder="1"/>
    <xf numFmtId="167" fontId="0" fillId="0" borderId="13" xfId="0" applyNumberFormat="1" applyFill="1" applyBorder="1" applyAlignment="1">
      <alignment vertical="center"/>
    </xf>
    <xf numFmtId="44" fontId="0" fillId="0" borderId="13" xfId="2" applyFont="1" applyFill="1" applyBorder="1" applyAlignment="1"/>
    <xf numFmtId="44" fontId="12" fillId="6" borderId="13" xfId="2" applyFont="1" applyFill="1" applyBorder="1"/>
    <xf numFmtId="44" fontId="33" fillId="6" borderId="14" xfId="0" applyNumberFormat="1" applyFont="1" applyFill="1" applyBorder="1"/>
    <xf numFmtId="44" fontId="12" fillId="6" borderId="12" xfId="2" applyFont="1" applyFill="1" applyBorder="1"/>
    <xf numFmtId="44" fontId="12" fillId="6" borderId="14" xfId="2" applyFont="1" applyFill="1" applyBorder="1"/>
    <xf numFmtId="0" fontId="0" fillId="0" borderId="17" xfId="0" applyFill="1" applyBorder="1"/>
    <xf numFmtId="0" fontId="0" fillId="0" borderId="18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9" xfId="0" applyFill="1" applyBorder="1"/>
    <xf numFmtId="0" fontId="33" fillId="6" borderId="19" xfId="0" applyFont="1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167" fontId="0" fillId="0" borderId="12" xfId="0" applyNumberFormat="1" applyFill="1" applyBorder="1" applyAlignment="1">
      <alignment vertical="top"/>
    </xf>
    <xf numFmtId="0" fontId="0" fillId="0" borderId="20" xfId="0" applyFill="1" applyBorder="1"/>
    <xf numFmtId="167" fontId="0" fillId="0" borderId="21" xfId="0" applyNumberFormat="1" applyFill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/>
    <xf numFmtId="164" fontId="5" fillId="0" borderId="0" xfId="1" applyNumberFormat="1" applyFont="1"/>
    <xf numFmtId="43" fontId="5" fillId="5" borderId="0" xfId="1" applyFont="1" applyFill="1"/>
    <xf numFmtId="166" fontId="5" fillId="5" borderId="0" xfId="1" applyNumberFormat="1" applyFont="1" applyFill="1"/>
    <xf numFmtId="9" fontId="5" fillId="3" borderId="0" xfId="3" applyFont="1" applyFill="1"/>
    <xf numFmtId="164" fontId="5" fillId="3" borderId="0" xfId="1" applyNumberFormat="1" applyFont="1" applyFill="1"/>
    <xf numFmtId="44" fontId="5" fillId="0" borderId="0" xfId="2" applyFont="1"/>
    <xf numFmtId="49" fontId="5" fillId="0" borderId="0" xfId="0" applyNumberFormat="1" applyFont="1" applyFill="1"/>
    <xf numFmtId="43" fontId="5" fillId="0" borderId="0" xfId="1" applyFont="1" applyFill="1"/>
    <xf numFmtId="166" fontId="5" fillId="0" borderId="0" xfId="1" applyNumberFormat="1" applyFont="1" applyFill="1"/>
    <xf numFmtId="164" fontId="5" fillId="0" borderId="0" xfId="1" applyNumberFormat="1" applyFont="1" applyFill="1"/>
    <xf numFmtId="0" fontId="5" fillId="5" borderId="0" xfId="0" applyFont="1" applyFill="1"/>
    <xf numFmtId="0" fontId="5" fillId="3" borderId="0" xfId="0" applyFont="1" applyFill="1"/>
    <xf numFmtId="44" fontId="19" fillId="3" borderId="0" xfId="2" applyFont="1" applyFill="1"/>
    <xf numFmtId="44" fontId="28" fillId="3" borderId="0" xfId="2" applyFont="1" applyFill="1"/>
    <xf numFmtId="44" fontId="5" fillId="3" borderId="0" xfId="2" applyFont="1" applyFill="1"/>
    <xf numFmtId="44" fontId="28" fillId="3" borderId="0" xfId="2" applyNumberFormat="1" applyFont="1" applyFill="1"/>
    <xf numFmtId="44" fontId="30" fillId="3" borderId="0" xfId="2" applyFont="1" applyFill="1" applyAlignment="1">
      <alignment horizontal="center"/>
    </xf>
    <xf numFmtId="164" fontId="19" fillId="5" borderId="0" xfId="1" applyNumberFormat="1" applyFont="1" applyFill="1"/>
    <xf numFmtId="164" fontId="19" fillId="0" borderId="0" xfId="1" applyNumberFormat="1" applyFont="1" applyFill="1"/>
    <xf numFmtId="44" fontId="5" fillId="0" borderId="0" xfId="2" applyFont="1" applyFill="1"/>
    <xf numFmtId="44" fontId="28" fillId="0" borderId="0" xfId="2" applyFont="1" applyFill="1"/>
    <xf numFmtId="0" fontId="19" fillId="0" borderId="0" xfId="0" applyFont="1" applyFill="1"/>
    <xf numFmtId="0" fontId="28" fillId="0" borderId="0" xfId="0" applyFont="1" applyFill="1"/>
    <xf numFmtId="44" fontId="30" fillId="0" borderId="0" xfId="0" applyNumberFormat="1" applyFont="1" applyFill="1"/>
    <xf numFmtId="44" fontId="24" fillId="0" borderId="0" xfId="2" applyFont="1"/>
    <xf numFmtId="0" fontId="24" fillId="0" borderId="0" xfId="0" applyFont="1"/>
    <xf numFmtId="44" fontId="0" fillId="0" borderId="0" xfId="0" applyNumberFormat="1"/>
    <xf numFmtId="43" fontId="3" fillId="0" borderId="7" xfId="1" applyFont="1" applyBorder="1" applyAlignment="1">
      <alignment wrapText="1"/>
    </xf>
    <xf numFmtId="43" fontId="11" fillId="0" borderId="0" xfId="0" applyNumberFormat="1" applyFont="1" applyAlignment="1">
      <alignment horizontal="left" vertical="center"/>
    </xf>
    <xf numFmtId="43" fontId="18" fillId="0" borderId="0" xfId="0" applyNumberFormat="1" applyFont="1" applyAlignment="1">
      <alignment horizontal="left" vertical="center"/>
    </xf>
    <xf numFmtId="0" fontId="3" fillId="0" borderId="0" xfId="0" applyFont="1"/>
    <xf numFmtId="0" fontId="0" fillId="0" borderId="22" xfId="0" applyBorder="1" applyAlignment="1">
      <alignment wrapText="1"/>
    </xf>
    <xf numFmtId="0" fontId="0" fillId="0" borderId="12" xfId="0" applyBorder="1" applyAlignment="1">
      <alignment wrapText="1"/>
    </xf>
    <xf numFmtId="43" fontId="0" fillId="0" borderId="13" xfId="1" applyFont="1" applyBorder="1"/>
    <xf numFmtId="43" fontId="0" fillId="0" borderId="14" xfId="1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43" fontId="0" fillId="0" borderId="23" xfId="0" applyNumberFormat="1" applyBorder="1"/>
    <xf numFmtId="0" fontId="3" fillId="0" borderId="7" xfId="0" applyFont="1" applyBorder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/>
    <xf numFmtId="0" fontId="37" fillId="2" borderId="0" xfId="0" applyFont="1" applyFill="1" applyAlignment="1">
      <alignment horizontal="center"/>
    </xf>
    <xf numFmtId="43" fontId="16" fillId="0" borderId="0" xfId="0" applyNumberFormat="1" applyFont="1" applyFill="1" applyBorder="1"/>
    <xf numFmtId="0" fontId="38" fillId="0" borderId="0" xfId="4" applyFont="1"/>
    <xf numFmtId="43" fontId="16" fillId="0" borderId="0" xfId="0" applyNumberFormat="1" applyFont="1" applyBorder="1"/>
    <xf numFmtId="0" fontId="16" fillId="0" borderId="0" xfId="0" applyFont="1" applyAlignment="1"/>
    <xf numFmtId="44" fontId="32" fillId="0" borderId="0" xfId="0" applyNumberFormat="1" applyFont="1" applyFill="1" applyBorder="1"/>
    <xf numFmtId="0" fontId="16" fillId="0" borderId="23" xfId="0" applyFont="1" applyBorder="1"/>
    <xf numFmtId="0" fontId="16" fillId="6" borderId="8" xfId="0" applyFont="1" applyFill="1" applyBorder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16" fillId="6" borderId="7" xfId="0" applyFont="1" applyFill="1" applyBorder="1" applyAlignment="1">
      <alignment horizontal="center" vertical="center" wrapText="1"/>
    </xf>
    <xf numFmtId="43" fontId="24" fillId="6" borderId="7" xfId="1" applyFont="1" applyFill="1" applyBorder="1" applyAlignment="1">
      <alignment horizontal="center" vertical="center" wrapText="1"/>
    </xf>
    <xf numFmtId="44" fontId="24" fillId="6" borderId="7" xfId="2" applyFont="1" applyFill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27" xfId="0" applyFont="1" applyBorder="1" applyAlignment="1">
      <alignment horizontal="left" vertical="center"/>
    </xf>
    <xf numFmtId="0" fontId="16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44" fontId="16" fillId="0" borderId="13" xfId="2" applyFont="1" applyBorder="1"/>
    <xf numFmtId="44" fontId="16" fillId="0" borderId="14" xfId="2" applyFont="1" applyBorder="1"/>
    <xf numFmtId="44" fontId="27" fillId="0" borderId="0" xfId="2" applyFont="1"/>
    <xf numFmtId="0" fontId="18" fillId="0" borderId="0" xfId="0" applyFont="1"/>
    <xf numFmtId="43" fontId="19" fillId="5" borderId="0" xfId="1" applyFont="1" applyFill="1"/>
    <xf numFmtId="43" fontId="19" fillId="0" borderId="0" xfId="1" applyFont="1" applyFill="1"/>
    <xf numFmtId="0" fontId="1" fillId="0" borderId="7" xfId="0" applyFont="1" applyBorder="1" applyAlignment="1">
      <alignment horizontal="left" vertical="center" wrapText="1"/>
    </xf>
    <xf numFmtId="0" fontId="35" fillId="0" borderId="0" xfId="0" applyFont="1" applyFill="1" applyAlignment="1">
      <alignment vertical="center" wrapText="1"/>
    </xf>
    <xf numFmtId="44" fontId="28" fillId="3" borderId="0" xfId="2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64" fontId="5" fillId="0" borderId="0" xfId="1" applyNumberFormat="1" applyFont="1" applyFill="1" applyAlignment="1">
      <alignment horizontal="center" vertical="center" wrapText="1"/>
    </xf>
    <xf numFmtId="164" fontId="4" fillId="0" borderId="0" xfId="1" applyNumberFormat="1" applyFont="1" applyFill="1" applyAlignment="1">
      <alignment horizontal="center" vertical="center" wrapText="1"/>
    </xf>
    <xf numFmtId="43" fontId="2" fillId="5" borderId="0" xfId="1" applyFont="1" applyFill="1" applyAlignment="1">
      <alignment horizontal="center" vertical="center" wrapText="1"/>
    </xf>
    <xf numFmtId="43" fontId="5" fillId="5" borderId="0" xfId="1" applyFont="1" applyFill="1" applyAlignment="1">
      <alignment horizontal="center" vertical="center" wrapText="1"/>
    </xf>
    <xf numFmtId="166" fontId="5" fillId="5" borderId="0" xfId="1" applyNumberFormat="1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164" fontId="5" fillId="3" borderId="0" xfId="1" applyNumberFormat="1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19" fillId="3" borderId="0" xfId="0" applyFont="1" applyFill="1" applyAlignment="1">
      <alignment horizontal="center" vertical="center" wrapText="1"/>
    </xf>
    <xf numFmtId="0" fontId="28" fillId="3" borderId="0" xfId="0" applyFont="1" applyFill="1" applyAlignment="1">
      <alignment horizontal="center" vertical="center" wrapText="1"/>
    </xf>
    <xf numFmtId="43" fontId="19" fillId="5" borderId="0" xfId="1" applyFont="1" applyFill="1" applyAlignment="1">
      <alignment horizontal="center" vertical="center" wrapText="1"/>
    </xf>
    <xf numFmtId="44" fontId="28" fillId="0" borderId="0" xfId="2" applyNumberFormat="1" applyFont="1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36" fillId="0" borderId="0" xfId="0" applyFont="1" applyAlignment="1">
      <alignment horizontal="center"/>
    </xf>
    <xf numFmtId="0" fontId="25" fillId="0" borderId="0" xfId="0" applyFont="1" applyFill="1" applyAlignment="1">
      <alignment horizontal="center"/>
    </xf>
    <xf numFmtId="0" fontId="26" fillId="2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43" fontId="19" fillId="5" borderId="0" xfId="1" applyFont="1" applyFill="1" applyAlignment="1">
      <alignment horizontal="center" wrapText="1"/>
    </xf>
    <xf numFmtId="0" fontId="19" fillId="3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6" fillId="7" borderId="26" xfId="0" applyFont="1" applyFill="1" applyBorder="1" applyAlignment="1">
      <alignment horizontal="center" vertical="center"/>
    </xf>
    <xf numFmtId="0" fontId="16" fillId="7" borderId="22" xfId="0" applyFont="1" applyFill="1" applyBorder="1" applyAlignment="1">
      <alignment horizontal="center" vertical="center"/>
    </xf>
    <xf numFmtId="0" fontId="16" fillId="7" borderId="12" xfId="0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uzz Schadel" id="{3CE85E2A-B85D-4E59-A852-3F6D7DB60763}" userId="a5a390a5ff5e99d3" providerId="Windows Live"/>
  <person displayName="Suzanne Schadel" id="{BCF6406D-A516-4A08-90E4-309416373434}" userId="f44dd92c4f2be79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3" dT="2019-08-23T16:23:05.49" personId="{3CE85E2A-B85D-4E59-A852-3F6D7DB60763}" id="{00D0AE95-AB47-40A7-9D2D-3B9F0D2E0E8D}">
    <text>replace w. O&amp; costs in tab</text>
  </threadedComment>
  <threadedComment ref="U3" dT="2019-08-23T20:03:50.79" personId="{3CE85E2A-B85D-4E59-A852-3F6D7DB60763}" id="{310ECCEC-E02F-4A6C-930F-0917E2BA8E17}">
    <text>Assumes new landfills will need to be constructed by 2030</text>
  </threadedComment>
  <threadedComment ref="W4" dT="2019-08-22T22:00:42.26" personId="{3CE85E2A-B85D-4E59-A852-3F6D7DB60763}" id="{3939DBF5-17F3-44B6-A635-7FAC4FA4576B}">
    <text>Data gaps filled with average of other numbers</text>
  </threadedComment>
  <threadedComment ref="I8" dT="2019-08-15T22:20:35.72" personId="{BCF6406D-A516-4A08-90E4-309416373434}" id="{FA8DFB43-8FF3-41C3-809D-65604DE49335}">
    <text>Data gap filled with average waste per capita values gathered for other cities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47" dT="2019-08-09T22:40:24.04" personId="{BCF6406D-A516-4A08-90E4-309416373434}" id="{128B4D21-62D3-4D48-9E7B-55E487EA5DA5}">
    <text>Derived from generating 5400 ton/year in 2015 as a municipality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ecalculatorsite.com/conversions/area/hectares-to-acres.php" TargetMode="External"/><Relationship Id="rId2" Type="http://schemas.openxmlformats.org/officeDocument/2006/relationships/hyperlink" Target="http://www.in2013dollars.com/us/inflation/2008?amount=1" TargetMode="External"/><Relationship Id="rId1" Type="http://schemas.openxmlformats.org/officeDocument/2006/relationships/hyperlink" Target="https://www.statista.com/statistics/412794/euro-to-u-s-dollar-annual-average-exchange-rate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ata.worldbank.org/indicator/PA.NUS.PPPC.RF?locations=CO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caraiz.com.co/lote-en-venta/santa-marta/tigrera-det-4810822.aspx" TargetMode="External"/><Relationship Id="rId13" Type="http://schemas.openxmlformats.org/officeDocument/2006/relationships/hyperlink" Target="https://www.fincaraiz.com.co/lote-en-venta/pasto/tangua-det-4408252.aspx" TargetMode="External"/><Relationship Id="rId18" Type="http://schemas.openxmlformats.org/officeDocument/2006/relationships/hyperlink" Target="https://www.fincaraiz.com.co/lote-en-venta/pereira/via_armenia-det-4315927.aspx" TargetMode="External"/><Relationship Id="rId3" Type="http://schemas.openxmlformats.org/officeDocument/2006/relationships/hyperlink" Target="https://www.fincaraiz.com.co/lote-en-venta/tunja/vereda_poravita_oicata-det-4793446.aspx" TargetMode="External"/><Relationship Id="rId21" Type="http://schemas.openxmlformats.org/officeDocument/2006/relationships/hyperlink" Target="https://www.fincaraiz.com.co/lote-en-venta/honda/via_honda_mariquita-det-4773171.aspx" TargetMode="External"/><Relationship Id="rId7" Type="http://schemas.openxmlformats.org/officeDocument/2006/relationships/hyperlink" Target="https://www.fincaraiz.com.co/lote-en-venta/otros-municipios/riverita-det-4861913.aspx" TargetMode="External"/><Relationship Id="rId12" Type="http://schemas.openxmlformats.org/officeDocument/2006/relationships/hyperlink" Target="https://www.fincaraiz.com.co/lote-en-venta/pasto/corregimiento_encano_vereda_casapamba-det-4803239.aspx" TargetMode="External"/><Relationship Id="rId17" Type="http://schemas.openxmlformats.org/officeDocument/2006/relationships/hyperlink" Target="https://www.fincaraiz.com.co/lote-en-venta/pereira/jordan-det-2652599.aspx" TargetMode="External"/><Relationship Id="rId25" Type="http://schemas.openxmlformats.org/officeDocument/2006/relationships/printerSettings" Target="../printerSettings/printerSettings3.bin"/><Relationship Id="rId2" Type="http://schemas.openxmlformats.org/officeDocument/2006/relationships/hyperlink" Target="https://www.fincaraiz.com.co/lote-en-venta/cartagena/bayunca_pontezuela-det-4567808.aspx" TargetMode="External"/><Relationship Id="rId16" Type="http://schemas.openxmlformats.org/officeDocument/2006/relationships/hyperlink" Target="https://www.fincaraiz.com.co/lote-en-venta/pereira/via_cartago-det-4578158.aspx" TargetMode="External"/><Relationship Id="rId20" Type="http://schemas.openxmlformats.org/officeDocument/2006/relationships/hyperlink" Target="https://www.fincaraiz.com.co/lote-en-venta/honda/picota-det-4768202.aspx" TargetMode="External"/><Relationship Id="rId1" Type="http://schemas.openxmlformats.org/officeDocument/2006/relationships/hyperlink" Target="https://www.fincaraiz.com.co/lote-en-venta/barranquilla/puerto_colombia-det-3782357.aspx" TargetMode="External"/><Relationship Id="rId6" Type="http://schemas.openxmlformats.org/officeDocument/2006/relationships/hyperlink" Target="https://www.fincaraiz.com.co/lote-en-venta/manizales/alto_bonito-det-2839144.aspx" TargetMode="External"/><Relationship Id="rId11" Type="http://schemas.openxmlformats.org/officeDocument/2006/relationships/hyperlink" Target="https://www.fincaraiz.com.co/lote-en-venta/villavicencio/canos_negros-det-4292063.aspx" TargetMode="External"/><Relationship Id="rId24" Type="http://schemas.openxmlformats.org/officeDocument/2006/relationships/hyperlink" Target="https://www.fincaraiz.com.co/lote-en-venta/cali/zona_oeste-det-4929216.aspx" TargetMode="External"/><Relationship Id="rId5" Type="http://schemas.openxmlformats.org/officeDocument/2006/relationships/hyperlink" Target="https://www.fincaraiz.com.co/lote-en-venta/manizales/manuela-det-3811192.aspx" TargetMode="External"/><Relationship Id="rId15" Type="http://schemas.openxmlformats.org/officeDocument/2006/relationships/hyperlink" Target="https://www.fincaraiz.com.co/lote-en-venta/cucuta/recta_corozal-det-2641355.aspx" TargetMode="External"/><Relationship Id="rId23" Type="http://schemas.openxmlformats.org/officeDocument/2006/relationships/hyperlink" Target="https://www.fincaraiz.com.co/lote-en-venta/cali/corregimiento_paz-det-4816095.aspx" TargetMode="External"/><Relationship Id="rId10" Type="http://schemas.openxmlformats.org/officeDocument/2006/relationships/hyperlink" Target="https://www.fincaraiz.com.co/lote-en-venta/santa-marta/vereda_limon-det-3762925.aspx" TargetMode="External"/><Relationship Id="rId19" Type="http://schemas.openxmlformats.org/officeDocument/2006/relationships/hyperlink" Target="https://www.fincaraiz.com.co/lote-en-venta/bucaramanga/los_santos-det-4743710.aspx" TargetMode="External"/><Relationship Id="rId4" Type="http://schemas.openxmlformats.org/officeDocument/2006/relationships/hyperlink" Target="https://www.fincaraiz.com.co/lote-en-venta/sogamoso/vereda_toquecha-det-4706000.aspx" TargetMode="External"/><Relationship Id="rId9" Type="http://schemas.openxmlformats.org/officeDocument/2006/relationships/hyperlink" Target="https://www.fincaraiz.com.co/lote-en-venta/santa-marta/minca-det-4753862.aspx" TargetMode="External"/><Relationship Id="rId14" Type="http://schemas.openxmlformats.org/officeDocument/2006/relationships/hyperlink" Target="https://www.fincaraiz.com.co/lote-en-venta/pasto/laguna-det-3732165.aspx" TargetMode="External"/><Relationship Id="rId22" Type="http://schemas.openxmlformats.org/officeDocument/2006/relationships/hyperlink" Target="https://www.fincaraiz.com.co/lote-en-venta/medellin/las_palmas-det-4567396.aspx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s://planeacionarmenia.gov.co/" TargetMode="External"/><Relationship Id="rId4" Type="http://schemas.microsoft.com/office/2017/10/relationships/threadedComment" Target="../threadedComments/threadedComment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workbookViewId="0">
      <selection activeCell="H5" sqref="H5"/>
    </sheetView>
  </sheetViews>
  <sheetFormatPr baseColWidth="10" defaultColWidth="11" defaultRowHeight="16"/>
  <cols>
    <col min="1" max="1" width="5" customWidth="1"/>
    <col min="2" max="2" width="44.33203125" bestFit="1" customWidth="1"/>
    <col min="3" max="3" width="36.83203125" bestFit="1" customWidth="1"/>
    <col min="4" max="4" width="12.1640625" bestFit="1" customWidth="1"/>
    <col min="7" max="9" width="15" bestFit="1" customWidth="1"/>
  </cols>
  <sheetData>
    <row r="1" spans="1:9">
      <c r="A1" s="6" t="s">
        <v>13</v>
      </c>
      <c r="B1" s="7" t="s">
        <v>14</v>
      </c>
      <c r="C1" s="7" t="s">
        <v>15</v>
      </c>
      <c r="E1" s="220" t="s">
        <v>196</v>
      </c>
      <c r="F1" s="220"/>
      <c r="G1" s="220"/>
      <c r="H1" s="220"/>
      <c r="I1" s="220"/>
    </row>
    <row r="2" spans="1:9">
      <c r="A2" s="219" t="s">
        <v>16</v>
      </c>
      <c r="B2" s="219"/>
      <c r="C2" s="219"/>
      <c r="E2" s="176" t="s">
        <v>197</v>
      </c>
      <c r="F2" s="176" t="s">
        <v>198</v>
      </c>
      <c r="G2" s="176" t="s">
        <v>16</v>
      </c>
      <c r="H2" s="176" t="s">
        <v>17</v>
      </c>
      <c r="I2" s="176" t="s">
        <v>199</v>
      </c>
    </row>
    <row r="3" spans="1:9">
      <c r="A3" s="8">
        <v>1</v>
      </c>
      <c r="B3" t="s">
        <v>164</v>
      </c>
      <c r="C3" s="4">
        <f>'Cost Calculation'!X51</f>
        <v>138772142.59176597</v>
      </c>
      <c r="E3" t="s">
        <v>200</v>
      </c>
      <c r="F3">
        <f>COUNTIF('Cost Calculation'!$E$4:$E$50,E3)</f>
        <v>18</v>
      </c>
      <c r="G3" s="159">
        <f>SUMIF('Cost Calculation'!$E$4:$E$567,E3,'Cost Calculation'!$X$4:$X$567)/COUNTIF('Cost Calculation'!$E$4:$E$567,E3)</f>
        <v>12474.771102751023</v>
      </c>
      <c r="H3" s="159">
        <f>(SUMIF('Cost Calculation'!$E$4:$E$567,E3,'Cost Calculation'!$O$4:$O$567)+SUMIF('Cost Calculation'!$E$4:$E$567,E3,'Cost Calculation'!$Q$4:$Q$567))/COUNTIF('Cost Calculation'!$E$4:$E$567,E3)</f>
        <v>369205.80127807695</v>
      </c>
      <c r="I3" s="159">
        <f t="shared" ref="I3:I5" si="0">SUM(G3:H3)</f>
        <v>381680.57238082797</v>
      </c>
    </row>
    <row r="4" spans="1:9">
      <c r="A4" s="219" t="s">
        <v>17</v>
      </c>
      <c r="B4" s="219"/>
      <c r="C4" s="219"/>
      <c r="E4" t="s">
        <v>201</v>
      </c>
      <c r="F4">
        <f>COUNTIF('Cost Calculation'!$E$4:$E$50,E4)</f>
        <v>25</v>
      </c>
      <c r="G4" s="159">
        <f>SUMIF('Cost Calculation'!$E$4:$E$567,E4,'Cost Calculation'!$X$4:$X$567)/COUNTIF('Cost Calculation'!$E$4:$E$567,E4)</f>
        <v>114514.59322517646</v>
      </c>
      <c r="H4" s="159">
        <f>(SUMIF('Cost Calculation'!$E$4:$E$567,E4,'Cost Calculation'!$O$4:$O$567)+SUMIF('Cost Calculation'!$E$4:$E$567,E4,'Cost Calculation'!$Q$4:$Q$567))/COUNTIF('Cost Calculation'!$E$4:$E$567,E4)</f>
        <v>2797242.1893616039</v>
      </c>
      <c r="I4" s="159">
        <f t="shared" si="0"/>
        <v>2911756.7825867804</v>
      </c>
    </row>
    <row r="5" spans="1:9">
      <c r="A5" s="8">
        <v>1</v>
      </c>
      <c r="B5" s="1" t="s">
        <v>165</v>
      </c>
      <c r="C5" s="5">
        <f>'Cost Calculation'!Q568</f>
        <v>3152050908.560833</v>
      </c>
      <c r="E5" t="s">
        <v>202</v>
      </c>
      <c r="F5">
        <f>COUNTIF('Cost Calculation'!$E$4:$E$50,E5)</f>
        <v>4</v>
      </c>
      <c r="G5" s="159">
        <f>SUMIF('Cost Calculation'!$E$4:$E$567,E5,'Cost Calculation'!$X$4:$X$567)/COUNTIF('Cost Calculation'!$E$4:$E$567,E5)</f>
        <v>4548451.5023379354</v>
      </c>
      <c r="H5" s="159">
        <f>(SUMIF('Cost Calculation'!$E$4:$E$567,E5,'Cost Calculation'!$O$4:$O$567)+SUMIF('Cost Calculation'!$E$4:$E$567,E5,'Cost Calculation'!$Q$4:$Q$567))/COUNTIF('Cost Calculation'!$E$4:$E$567,E5)</f>
        <v>45132826.450937763</v>
      </c>
      <c r="I5" s="159">
        <f t="shared" si="0"/>
        <v>49681277.953275695</v>
      </c>
    </row>
    <row r="6" spans="1:9">
      <c r="A6" s="8">
        <v>2</v>
      </c>
      <c r="B6" s="1" t="s">
        <v>166</v>
      </c>
      <c r="C6" s="5">
        <f>'Cost Calculation'!O568</f>
        <v>144923792.27660796</v>
      </c>
    </row>
    <row r="7" spans="1:9" ht="17" thickBot="1">
      <c r="A7" s="218" t="s">
        <v>19</v>
      </c>
      <c r="B7" s="218"/>
      <c r="C7" s="9">
        <f>SUM(C3:C3,C5:C6)</f>
        <v>3435746843.4292068</v>
      </c>
    </row>
    <row r="8" spans="1:9" ht="17" thickTop="1"/>
  </sheetData>
  <mergeCells count="4">
    <mergeCell ref="A7:B7"/>
    <mergeCell ref="A2:C2"/>
    <mergeCell ref="A4:C4"/>
    <mergeCell ref="E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O31"/>
  <sheetViews>
    <sheetView zoomScaleNormal="100" workbookViewId="0">
      <selection activeCell="C6" sqref="C6"/>
    </sheetView>
  </sheetViews>
  <sheetFormatPr baseColWidth="10" defaultColWidth="11" defaultRowHeight="15"/>
  <cols>
    <col min="1" max="1" width="75.5" style="68" customWidth="1"/>
    <col min="2" max="2" width="10.1640625" style="68" bestFit="1" customWidth="1"/>
    <col min="3" max="3" width="12.83203125" style="68" bestFit="1" customWidth="1"/>
    <col min="4" max="4" width="5.6640625" style="79" customWidth="1"/>
    <col min="5" max="5" width="15.1640625" style="75" bestFit="1" customWidth="1"/>
    <col min="6" max="6" width="65.6640625" style="68" bestFit="1" customWidth="1"/>
    <col min="7" max="7" width="11" style="68"/>
    <col min="8" max="8" width="11.33203125" style="67" bestFit="1" customWidth="1"/>
    <col min="9" max="9" width="11" style="67"/>
    <col min="10" max="10" width="12.6640625" style="67" bestFit="1" customWidth="1"/>
    <col min="11" max="11" width="12.6640625" style="67" customWidth="1"/>
    <col min="12" max="15" width="11" style="67"/>
    <col min="16" max="16384" width="11" style="68"/>
  </cols>
  <sheetData>
    <row r="1" spans="1:14" ht="40" customHeight="1">
      <c r="A1" s="64" t="s">
        <v>8</v>
      </c>
      <c r="B1" s="64"/>
      <c r="C1" s="64" t="s">
        <v>87</v>
      </c>
      <c r="D1" s="64" t="s">
        <v>0</v>
      </c>
      <c r="E1" s="65" t="s">
        <v>88</v>
      </c>
      <c r="F1" s="64" t="s">
        <v>9</v>
      </c>
      <c r="G1" s="64"/>
      <c r="H1" s="221"/>
      <c r="I1" s="221"/>
      <c r="J1" s="221"/>
      <c r="K1" s="66"/>
      <c r="L1" s="221"/>
      <c r="M1" s="221"/>
      <c r="N1" s="221"/>
    </row>
    <row r="2" spans="1:14">
      <c r="A2" s="68" t="s">
        <v>4</v>
      </c>
      <c r="B2" s="68" t="s">
        <v>83</v>
      </c>
      <c r="C2" s="67">
        <v>3.516</v>
      </c>
      <c r="D2" s="69"/>
      <c r="E2" s="70"/>
      <c r="F2" s="68" t="s">
        <v>10</v>
      </c>
      <c r="J2" s="71"/>
      <c r="K2" s="71"/>
      <c r="N2" s="72"/>
    </row>
    <row r="3" spans="1:14">
      <c r="A3" s="163" t="s">
        <v>111</v>
      </c>
      <c r="B3" s="68" t="s">
        <v>83</v>
      </c>
      <c r="C3" s="76">
        <v>14507.261</v>
      </c>
      <c r="D3" s="69">
        <v>2017</v>
      </c>
      <c r="E3" s="70"/>
      <c r="F3" s="68" t="s">
        <v>10</v>
      </c>
      <c r="J3" s="71"/>
      <c r="K3" s="71"/>
      <c r="N3" s="72"/>
    </row>
    <row r="4" spans="1:14">
      <c r="A4" s="68" t="s">
        <v>12</v>
      </c>
      <c r="B4" s="68" t="s">
        <v>83</v>
      </c>
      <c r="C4" s="76">
        <v>10732.749</v>
      </c>
      <c r="D4" s="73">
        <v>2010</v>
      </c>
      <c r="E4" s="70"/>
      <c r="F4" s="68" t="s">
        <v>10</v>
      </c>
      <c r="J4" s="71"/>
      <c r="K4" s="71"/>
      <c r="N4" s="72"/>
    </row>
    <row r="5" spans="1:14">
      <c r="A5" s="175" t="s">
        <v>216</v>
      </c>
      <c r="C5" s="76">
        <f>C3*POWER(SUM(1,C2/100),2)</f>
        <v>15545.345840954085</v>
      </c>
      <c r="D5" s="73">
        <v>2019</v>
      </c>
      <c r="E5" s="70"/>
      <c r="J5" s="71"/>
      <c r="K5" s="71"/>
      <c r="N5" s="72"/>
    </row>
    <row r="6" spans="1:14">
      <c r="A6" s="175" t="s">
        <v>215</v>
      </c>
      <c r="B6" s="68" t="s">
        <v>83</v>
      </c>
      <c r="C6" s="76">
        <f>1647.41-417.73*LN(C5)+29.43*(LN(C5))^2</f>
        <v>357.13863614208822</v>
      </c>
      <c r="D6" s="74">
        <v>2010</v>
      </c>
      <c r="F6" s="101" t="s">
        <v>146</v>
      </c>
    </row>
    <row r="7" spans="1:14">
      <c r="A7" s="163" t="s">
        <v>211</v>
      </c>
      <c r="B7" s="68" t="s">
        <v>83</v>
      </c>
      <c r="C7" s="76">
        <f>('Waste per capita'!C2*'Waste per capita'!E2+'Waste per capita'!C3*'Waste per capita'!E3+'Waste per capita'!C4*'Waste per capita'!E4+'Waste per capita'!C5*'Waste per capita'!E5+'Waste per capita'!C16*'Waste per capita'!E16+'Waste per capita'!C23*'Waste per capita'!E23+'Waste per capita'!C24*'Waste per capita'!E24+'Waste per capita'!C25*'Waste per capita'!E25+'Waste per capita'!C26*'Waste per capita'!E26+'Waste per capita'!C27*'Waste per capita'!E27+'Waste per capita'!C28*'Waste per capita'!E28+'Waste per capita'!C34*'Waste per capita'!E34+'Waste per capita'!C37*'Waste per capita'!E37+'Waste per capita'!C39*'Waste per capita'!E39+'Waste per capita'!C41*'Waste per capita'!E41+'Waste per capita'!C47*'Waste per capita'!E47)/(SUM('Waste per capita'!C2:C5,'Waste per capita'!C16,'Waste per capita'!C23:C28,'Waste per capita'!C34,'Waste per capita'!C37,'Waste per capita'!C39,'Waste per capita'!C41,'Waste per capita'!C47))</f>
        <v>246.9313000258972</v>
      </c>
      <c r="D7" s="74"/>
      <c r="E7" s="83"/>
      <c r="F7" s="163" t="s">
        <v>212</v>
      </c>
    </row>
    <row r="8" spans="1:14">
      <c r="C8" s="77"/>
      <c r="D8" s="69"/>
      <c r="E8" s="70"/>
      <c r="J8" s="71"/>
      <c r="K8" s="71"/>
      <c r="N8" s="72"/>
    </row>
    <row r="9" spans="1:14">
      <c r="A9" s="101" t="s">
        <v>77</v>
      </c>
      <c r="B9" s="68" t="s">
        <v>86</v>
      </c>
      <c r="C9" s="76">
        <v>160000</v>
      </c>
      <c r="D9" s="78"/>
      <c r="E9" s="70"/>
      <c r="F9" s="68" t="s">
        <v>11</v>
      </c>
      <c r="J9" s="71"/>
      <c r="K9" s="71"/>
      <c r="N9" s="72"/>
    </row>
    <row r="10" spans="1:14" ht="32">
      <c r="A10" s="101" t="s">
        <v>159</v>
      </c>
      <c r="B10" s="68" t="s">
        <v>84</v>
      </c>
      <c r="C10" s="70">
        <f>774000/C14</f>
        <v>313360.32388663967</v>
      </c>
      <c r="D10" s="69">
        <v>2005</v>
      </c>
      <c r="E10" s="70">
        <f>C10/C20*C23*POWER(SUM(1,C24/100),2019-2017)</f>
        <v>558891.05328830483</v>
      </c>
      <c r="F10" s="104" t="s">
        <v>145</v>
      </c>
      <c r="J10" s="71"/>
      <c r="K10" s="71"/>
      <c r="N10" s="72"/>
    </row>
    <row r="11" spans="1:14">
      <c r="A11" s="101" t="s">
        <v>160</v>
      </c>
      <c r="B11" s="68" t="s">
        <v>84</v>
      </c>
      <c r="C11" s="70"/>
      <c r="D11" s="69">
        <v>2005</v>
      </c>
      <c r="E11" s="70">
        <f>E10*C18</f>
        <v>228586.44079491665</v>
      </c>
      <c r="F11" s="105" t="s">
        <v>130</v>
      </c>
      <c r="J11" s="71"/>
      <c r="K11" s="71"/>
      <c r="N11" s="72"/>
    </row>
    <row r="12" spans="1:14">
      <c r="A12" s="84" t="s">
        <v>136</v>
      </c>
      <c r="B12" s="68" t="s">
        <v>84</v>
      </c>
      <c r="C12" s="70"/>
      <c r="D12" s="69">
        <v>2019</v>
      </c>
      <c r="E12" s="70">
        <f>'Land cost'!J8</f>
        <v>0</v>
      </c>
      <c r="F12" s="105"/>
      <c r="J12" s="71"/>
      <c r="K12" s="71"/>
      <c r="N12" s="72"/>
    </row>
    <row r="13" spans="1:14">
      <c r="A13" s="84"/>
      <c r="C13" s="70"/>
      <c r="D13" s="69"/>
      <c r="E13" s="70"/>
      <c r="F13" s="90"/>
      <c r="J13" s="71"/>
      <c r="K13" s="71"/>
      <c r="N13" s="72"/>
    </row>
    <row r="14" spans="1:14" ht="16">
      <c r="A14" s="101" t="s">
        <v>147</v>
      </c>
      <c r="B14" s="84" t="s">
        <v>82</v>
      </c>
      <c r="C14" s="68">
        <v>2.4700000000000002</v>
      </c>
      <c r="F14" s="89" t="s">
        <v>132</v>
      </c>
    </row>
    <row r="15" spans="1:14" s="67" customFormat="1">
      <c r="A15" s="67" t="s">
        <v>110</v>
      </c>
      <c r="B15" s="84" t="s">
        <v>82</v>
      </c>
      <c r="C15" s="80">
        <v>1</v>
      </c>
      <c r="D15" s="81"/>
      <c r="E15" s="82"/>
      <c r="F15" s="106" t="s">
        <v>148</v>
      </c>
    </row>
    <row r="16" spans="1:14">
      <c r="A16" s="68" t="s">
        <v>6</v>
      </c>
      <c r="B16" s="68" t="s">
        <v>82</v>
      </c>
      <c r="C16" s="77">
        <v>1.4999999999999999E-2</v>
      </c>
      <c r="D16" s="69"/>
      <c r="E16" s="70"/>
      <c r="F16" s="68" t="s">
        <v>10</v>
      </c>
      <c r="J16" s="71"/>
      <c r="K16" s="71"/>
      <c r="N16" s="72"/>
    </row>
    <row r="17" spans="1:14">
      <c r="A17" s="84" t="s">
        <v>126</v>
      </c>
      <c r="B17" s="68" t="s">
        <v>82</v>
      </c>
      <c r="C17" s="63">
        <v>1.085</v>
      </c>
      <c r="D17" s="69">
        <v>2008</v>
      </c>
      <c r="E17" s="70"/>
      <c r="F17" s="68" t="s">
        <v>10</v>
      </c>
      <c r="J17" s="71"/>
      <c r="K17" s="71"/>
      <c r="N17" s="72"/>
    </row>
    <row r="18" spans="1:14">
      <c r="A18" s="84" t="s">
        <v>133</v>
      </c>
      <c r="B18" s="68" t="s">
        <v>82</v>
      </c>
      <c r="C18" s="67">
        <v>0.40899999999999997</v>
      </c>
      <c r="D18" s="69">
        <v>2005</v>
      </c>
      <c r="E18" s="70"/>
      <c r="F18" s="68" t="s">
        <v>10</v>
      </c>
      <c r="J18" s="71"/>
      <c r="K18" s="71"/>
      <c r="N18" s="72"/>
    </row>
    <row r="19" spans="1:14" ht="16">
      <c r="A19" s="84" t="s">
        <v>134</v>
      </c>
      <c r="B19" s="68" t="s">
        <v>82</v>
      </c>
      <c r="C19" s="67">
        <v>0.443</v>
      </c>
      <c r="D19" s="69">
        <v>2019</v>
      </c>
      <c r="E19" s="70"/>
      <c r="F19" s="89" t="s">
        <v>135</v>
      </c>
      <c r="J19" s="71"/>
      <c r="K19" s="71"/>
      <c r="N19" s="72"/>
    </row>
    <row r="20" spans="1:14">
      <c r="A20" s="68" t="s">
        <v>73</v>
      </c>
      <c r="B20" s="68" t="s">
        <v>82</v>
      </c>
      <c r="C20" s="67">
        <v>79.671999999999997</v>
      </c>
      <c r="D20" s="69">
        <v>2005</v>
      </c>
      <c r="E20" s="70"/>
      <c r="F20" s="68" t="s">
        <v>10</v>
      </c>
      <c r="J20" s="71"/>
      <c r="K20" s="71"/>
      <c r="N20" s="72"/>
    </row>
    <row r="21" spans="1:14">
      <c r="A21" s="68" t="s">
        <v>74</v>
      </c>
      <c r="B21" s="68" t="s">
        <v>82</v>
      </c>
      <c r="C21" s="67">
        <v>106.693</v>
      </c>
      <c r="D21" s="69">
        <v>2012</v>
      </c>
      <c r="E21" s="70"/>
      <c r="F21" s="68" t="s">
        <v>10</v>
      </c>
      <c r="J21" s="71"/>
      <c r="K21" s="71"/>
      <c r="N21" s="72"/>
    </row>
    <row r="22" spans="1:14">
      <c r="A22" s="68" t="s">
        <v>75</v>
      </c>
      <c r="B22" s="68" t="s">
        <v>82</v>
      </c>
      <c r="C22" s="67">
        <v>100</v>
      </c>
      <c r="D22" s="69">
        <v>2010</v>
      </c>
      <c r="E22" s="70"/>
      <c r="J22" s="71"/>
      <c r="K22" s="71"/>
      <c r="N22" s="72"/>
    </row>
    <row r="23" spans="1:14">
      <c r="A23" s="68" t="s">
        <v>76</v>
      </c>
      <c r="B23" s="68" t="s">
        <v>82</v>
      </c>
      <c r="C23" s="67">
        <v>131.87700000000001</v>
      </c>
      <c r="D23" s="69">
        <v>2017</v>
      </c>
      <c r="E23" s="70"/>
      <c r="F23" s="68" t="s">
        <v>10</v>
      </c>
      <c r="J23" s="71"/>
      <c r="K23" s="71"/>
      <c r="N23" s="72"/>
    </row>
    <row r="24" spans="1:14">
      <c r="A24" s="68" t="s">
        <v>7</v>
      </c>
      <c r="B24" s="68" t="s">
        <v>82</v>
      </c>
      <c r="C24" s="67">
        <v>3.8029999999999999</v>
      </c>
      <c r="D24" s="69"/>
      <c r="E24" s="70"/>
      <c r="F24" s="68" t="s">
        <v>10</v>
      </c>
      <c r="J24" s="71"/>
      <c r="K24" s="71"/>
      <c r="N24" s="72"/>
    </row>
    <row r="25" spans="1:14">
      <c r="A25" s="68" t="s">
        <v>95</v>
      </c>
      <c r="B25" s="68" t="s">
        <v>82</v>
      </c>
      <c r="C25" s="63">
        <v>3427.67</v>
      </c>
      <c r="D25" s="69">
        <v>2018</v>
      </c>
      <c r="E25" s="70"/>
      <c r="F25" s="68" t="s">
        <v>10</v>
      </c>
      <c r="J25" s="71"/>
      <c r="K25" s="71"/>
      <c r="N25" s="72"/>
    </row>
    <row r="26" spans="1:14" ht="16">
      <c r="A26" s="84" t="s">
        <v>128</v>
      </c>
      <c r="B26" s="68" t="s">
        <v>82</v>
      </c>
      <c r="C26" s="63">
        <v>1.24</v>
      </c>
      <c r="D26" s="69">
        <v>2008</v>
      </c>
      <c r="E26" s="70"/>
      <c r="F26" s="89" t="s">
        <v>127</v>
      </c>
      <c r="J26" s="71"/>
      <c r="K26" s="71"/>
      <c r="N26" s="72"/>
    </row>
    <row r="27" spans="1:14" ht="16">
      <c r="A27" s="84" t="s">
        <v>125</v>
      </c>
      <c r="B27" s="68" t="s">
        <v>82</v>
      </c>
      <c r="D27" s="69">
        <v>2019</v>
      </c>
      <c r="E27" s="63">
        <v>1.19</v>
      </c>
      <c r="F27" s="89" t="s">
        <v>129</v>
      </c>
      <c r="J27" s="71"/>
      <c r="K27" s="71"/>
      <c r="N27" s="72"/>
    </row>
    <row r="28" spans="1:14">
      <c r="C28" s="67"/>
      <c r="D28" s="69"/>
      <c r="E28" s="70"/>
      <c r="J28" s="71"/>
      <c r="K28" s="71"/>
      <c r="N28" s="72"/>
    </row>
    <row r="29" spans="1:14">
      <c r="A29" s="101" t="s">
        <v>153</v>
      </c>
      <c r="B29" s="68" t="s">
        <v>85</v>
      </c>
      <c r="C29" s="70">
        <v>34.119999999999997</v>
      </c>
      <c r="D29" s="69">
        <v>2010</v>
      </c>
      <c r="E29" s="70">
        <f>C29/$C$22*$C$23*POWER(SUM(1,$C$24/100),2019-2017)</f>
        <v>48.483938529092256</v>
      </c>
      <c r="F29" s="68" t="s">
        <v>18</v>
      </c>
      <c r="J29" s="71"/>
      <c r="K29" s="71"/>
      <c r="N29" s="72"/>
    </row>
    <row r="30" spans="1:14">
      <c r="A30" s="101" t="s">
        <v>150</v>
      </c>
      <c r="B30" s="68" t="s">
        <v>85</v>
      </c>
      <c r="C30" s="70"/>
      <c r="D30" s="69">
        <v>2019</v>
      </c>
      <c r="E30" s="70">
        <f>'Sanitary Landfilling'!B22</f>
        <v>5.032</v>
      </c>
      <c r="F30" s="101" t="s">
        <v>151</v>
      </c>
      <c r="J30" s="71"/>
      <c r="K30" s="71"/>
      <c r="N30" s="72"/>
    </row>
    <row r="31" spans="1:14">
      <c r="C31" s="83"/>
      <c r="D31" s="74"/>
    </row>
  </sheetData>
  <mergeCells count="2">
    <mergeCell ref="H1:J1"/>
    <mergeCell ref="L1:N1"/>
  </mergeCells>
  <hyperlinks>
    <hyperlink ref="F26" r:id="rId1" xr:uid="{C67DEB66-8814-49A8-A83E-2CFDD8C9C1A3}"/>
    <hyperlink ref="F27" r:id="rId2" xr:uid="{3F6B91D2-2A5F-4640-9B92-3D7996E59279}"/>
    <hyperlink ref="F14" r:id="rId3" xr:uid="{A3147F4E-0D25-430F-A0F2-83F0C65294FA}"/>
    <hyperlink ref="F19" r:id="rId4" xr:uid="{D7F1D801-88DD-4F6D-8ADB-D14B17EEF429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Z637"/>
  <sheetViews>
    <sheetView tabSelected="1" topLeftCell="A502" zoomScale="115" zoomScaleNormal="115" workbookViewId="0">
      <pane xSplit="1" topLeftCell="F1" activePane="topRight" state="frozen"/>
      <selection activeCell="A200" sqref="A200"/>
      <selection pane="topRight" activeCell="X4" sqref="X4"/>
    </sheetView>
  </sheetViews>
  <sheetFormatPr baseColWidth="10" defaultColWidth="11" defaultRowHeight="15"/>
  <cols>
    <col min="1" max="1" width="2.83203125" style="101" bestFit="1" customWidth="1"/>
    <col min="2" max="2" width="19" style="101" bestFit="1" customWidth="1"/>
    <col min="3" max="3" width="5.33203125" style="101" bestFit="1" customWidth="1"/>
    <col min="4" max="4" width="9.83203125" style="101" bestFit="1" customWidth="1"/>
    <col min="5" max="5" width="9.83203125" style="101" customWidth="1"/>
    <col min="6" max="6" width="7.6640625" style="101" customWidth="1"/>
    <col min="7" max="7" width="14" style="134" customWidth="1"/>
    <col min="8" max="8" width="15.83203125" style="134" customWidth="1"/>
    <col min="9" max="9" width="16.1640625" style="135" customWidth="1"/>
    <col min="10" max="10" width="17.33203125" style="143" bestFit="1" customWidth="1"/>
    <col min="11" max="11" width="11" style="144"/>
    <col min="12" max="12" width="14.6640625" style="137" bestFit="1" customWidth="1"/>
    <col min="13" max="13" width="7.6640625" style="101" customWidth="1"/>
    <col min="14" max="14" width="13.6640625" style="101" customWidth="1"/>
    <col min="15" max="15" width="20.33203125" style="88" bestFit="1" customWidth="1"/>
    <col min="16" max="16" width="15.33203125" style="154" customWidth="1"/>
    <col min="17" max="17" width="19.83203125" style="155" customWidth="1"/>
    <col min="18" max="18" width="7" style="101" customWidth="1"/>
    <col min="19" max="19" width="12.83203125" style="151" bestFit="1" customWidth="1"/>
    <col min="20" max="20" width="12.33203125" style="140" customWidth="1"/>
    <col min="21" max="21" width="10.1640625" style="199" customWidth="1"/>
    <col min="22" max="22" width="10.1640625" style="140" customWidth="1"/>
    <col min="23" max="23" width="12.33203125" style="152" bestFit="1" customWidth="1"/>
    <col min="24" max="24" width="21.1640625" style="153" customWidth="1"/>
    <col min="25" max="16384" width="11" style="101"/>
  </cols>
  <sheetData>
    <row r="1" spans="1:26" s="131" customFormat="1">
      <c r="D1" s="86"/>
      <c r="E1" s="86"/>
      <c r="F1" s="86"/>
      <c r="G1" s="222" t="s">
        <v>71</v>
      </c>
      <c r="H1" s="222"/>
      <c r="I1" s="222"/>
      <c r="J1" s="222"/>
      <c r="K1" s="222"/>
      <c r="L1" s="222"/>
      <c r="N1" s="222" t="s">
        <v>91</v>
      </c>
      <c r="O1" s="222"/>
      <c r="P1" s="222"/>
      <c r="Q1" s="222"/>
      <c r="R1" s="86"/>
      <c r="S1" s="222" t="s">
        <v>117</v>
      </c>
      <c r="T1" s="222"/>
      <c r="U1" s="222"/>
      <c r="V1" s="222"/>
      <c r="W1" s="222"/>
      <c r="X1" s="222"/>
    </row>
    <row r="2" spans="1:26" s="131" customFormat="1">
      <c r="D2" s="86"/>
      <c r="E2" s="86"/>
      <c r="F2" s="86"/>
      <c r="G2" s="225" t="s">
        <v>92</v>
      </c>
      <c r="H2" s="225"/>
      <c r="I2" s="225"/>
      <c r="J2" s="225"/>
      <c r="K2" s="226" t="s">
        <v>93</v>
      </c>
      <c r="L2" s="226"/>
      <c r="N2" s="227" t="s">
        <v>163</v>
      </c>
      <c r="O2" s="227"/>
      <c r="P2" s="226" t="s">
        <v>90</v>
      </c>
      <c r="Q2" s="226"/>
      <c r="S2" s="223" t="s">
        <v>155</v>
      </c>
      <c r="T2" s="223"/>
      <c r="U2" s="223"/>
      <c r="V2" s="223"/>
      <c r="W2" s="224" t="s">
        <v>118</v>
      </c>
      <c r="X2" s="224"/>
    </row>
    <row r="3" spans="1:26" s="204" customFormat="1" ht="80">
      <c r="A3" s="204" t="s">
        <v>67</v>
      </c>
      <c r="B3" s="203" t="s">
        <v>1</v>
      </c>
      <c r="C3" s="204" t="s">
        <v>0</v>
      </c>
      <c r="D3" s="205" t="s">
        <v>2</v>
      </c>
      <c r="E3" s="206" t="s">
        <v>197</v>
      </c>
      <c r="F3" s="205"/>
      <c r="G3" s="207" t="s">
        <v>5</v>
      </c>
      <c r="H3" s="208" t="s">
        <v>78</v>
      </c>
      <c r="I3" s="209" t="s">
        <v>72</v>
      </c>
      <c r="J3" s="210" t="s">
        <v>3</v>
      </c>
      <c r="K3" s="211" t="s">
        <v>69</v>
      </c>
      <c r="L3" s="212" t="s">
        <v>70</v>
      </c>
      <c r="N3" s="204" t="s">
        <v>89</v>
      </c>
      <c r="O3" s="213" t="s">
        <v>152</v>
      </c>
      <c r="P3" s="214" t="s">
        <v>68</v>
      </c>
      <c r="Q3" s="215" t="s">
        <v>138</v>
      </c>
      <c r="S3" s="210" t="s">
        <v>161</v>
      </c>
      <c r="T3" s="208" t="s">
        <v>156</v>
      </c>
      <c r="U3" s="216" t="s">
        <v>157</v>
      </c>
      <c r="V3" s="208" t="s">
        <v>158</v>
      </c>
      <c r="W3" s="211" t="s">
        <v>162</v>
      </c>
      <c r="X3" s="202" t="s">
        <v>154</v>
      </c>
      <c r="Y3" s="217"/>
    </row>
    <row r="4" spans="1:26">
      <c r="A4" s="101">
        <v>1</v>
      </c>
      <c r="B4" s="132" t="s">
        <v>21</v>
      </c>
      <c r="C4" s="101">
        <v>2019</v>
      </c>
      <c r="D4" s="133">
        <f>Population!D2</f>
        <v>7289191.0349999992</v>
      </c>
      <c r="E4" s="133" t="str">
        <f>IF(D4&lt;100000,"Small",IF(D4&lt;1000000,"Medium","Large"))</f>
        <v>Large</v>
      </c>
      <c r="F4" s="133"/>
      <c r="G4" s="134">
        <f>Variables!$C$3*POWER(SUM(1,Variables!$C$2/100),C4-2017)</f>
        <v>15545.345840954085</v>
      </c>
      <c r="H4" s="134">
        <f>1647.41-417.73*LN(G4)+29.43*(LN(G4))^2</f>
        <v>357.13863614208822</v>
      </c>
      <c r="I4" s="135">
        <f>VLOOKUP(B4,'Waste per capita'!$B$2:$F$48,4,FALSE)</f>
        <v>317.8</v>
      </c>
      <c r="J4" s="134">
        <f t="shared" ref="J4:J67" si="0">I4*D4/1000</f>
        <v>2316504.910923</v>
      </c>
      <c r="K4" s="136">
        <f>Variables!$C$15</f>
        <v>1</v>
      </c>
      <c r="L4" s="137">
        <f t="shared" ref="L4:L67" si="1">J4*K4</f>
        <v>2316504.910923</v>
      </c>
      <c r="N4" s="138">
        <f>Variables!$E$30*Variables!$C$19</f>
        <v>2.2291759999999998</v>
      </c>
      <c r="O4" s="87">
        <f>N4*L4</f>
        <v>5163897.1513116891</v>
      </c>
      <c r="P4" s="145">
        <f>Variables!$E$29</f>
        <v>48.483938529092256</v>
      </c>
      <c r="Q4" s="146">
        <f>P4*J4</f>
        <v>112313281.70353106</v>
      </c>
      <c r="S4" s="150">
        <f>SUM(J4,J51,J145,J192,J239,J286,J333,J380,J427,J474,J521)</f>
        <v>30379535.493470605</v>
      </c>
      <c r="T4" s="134">
        <f>S4/Variables!$C$9</f>
        <v>189.8720968341913</v>
      </c>
      <c r="U4" s="198">
        <f>Landfills!C2</f>
        <v>0</v>
      </c>
      <c r="V4" s="134">
        <f>T4-U4</f>
        <v>189.8720968341913</v>
      </c>
      <c r="W4" s="147">
        <f>VLOOKUP(B4,'Land cost'!$B$2:$F$60,4,FALSE)</f>
        <v>147636.26490038747</v>
      </c>
      <c r="X4" s="148">
        <f>V4*(W4+Variables!$E$11)</f>
        <v>71434194.007000238</v>
      </c>
      <c r="Y4" s="131"/>
      <c r="Z4" s="131"/>
    </row>
    <row r="5" spans="1:26">
      <c r="A5" s="101">
        <v>2</v>
      </c>
      <c r="B5" s="132" t="s">
        <v>22</v>
      </c>
      <c r="C5" s="101">
        <v>2019</v>
      </c>
      <c r="D5" s="133">
        <f>Population!D3</f>
        <v>2407914.9499999997</v>
      </c>
      <c r="E5" s="133" t="str">
        <f t="shared" ref="E5:E68" si="2">IF(D5&lt;100000,"Small",IF(D5&lt;1000000,"Medium","Large"))</f>
        <v>Large</v>
      </c>
      <c r="F5" s="133"/>
      <c r="G5" s="134">
        <f>Variables!$C$3*POWER(SUM(1,Variables!$C$2/100),C5-2017)</f>
        <v>15545.345840954085</v>
      </c>
      <c r="H5" s="134">
        <f t="shared" ref="H5:H59" si="3">1647.41-417.73*LN(G5)+29.43*(LN(G5))^2</f>
        <v>357.13863614208822</v>
      </c>
      <c r="I5" s="135">
        <f>VLOOKUP(B5,'Waste per capita'!$B$2:$F$48,4,FALSE)</f>
        <v>142.4</v>
      </c>
      <c r="J5" s="134">
        <f t="shared" si="0"/>
        <v>342887.08888</v>
      </c>
      <c r="K5" s="136">
        <f>Variables!$C$15</f>
        <v>1</v>
      </c>
      <c r="L5" s="137">
        <f t="shared" si="1"/>
        <v>342887.08888</v>
      </c>
      <c r="N5" s="138">
        <f>Variables!$E$30*Variables!$C$19</f>
        <v>2.2291759999999998</v>
      </c>
      <c r="O5" s="87">
        <f t="shared" ref="O5:O67" si="4">N5*L5</f>
        <v>764355.66924116283</v>
      </c>
      <c r="P5" s="145">
        <f>Variables!$E$29</f>
        <v>48.483938529092256</v>
      </c>
      <c r="Q5" s="146">
        <f t="shared" ref="Q5:Q67" si="5">P5*J5</f>
        <v>16624516.539677313</v>
      </c>
      <c r="S5" s="150">
        <f t="shared" ref="S5:S50" si="6">SUM(J5,J52,J146,J193,J240,J287,J334,J381,J428,J475,J522)</f>
        <v>4496753.0341786621</v>
      </c>
      <c r="T5" s="134">
        <f>S5/Variables!$C$9</f>
        <v>28.104706463616637</v>
      </c>
      <c r="U5" s="198">
        <f>Landfills!C3</f>
        <v>0</v>
      </c>
      <c r="V5" s="134">
        <f t="shared" ref="V5:V50" si="7">T5-U5</f>
        <v>28.104706463616637</v>
      </c>
      <c r="W5" s="147">
        <f>VLOOKUP(B5,'Land cost'!$B$2:$F$60,4,FALSE)</f>
        <v>97831.088854333517</v>
      </c>
      <c r="X5" s="148">
        <f>V5*(W5+Variables!$E$11)</f>
        <v>9173868.8553710561</v>
      </c>
      <c r="Y5" s="131"/>
      <c r="Z5" s="201"/>
    </row>
    <row r="6" spans="1:26">
      <c r="A6" s="101">
        <v>3</v>
      </c>
      <c r="B6" s="132" t="s">
        <v>23</v>
      </c>
      <c r="C6" s="101">
        <v>2019</v>
      </c>
      <c r="D6" s="133">
        <f>Population!D4</f>
        <v>1850212.0349999999</v>
      </c>
      <c r="E6" s="133" t="str">
        <f t="shared" si="2"/>
        <v>Large</v>
      </c>
      <c r="F6" s="133"/>
      <c r="G6" s="134">
        <f>Variables!$C$3*POWER(SUM(1,Variables!$C$2/100),C6-2017)</f>
        <v>15545.345840954085</v>
      </c>
      <c r="H6" s="134">
        <f t="shared" si="3"/>
        <v>357.13863614208822</v>
      </c>
      <c r="I6" s="135">
        <f>VLOOKUP(B6,'Waste per capita'!$B$2:$F$48,4,FALSE)</f>
        <v>105.88316888735589</v>
      </c>
      <c r="J6" s="134">
        <f t="shared" si="0"/>
        <v>195906.31337932343</v>
      </c>
      <c r="K6" s="136">
        <f>Variables!$C$15</f>
        <v>1</v>
      </c>
      <c r="L6" s="137">
        <f t="shared" si="1"/>
        <v>195906.31337932343</v>
      </c>
      <c r="N6" s="138">
        <f>Variables!$E$30*Variables!$C$19</f>
        <v>2.2291759999999998</v>
      </c>
      <c r="O6" s="87">
        <f t="shared" si="4"/>
        <v>436709.65203366667</v>
      </c>
      <c r="P6" s="145">
        <f>Variables!$E$29</f>
        <v>48.483938529092256</v>
      </c>
      <c r="Q6" s="146">
        <f t="shared" si="5"/>
        <v>9498309.6553442013</v>
      </c>
      <c r="S6" s="150">
        <f t="shared" si="6"/>
        <v>2569190.668510505</v>
      </c>
      <c r="T6" s="134">
        <f>S6/Variables!$C$9</f>
        <v>16.057441678190656</v>
      </c>
      <c r="U6" s="198">
        <f>Landfills!C4</f>
        <v>0</v>
      </c>
      <c r="V6" s="134">
        <f t="shared" si="7"/>
        <v>16.057441678190656</v>
      </c>
      <c r="W6" s="147">
        <f>VLOOKUP(B6,'Land cost'!$B$2:$F$60,4,FALSE)</f>
        <v>82508.672071698849</v>
      </c>
      <c r="X6" s="148">
        <f>V6*(W6+Variables!$E$11)</f>
        <v>4995391.6312258188</v>
      </c>
    </row>
    <row r="7" spans="1:26">
      <c r="A7" s="101">
        <v>4</v>
      </c>
      <c r="B7" s="132" t="s">
        <v>24</v>
      </c>
      <c r="C7" s="101">
        <v>2019</v>
      </c>
      <c r="D7" s="133">
        <f>Population!D5</f>
        <v>1136904.5449999999</v>
      </c>
      <c r="E7" s="133" t="str">
        <f t="shared" si="2"/>
        <v>Large</v>
      </c>
      <c r="F7" s="133"/>
      <c r="G7" s="134">
        <f>Variables!$C$3*POWER(SUM(1,Variables!$C$2/100),C7-2017)</f>
        <v>15545.345840954085</v>
      </c>
      <c r="H7" s="134">
        <f t="shared" si="3"/>
        <v>357.13863614208822</v>
      </c>
      <c r="I7" s="135">
        <f>VLOOKUP(B7,'Waste per capita'!$B$2:$F$48,4,FALSE)</f>
        <v>364.70869283422587</v>
      </c>
      <c r="J7" s="134">
        <f t="shared" si="0"/>
        <v>414638.97048424027</v>
      </c>
      <c r="K7" s="136">
        <f>Variables!$C$15</f>
        <v>1</v>
      </c>
      <c r="L7" s="137">
        <f t="shared" si="1"/>
        <v>414638.97048424027</v>
      </c>
      <c r="N7" s="138">
        <f>Variables!$E$30*Variables!$C$19</f>
        <v>2.2291759999999998</v>
      </c>
      <c r="O7" s="87">
        <f t="shared" si="4"/>
        <v>924303.24166817672</v>
      </c>
      <c r="P7" s="145">
        <f>Variables!$E$29</f>
        <v>48.483938529092256</v>
      </c>
      <c r="Q7" s="146">
        <f t="shared" si="5"/>
        <v>20103330.356724005</v>
      </c>
      <c r="S7" s="150">
        <f t="shared" si="6"/>
        <v>5437734.7794108754</v>
      </c>
      <c r="T7" s="134">
        <f>S7/Variables!$C$9</f>
        <v>33.985842371317972</v>
      </c>
      <c r="U7" s="198">
        <f>Landfills!C5</f>
        <v>0</v>
      </c>
      <c r="V7" s="134">
        <f t="shared" si="7"/>
        <v>33.985842371317972</v>
      </c>
      <c r="W7" s="147">
        <f>VLOOKUP(B7,'Land cost'!$B$2:$F$60,4,FALSE)</f>
        <v>262569.03377513005</v>
      </c>
      <c r="X7" s="148">
        <f>V7*(W7+Variables!$E$11)</f>
        <v>16692332.53854748</v>
      </c>
    </row>
    <row r="8" spans="1:26">
      <c r="A8" s="101">
        <v>5</v>
      </c>
      <c r="B8" s="132" t="s">
        <v>25</v>
      </c>
      <c r="C8" s="101">
        <v>2019</v>
      </c>
      <c r="D8" s="133">
        <f>Population!D6</f>
        <v>536787.82499999995</v>
      </c>
      <c r="E8" s="133" t="str">
        <f t="shared" si="2"/>
        <v>Medium</v>
      </c>
      <c r="F8" s="133"/>
      <c r="G8" s="134">
        <f>Variables!$C$3*POWER(SUM(1,Variables!$C$2/100),C8-2017)</f>
        <v>15545.345840954085</v>
      </c>
      <c r="H8" s="134">
        <f t="shared" si="3"/>
        <v>357.13863614208822</v>
      </c>
      <c r="I8" s="135">
        <f>VLOOKUP(B8,'Waste per capita'!$B$2:$F$48,4,FALSE)</f>
        <v>139.06651036916537</v>
      </c>
      <c r="J8" s="134">
        <f t="shared" si="0"/>
        <v>74649.209631404228</v>
      </c>
      <c r="K8" s="136">
        <f>Variables!$C$15</f>
        <v>1</v>
      </c>
      <c r="L8" s="137">
        <f t="shared" si="1"/>
        <v>74649.209631404228</v>
      </c>
      <c r="N8" s="138">
        <f>Variables!$E$30*Variables!$C$19</f>
        <v>2.2291759999999998</v>
      </c>
      <c r="O8" s="87">
        <f t="shared" si="4"/>
        <v>166406.22652929515</v>
      </c>
      <c r="P8" s="145">
        <f>Variables!$E$29</f>
        <v>48.483938529092256</v>
      </c>
      <c r="Q8" s="146">
        <f t="shared" si="5"/>
        <v>3619287.6910143243</v>
      </c>
      <c r="S8" s="150">
        <f t="shared" si="6"/>
        <v>978978.41824698541</v>
      </c>
      <c r="T8" s="134">
        <f>S8/Variables!$C$9</f>
        <v>6.1186151140436591</v>
      </c>
      <c r="U8" s="198">
        <f>Landfills!C6</f>
        <v>0</v>
      </c>
      <c r="V8" s="134">
        <f t="shared" si="7"/>
        <v>6.1186151140436591</v>
      </c>
      <c r="W8" s="147">
        <f>VLOOKUP(B8,'Land cost'!$B$2:$F$60,4,FALSE)</f>
        <v>35009.204503350673</v>
      </c>
      <c r="X8" s="148">
        <f>V8*(W8+Variables!$E$11)</f>
        <v>1612840.2993180698</v>
      </c>
    </row>
    <row r="9" spans="1:26">
      <c r="A9" s="101">
        <v>6</v>
      </c>
      <c r="B9" s="132" t="s">
        <v>26</v>
      </c>
      <c r="C9" s="101">
        <v>2019</v>
      </c>
      <c r="D9" s="133">
        <f>Population!D7</f>
        <v>901265.19</v>
      </c>
      <c r="E9" s="133" t="str">
        <f t="shared" si="2"/>
        <v>Medium</v>
      </c>
      <c r="F9" s="133"/>
      <c r="G9" s="134">
        <f>Variables!$C$3*POWER(SUM(1,Variables!$C$2/100),C9-2017)</f>
        <v>15545.345840954085</v>
      </c>
      <c r="H9" s="134">
        <f t="shared" si="3"/>
        <v>357.13863614208822</v>
      </c>
      <c r="I9" s="135">
        <f>VLOOKUP(B9,'Waste per capita'!$B$2:$F$48,4,FALSE)</f>
        <v>139.06651036916537</v>
      </c>
      <c r="J9" s="134">
        <f t="shared" si="0"/>
        <v>125335.8048905028</v>
      </c>
      <c r="K9" s="136">
        <f>Variables!$C$15</f>
        <v>1</v>
      </c>
      <c r="L9" s="137">
        <f t="shared" si="1"/>
        <v>125335.8048905028</v>
      </c>
      <c r="N9" s="138">
        <f>Variables!$E$30*Variables!$C$19</f>
        <v>2.2291759999999998</v>
      </c>
      <c r="O9" s="87">
        <f t="shared" si="4"/>
        <v>279395.56820259144</v>
      </c>
      <c r="P9" s="145">
        <f>Variables!$E$29</f>
        <v>48.483938529092256</v>
      </c>
      <c r="Q9" s="146">
        <f t="shared" si="5"/>
        <v>6076773.4598054383</v>
      </c>
      <c r="S9" s="150">
        <f t="shared" si="6"/>
        <v>1643701.9042435787</v>
      </c>
      <c r="T9" s="134">
        <f>S9/Variables!$C$9</f>
        <v>10.273136901522367</v>
      </c>
      <c r="U9" s="198">
        <f>Landfills!C7</f>
        <v>0</v>
      </c>
      <c r="V9" s="134">
        <f t="shared" si="7"/>
        <v>10.273136901522367</v>
      </c>
      <c r="W9" s="147">
        <f>VLOOKUP(B9,'Land cost'!$B$2:$F$60,4,FALSE)</f>
        <v>116697.34834450224</v>
      </c>
      <c r="X9" s="148">
        <f>V9*(W9+Variables!$E$11)</f>
        <v>3547147.6357056317</v>
      </c>
    </row>
    <row r="10" spans="1:26">
      <c r="A10" s="101">
        <v>7</v>
      </c>
      <c r="B10" s="132" t="s">
        <v>27</v>
      </c>
      <c r="C10" s="101">
        <v>2019</v>
      </c>
      <c r="D10" s="133">
        <f>Population!D8</f>
        <v>638855.21</v>
      </c>
      <c r="E10" s="133" t="str">
        <f t="shared" si="2"/>
        <v>Medium</v>
      </c>
      <c r="F10" s="133"/>
      <c r="G10" s="134">
        <f>Variables!$C$3*POWER(SUM(1,Variables!$C$2/100),C10-2017)</f>
        <v>15545.345840954085</v>
      </c>
      <c r="H10" s="134">
        <f t="shared" si="3"/>
        <v>357.13863614208822</v>
      </c>
      <c r="I10" s="135">
        <f>VLOOKUP(B10,'Waste per capita'!$B$2:$F$48,4,FALSE)</f>
        <v>139.06651036916537</v>
      </c>
      <c r="J10" s="134">
        <f t="shared" si="0"/>
        <v>88843.364685860317</v>
      </c>
      <c r="K10" s="136">
        <f>Variables!$C$15</f>
        <v>1</v>
      </c>
      <c r="L10" s="137">
        <f t="shared" si="1"/>
        <v>88843.364685860317</v>
      </c>
      <c r="N10" s="138">
        <f>Variables!$E$30*Variables!$C$19</f>
        <v>2.2291759999999998</v>
      </c>
      <c r="O10" s="87">
        <f t="shared" si="4"/>
        <v>198047.49631696733</v>
      </c>
      <c r="P10" s="145">
        <f>Variables!$E$29</f>
        <v>48.483938529092256</v>
      </c>
      <c r="Q10" s="146">
        <f t="shared" si="5"/>
        <v>4307476.2321469774</v>
      </c>
      <c r="S10" s="150">
        <f t="shared" si="6"/>
        <v>1165126.0215796542</v>
      </c>
      <c r="T10" s="134">
        <f>S10/Variables!$C$9</f>
        <v>7.2820376348728386</v>
      </c>
      <c r="U10" s="198">
        <f>Landfills!C8</f>
        <v>0</v>
      </c>
      <c r="V10" s="134">
        <f t="shared" si="7"/>
        <v>7.2820376348728386</v>
      </c>
      <c r="W10" s="147">
        <f>VLOOKUP(B10,'Land cost'!$B$2:$F$60,4,FALSE)</f>
        <v>388991.16114834079</v>
      </c>
      <c r="X10" s="148">
        <f>V10*(W10+Variables!$E$11)</f>
        <v>4497223.339805318</v>
      </c>
    </row>
    <row r="11" spans="1:26">
      <c r="A11" s="101">
        <v>8</v>
      </c>
      <c r="B11" s="132" t="s">
        <v>28</v>
      </c>
      <c r="C11" s="101">
        <v>2019</v>
      </c>
      <c r="D11" s="133">
        <f>Population!D9</f>
        <v>415815.05</v>
      </c>
      <c r="E11" s="133" t="str">
        <f t="shared" si="2"/>
        <v>Medium</v>
      </c>
      <c r="F11" s="133"/>
      <c r="G11" s="134">
        <f>Variables!$C$3*POWER(SUM(1,Variables!$C$2/100),C11-2017)</f>
        <v>15545.345840954085</v>
      </c>
      <c r="H11" s="134">
        <f t="shared" si="3"/>
        <v>357.13863614208822</v>
      </c>
      <c r="I11" s="135">
        <f>VLOOKUP(B11,'Waste per capita'!$B$2:$F$48,4,FALSE)</f>
        <v>139.06651036916537</v>
      </c>
      <c r="J11" s="134">
        <f t="shared" si="0"/>
        <v>57825.947962480015</v>
      </c>
      <c r="K11" s="136">
        <f>Variables!$C$15</f>
        <v>1</v>
      </c>
      <c r="L11" s="137">
        <f t="shared" si="1"/>
        <v>57825.947962480015</v>
      </c>
      <c r="N11" s="138">
        <f>Variables!$E$30*Variables!$C$19</f>
        <v>2.2291759999999998</v>
      </c>
      <c r="O11" s="87">
        <f t="shared" si="4"/>
        <v>128904.21537520934</v>
      </c>
      <c r="P11" s="145">
        <f>Variables!$E$29</f>
        <v>48.483938529092256</v>
      </c>
      <c r="Q11" s="146">
        <f t="shared" si="5"/>
        <v>2803629.7063993686</v>
      </c>
      <c r="S11" s="150">
        <f t="shared" si="6"/>
        <v>758351.70056677645</v>
      </c>
      <c r="T11" s="134">
        <f>S11/Variables!$C$9</f>
        <v>4.7396981285423525</v>
      </c>
      <c r="U11" s="198">
        <f>Landfills!C9</f>
        <v>0</v>
      </c>
      <c r="V11" s="134">
        <f t="shared" si="7"/>
        <v>4.7396981285423525</v>
      </c>
      <c r="W11" s="147">
        <f>VLOOKUP(B11,'Land cost'!$B$2:$F$60,4,FALSE)</f>
        <v>150613.7419565586</v>
      </c>
      <c r="X11" s="148">
        <f>V11*(W11+Variables!$E$11)</f>
        <v>1797294.3965300852</v>
      </c>
    </row>
    <row r="12" spans="1:26">
      <c r="A12" s="101">
        <v>9</v>
      </c>
      <c r="B12" s="132" t="s">
        <v>29</v>
      </c>
      <c r="C12" s="101">
        <v>2019</v>
      </c>
      <c r="D12" s="133">
        <f>Population!D10</f>
        <v>487050.79499999993</v>
      </c>
      <c r="E12" s="133" t="str">
        <f t="shared" si="2"/>
        <v>Medium</v>
      </c>
      <c r="F12" s="133"/>
      <c r="G12" s="134">
        <f>Variables!$C$3*POWER(SUM(1,Variables!$C$2/100),C12-2017)</f>
        <v>15545.345840954085</v>
      </c>
      <c r="H12" s="134">
        <f t="shared" si="3"/>
        <v>357.13863614208822</v>
      </c>
      <c r="I12" s="135">
        <f>VLOOKUP(B12,'Waste per capita'!$B$2:$F$48,4,FALSE)</f>
        <v>139.06651036916537</v>
      </c>
      <c r="J12" s="134">
        <f t="shared" si="0"/>
        <v>67732.454433177729</v>
      </c>
      <c r="K12" s="136">
        <f>Variables!$C$15</f>
        <v>1</v>
      </c>
      <c r="L12" s="137">
        <f t="shared" si="1"/>
        <v>67732.454433177729</v>
      </c>
      <c r="N12" s="138">
        <f>Variables!$E$30*Variables!$C$19</f>
        <v>2.2291759999999998</v>
      </c>
      <c r="O12" s="87">
        <f t="shared" si="4"/>
        <v>150987.56184353339</v>
      </c>
      <c r="P12" s="145">
        <f>Variables!$E$29</f>
        <v>48.483938529092256</v>
      </c>
      <c r="Q12" s="146">
        <f t="shared" si="5"/>
        <v>3283936.1571627315</v>
      </c>
      <c r="S12" s="150">
        <f t="shared" si="6"/>
        <v>888269.43289005617</v>
      </c>
      <c r="T12" s="134">
        <f>S12/Variables!$C$9</f>
        <v>5.5516839555628508</v>
      </c>
      <c r="U12" s="198">
        <f>Landfills!C10</f>
        <v>0</v>
      </c>
      <c r="V12" s="134">
        <f t="shared" si="7"/>
        <v>5.5516839555628508</v>
      </c>
      <c r="W12" s="147">
        <f>VLOOKUP(B12,'Land cost'!$B$2:$F$60,4,FALSE)</f>
        <v>30870.243745406406</v>
      </c>
      <c r="X12" s="148">
        <f>V12*(W12+Variables!$E$11)</f>
        <v>1440421.5127260434</v>
      </c>
    </row>
    <row r="13" spans="1:26">
      <c r="A13" s="101">
        <v>10</v>
      </c>
      <c r="B13" s="132" t="s">
        <v>30</v>
      </c>
      <c r="C13" s="101">
        <v>2019</v>
      </c>
      <c r="D13" s="133">
        <f>Population!D11</f>
        <v>508196.29</v>
      </c>
      <c r="E13" s="133" t="str">
        <f t="shared" si="2"/>
        <v>Medium</v>
      </c>
      <c r="F13" s="133"/>
      <c r="G13" s="134">
        <f>Variables!$C$3*POWER(SUM(1,Variables!$C$2/100),C13-2017)</f>
        <v>15545.345840954085</v>
      </c>
      <c r="H13" s="134">
        <f t="shared" si="3"/>
        <v>357.13863614208822</v>
      </c>
      <c r="I13" s="135">
        <f>VLOOKUP(B13,'Waste per capita'!$B$2:$F$48,4,FALSE)</f>
        <v>139.06651036916537</v>
      </c>
      <c r="J13" s="134">
        <f t="shared" si="0"/>
        <v>70673.084632856364</v>
      </c>
      <c r="K13" s="136">
        <f>Variables!$C$15</f>
        <v>1</v>
      </c>
      <c r="L13" s="137">
        <f t="shared" si="1"/>
        <v>70673.084632856364</v>
      </c>
      <c r="N13" s="138">
        <f>Variables!$E$30*Variables!$C$19</f>
        <v>2.2291759999999998</v>
      </c>
      <c r="O13" s="87">
        <f t="shared" si="4"/>
        <v>157542.74410953221</v>
      </c>
      <c r="P13" s="145">
        <f>Variables!$E$29</f>
        <v>48.483938529092256</v>
      </c>
      <c r="Q13" s="146">
        <f t="shared" si="5"/>
        <v>3426509.4910007427</v>
      </c>
      <c r="S13" s="150">
        <f t="shared" si="6"/>
        <v>926833.98723357089</v>
      </c>
      <c r="T13" s="134">
        <f>S13/Variables!$C$9</f>
        <v>5.7927124202098179</v>
      </c>
      <c r="U13" s="198">
        <f>Landfills!C11</f>
        <v>0</v>
      </c>
      <c r="V13" s="134">
        <f t="shared" si="7"/>
        <v>5.7927124202098179</v>
      </c>
      <c r="W13" s="147">
        <f>VLOOKUP(B13,'Land cost'!$B$2:$F$60,4,FALSE)</f>
        <v>106264.06350823946</v>
      </c>
      <c r="X13" s="148">
        <f>V13*(W13+Variables!$E$11)</f>
        <v>1939692.6751904134</v>
      </c>
    </row>
    <row r="14" spans="1:26">
      <c r="A14" s="101">
        <v>11</v>
      </c>
      <c r="B14" s="132" t="s">
        <v>31</v>
      </c>
      <c r="C14" s="101">
        <v>2019</v>
      </c>
      <c r="D14" s="133">
        <f>Population!D12</f>
        <v>357610.88999999996</v>
      </c>
      <c r="E14" s="133" t="str">
        <f t="shared" si="2"/>
        <v>Medium</v>
      </c>
      <c r="F14" s="133"/>
      <c r="G14" s="134">
        <f>Variables!$C$3*POWER(SUM(1,Variables!$C$2/100),C14-2017)</f>
        <v>15545.345840954085</v>
      </c>
      <c r="H14" s="134">
        <f t="shared" si="3"/>
        <v>357.13863614208822</v>
      </c>
      <c r="I14" s="135">
        <f>VLOOKUP(B14,'Waste per capita'!$B$2:$F$48,4,FALSE)</f>
        <v>139.06651036916537</v>
      </c>
      <c r="J14" s="134">
        <f t="shared" si="0"/>
        <v>49731.698542311453</v>
      </c>
      <c r="K14" s="136">
        <f>Variables!$C$15</f>
        <v>1</v>
      </c>
      <c r="L14" s="137">
        <f t="shared" si="1"/>
        <v>49731.698542311453</v>
      </c>
      <c r="N14" s="138">
        <f>Variables!$E$30*Variables!$C$19</f>
        <v>2.2291759999999998</v>
      </c>
      <c r="O14" s="87">
        <f t="shared" si="4"/>
        <v>110860.70882975566</v>
      </c>
      <c r="P14" s="145">
        <f>Variables!$E$29</f>
        <v>48.483938529092256</v>
      </c>
      <c r="Q14" s="146">
        <f t="shared" si="5"/>
        <v>2411188.6150727756</v>
      </c>
      <c r="S14" s="150">
        <f t="shared" si="6"/>
        <v>652200.60354404768</v>
      </c>
      <c r="T14" s="134">
        <f>S14/Variables!$C$9</f>
        <v>4.0762537721502978</v>
      </c>
      <c r="U14" s="198">
        <f>Landfills!C12</f>
        <v>0</v>
      </c>
      <c r="V14" s="134">
        <f t="shared" si="7"/>
        <v>4.0762537721502978</v>
      </c>
      <c r="W14" s="147">
        <f>VLOOKUP(B14,'Land cost'!$B$2:$F$60,4,FALSE)</f>
        <v>83492.346266214605</v>
      </c>
      <c r="X14" s="148">
        <f>V14*(W14+Variables!$E$11)</f>
        <v>1272112.3329660259</v>
      </c>
    </row>
    <row r="15" spans="1:26">
      <c r="A15" s="101">
        <v>12</v>
      </c>
      <c r="B15" s="132" t="s">
        <v>32</v>
      </c>
      <c r="C15" s="101">
        <v>2019</v>
      </c>
      <c r="D15" s="133">
        <f>Population!D13</f>
        <v>406442.54</v>
      </c>
      <c r="E15" s="133" t="str">
        <f t="shared" si="2"/>
        <v>Medium</v>
      </c>
      <c r="F15" s="133"/>
      <c r="G15" s="134">
        <f>Variables!$C$3*POWER(SUM(1,Variables!$C$2/100),C15-2017)</f>
        <v>15545.345840954085</v>
      </c>
      <c r="H15" s="134">
        <f t="shared" si="3"/>
        <v>357.13863614208822</v>
      </c>
      <c r="I15" s="135">
        <f>VLOOKUP(B15,'Waste per capita'!$B$2:$F$48,4,FALSE)</f>
        <v>139.06651036916537</v>
      </c>
      <c r="J15" s="134">
        <f t="shared" si="0"/>
        <v>56522.54570337991</v>
      </c>
      <c r="K15" s="136">
        <f>Variables!$C$15</f>
        <v>1</v>
      </c>
      <c r="L15" s="137">
        <f t="shared" si="1"/>
        <v>56522.54570337991</v>
      </c>
      <c r="N15" s="138">
        <f>Variables!$E$30*Variables!$C$19</f>
        <v>2.2291759999999998</v>
      </c>
      <c r="O15" s="87">
        <f t="shared" si="4"/>
        <v>125998.7023408776</v>
      </c>
      <c r="P15" s="145">
        <f>Variables!$E$29</f>
        <v>48.483938529092256</v>
      </c>
      <c r="Q15" s="146">
        <f t="shared" si="5"/>
        <v>2740435.6313904794</v>
      </c>
      <c r="S15" s="150">
        <f t="shared" si="6"/>
        <v>741258.38252290292</v>
      </c>
      <c r="T15" s="134">
        <f>S15/Variables!$C$9</f>
        <v>4.6328648907681433</v>
      </c>
      <c r="U15" s="198">
        <f>Landfills!C13</f>
        <v>0</v>
      </c>
      <c r="V15" s="134">
        <f t="shared" si="7"/>
        <v>4.6328648907681433</v>
      </c>
      <c r="W15" s="147">
        <f>VLOOKUP(B15,'Land cost'!$B$2:$F$60,4,FALSE)</f>
        <v>46131.92051743604</v>
      </c>
      <c r="X15" s="148">
        <f>V15*(W15+Variables!$E$11)</f>
        <v>1272733.0509733562</v>
      </c>
    </row>
    <row r="16" spans="1:26">
      <c r="A16" s="101">
        <v>13</v>
      </c>
      <c r="B16" s="132" t="s">
        <v>33</v>
      </c>
      <c r="C16" s="101">
        <v>2019</v>
      </c>
      <c r="D16" s="133">
        <f>Population!D14</f>
        <v>457980.17999999993</v>
      </c>
      <c r="E16" s="133" t="str">
        <f t="shared" si="2"/>
        <v>Medium</v>
      </c>
      <c r="F16" s="133"/>
      <c r="G16" s="134">
        <f>Variables!$C$3*POWER(SUM(1,Variables!$C$2/100),C16-2017)</f>
        <v>15545.345840954085</v>
      </c>
      <c r="H16" s="134">
        <f t="shared" si="3"/>
        <v>357.13863614208822</v>
      </c>
      <c r="I16" s="135">
        <f>VLOOKUP(B16,'Waste per capita'!$B$2:$F$48,4,FALSE)</f>
        <v>139.06651036916537</v>
      </c>
      <c r="J16" s="134">
        <f t="shared" si="0"/>
        <v>63689.705450842215</v>
      </c>
      <c r="K16" s="136">
        <f>Variables!$C$15</f>
        <v>1</v>
      </c>
      <c r="L16" s="137">
        <f t="shared" si="1"/>
        <v>63689.705450842215</v>
      </c>
      <c r="N16" s="138">
        <f>Variables!$E$30*Variables!$C$19</f>
        <v>2.2291759999999998</v>
      </c>
      <c r="O16" s="87">
        <f t="shared" si="4"/>
        <v>141975.56283808663</v>
      </c>
      <c r="P16" s="145">
        <f>Variables!$E$29</f>
        <v>48.483938529092256</v>
      </c>
      <c r="Q16" s="146">
        <f t="shared" si="5"/>
        <v>3087927.7640146259</v>
      </c>
      <c r="S16" s="150">
        <f t="shared" si="6"/>
        <v>835251.26935371454</v>
      </c>
      <c r="T16" s="134">
        <f>S16/Variables!$C$9</f>
        <v>5.2203204334607163</v>
      </c>
      <c r="U16" s="198">
        <f>Landfills!C14</f>
        <v>0</v>
      </c>
      <c r="V16" s="134">
        <f t="shared" si="7"/>
        <v>5.2203204334607163</v>
      </c>
      <c r="W16" s="147">
        <f>VLOOKUP(B16,'Land cost'!$B$2:$F$60,4,FALSE)</f>
        <v>16674.425234301183</v>
      </c>
      <c r="X16" s="148">
        <f>V16*(W16+Variables!$E$11)</f>
        <v>1280340.310460597</v>
      </c>
    </row>
    <row r="17" spans="1:24">
      <c r="A17" s="101">
        <v>14</v>
      </c>
      <c r="B17" s="132" t="s">
        <v>34</v>
      </c>
      <c r="C17" s="101">
        <v>2019</v>
      </c>
      <c r="D17" s="133">
        <f>Population!D15</f>
        <v>319243.88999999996</v>
      </c>
      <c r="E17" s="133" t="str">
        <f t="shared" si="2"/>
        <v>Medium</v>
      </c>
      <c r="F17" s="133"/>
      <c r="G17" s="134">
        <f>Variables!$C$3*POWER(SUM(1,Variables!$C$2/100),C17-2017)</f>
        <v>15545.345840954085</v>
      </c>
      <c r="H17" s="134">
        <f t="shared" si="3"/>
        <v>357.13863614208822</v>
      </c>
      <c r="I17" s="135">
        <f>VLOOKUP(B17,'Waste per capita'!$B$2:$F$48,4,FALSE)</f>
        <v>139.06651036916537</v>
      </c>
      <c r="J17" s="134">
        <f t="shared" si="0"/>
        <v>44396.133738977689</v>
      </c>
      <c r="K17" s="136">
        <f>Variables!$C$15</f>
        <v>1</v>
      </c>
      <c r="L17" s="137">
        <f t="shared" si="1"/>
        <v>44396.133738977689</v>
      </c>
      <c r="N17" s="138">
        <f>Variables!$E$30*Variables!$C$19</f>
        <v>2.2291759999999998</v>
      </c>
      <c r="O17" s="87">
        <f t="shared" si="4"/>
        <v>98966.795823719323</v>
      </c>
      <c r="P17" s="145">
        <f>Variables!$E$29</f>
        <v>48.483938529092256</v>
      </c>
      <c r="Q17" s="146">
        <f t="shared" si="5"/>
        <v>2152499.4191299533</v>
      </c>
      <c r="S17" s="150">
        <f t="shared" si="6"/>
        <v>582227.95658082329</v>
      </c>
      <c r="T17" s="134">
        <f>S17/Variables!$C$9</f>
        <v>3.6389247286301454</v>
      </c>
      <c r="U17" s="198">
        <f>Landfills!C15</f>
        <v>0</v>
      </c>
      <c r="V17" s="134">
        <f t="shared" si="7"/>
        <v>3.6389247286301454</v>
      </c>
      <c r="W17" s="147">
        <f>VLOOKUP(B17,'Land cost'!$B$2:$F$60,4,FALSE)</f>
        <v>106264.06350823946</v>
      </c>
      <c r="X17" s="148">
        <f>V17*(W17+Variables!$E$11)</f>
        <v>1218495.7805030297</v>
      </c>
    </row>
    <row r="18" spans="1:24">
      <c r="A18" s="101">
        <v>15</v>
      </c>
      <c r="B18" s="132" t="s">
        <v>35</v>
      </c>
      <c r="C18" s="101">
        <v>2019</v>
      </c>
      <c r="D18" s="133">
        <f>Population!D16</f>
        <v>279775.61499999999</v>
      </c>
      <c r="E18" s="133" t="str">
        <f t="shared" si="2"/>
        <v>Medium</v>
      </c>
      <c r="F18" s="133"/>
      <c r="G18" s="134">
        <f>Variables!$C$3*POWER(SUM(1,Variables!$C$2/100),C18-2017)</f>
        <v>15545.345840954085</v>
      </c>
      <c r="H18" s="134">
        <f t="shared" si="3"/>
        <v>357.13863614208822</v>
      </c>
      <c r="I18" s="135">
        <f>VLOOKUP(B18,'Waste per capita'!$B$2:$F$48,4,FALSE)</f>
        <v>86.182092142538806</v>
      </c>
      <c r="J18" s="134">
        <f t="shared" si="0"/>
        <v>24111.647831165461</v>
      </c>
      <c r="K18" s="136">
        <f>Variables!$C$15</f>
        <v>1</v>
      </c>
      <c r="L18" s="137">
        <f t="shared" si="1"/>
        <v>24111.647831165461</v>
      </c>
      <c r="N18" s="138">
        <f>Variables!$E$30*Variables!$C$19</f>
        <v>2.2291759999999998</v>
      </c>
      <c r="O18" s="87">
        <f t="shared" si="4"/>
        <v>53749.106665686093</v>
      </c>
      <c r="P18" s="145">
        <f>Variables!$E$29</f>
        <v>48.483938529092256</v>
      </c>
      <c r="Q18" s="146">
        <f t="shared" si="5"/>
        <v>1169027.6512813468</v>
      </c>
      <c r="S18" s="150">
        <f t="shared" si="6"/>
        <v>316209.41429435322</v>
      </c>
      <c r="T18" s="134">
        <f>S18/Variables!$C$9</f>
        <v>1.9763088393397077</v>
      </c>
      <c r="U18" s="198">
        <f>Landfills!C16</f>
        <v>0</v>
      </c>
      <c r="V18" s="134">
        <f t="shared" si="7"/>
        <v>1.9763088393397077</v>
      </c>
      <c r="W18" s="147">
        <f>VLOOKUP(B18,'Land cost'!$B$2:$F$60,4,FALSE)</f>
        <v>106264.06350823946</v>
      </c>
      <c r="X18" s="148">
        <f>V18*(W18+Variables!$E$11)</f>
        <v>661768.01151168626</v>
      </c>
    </row>
    <row r="19" spans="1:24">
      <c r="A19" s="101">
        <v>16</v>
      </c>
      <c r="B19" s="132" t="s">
        <v>36</v>
      </c>
      <c r="C19" s="101">
        <v>2019</v>
      </c>
      <c r="D19" s="133">
        <f>Population!D17</f>
        <v>466239.23499999993</v>
      </c>
      <c r="E19" s="133" t="str">
        <f t="shared" si="2"/>
        <v>Medium</v>
      </c>
      <c r="F19" s="133"/>
      <c r="G19" s="134">
        <f>Variables!$C$3*POWER(SUM(1,Variables!$C$2/100),C19-2017)</f>
        <v>15545.345840954085</v>
      </c>
      <c r="H19" s="134">
        <f t="shared" si="3"/>
        <v>357.13863614208822</v>
      </c>
      <c r="I19" s="135">
        <f>VLOOKUP(B19,'Waste per capita'!$B$2:$F$48,4,FALSE)</f>
        <v>139.06651036916537</v>
      </c>
      <c r="J19" s="134">
        <f t="shared" si="0"/>
        <v>64838.263408639221</v>
      </c>
      <c r="K19" s="136">
        <f>Variables!$C$15</f>
        <v>1</v>
      </c>
      <c r="L19" s="137">
        <f t="shared" si="1"/>
        <v>64838.263408639221</v>
      </c>
      <c r="N19" s="138">
        <f>Variables!$E$30*Variables!$C$19</f>
        <v>2.2291759999999998</v>
      </c>
      <c r="O19" s="87">
        <f t="shared" si="4"/>
        <v>144535.90067221673</v>
      </c>
      <c r="P19" s="145">
        <f>Variables!$E$29</f>
        <v>48.483938529092256</v>
      </c>
      <c r="Q19" s="146">
        <f t="shared" si="5"/>
        <v>3143614.3774375557</v>
      </c>
      <c r="S19" s="150">
        <f t="shared" si="6"/>
        <v>850313.89973307331</v>
      </c>
      <c r="T19" s="134">
        <f>S19/Variables!$C$9</f>
        <v>5.3144618733317079</v>
      </c>
      <c r="U19" s="198">
        <f>Landfills!C17</f>
        <v>0</v>
      </c>
      <c r="V19" s="134">
        <f t="shared" si="7"/>
        <v>5.3144618733317079</v>
      </c>
      <c r="W19" s="147">
        <f>VLOOKUP(B19,'Land cost'!$B$2:$F$60,4,FALSE)</f>
        <v>106264.06350823946</v>
      </c>
      <c r="X19" s="148">
        <f>V19*(W19+Variables!$E$11)</f>
        <v>1779550.2383850182</v>
      </c>
    </row>
    <row r="20" spans="1:24">
      <c r="A20" s="101">
        <v>17</v>
      </c>
      <c r="B20" s="132" t="s">
        <v>37</v>
      </c>
      <c r="C20" s="101">
        <v>2019</v>
      </c>
      <c r="D20" s="133">
        <f>Population!D18</f>
        <v>440228.84499999997</v>
      </c>
      <c r="E20" s="133" t="str">
        <f t="shared" si="2"/>
        <v>Medium</v>
      </c>
      <c r="F20" s="133"/>
      <c r="G20" s="134">
        <f>Variables!$C$3*POWER(SUM(1,Variables!$C$2/100),C20-2017)</f>
        <v>15545.345840954085</v>
      </c>
      <c r="H20" s="134">
        <f t="shared" si="3"/>
        <v>357.13863614208822</v>
      </c>
      <c r="I20" s="135">
        <f>VLOOKUP(B20,'Waste per capita'!$B$2:$F$48,4,FALSE)</f>
        <v>139.06651036916537</v>
      </c>
      <c r="J20" s="134">
        <f t="shared" si="0"/>
        <v>61221.089237998189</v>
      </c>
      <c r="K20" s="136">
        <f>Variables!$C$15</f>
        <v>1</v>
      </c>
      <c r="L20" s="137">
        <f t="shared" si="1"/>
        <v>61221.089237998189</v>
      </c>
      <c r="N20" s="138">
        <f>Variables!$E$30*Variables!$C$19</f>
        <v>2.2291759999999998</v>
      </c>
      <c r="O20" s="87">
        <f t="shared" si="4"/>
        <v>136472.58282320385</v>
      </c>
      <c r="P20" s="145">
        <f>Variables!$E$29</f>
        <v>48.483938529092256</v>
      </c>
      <c r="Q20" s="146">
        <f t="shared" si="5"/>
        <v>2968239.5272991755</v>
      </c>
      <c r="S20" s="150">
        <f t="shared" si="6"/>
        <v>802876.88779975101</v>
      </c>
      <c r="T20" s="134">
        <f>S20/Variables!$C$9</f>
        <v>5.0179805487484437</v>
      </c>
      <c r="U20" s="198">
        <f>Landfills!C18</f>
        <v>0</v>
      </c>
      <c r="V20" s="134">
        <f t="shared" si="7"/>
        <v>5.0179805487484437</v>
      </c>
      <c r="W20" s="147">
        <f>VLOOKUP(B20,'Land cost'!$B$2:$F$60,4,FALSE)</f>
        <v>106264.06350823946</v>
      </c>
      <c r="X20" s="148">
        <f>V20*(W20+Variables!$E$11)</f>
        <v>1680273.3173318445</v>
      </c>
    </row>
    <row r="21" spans="1:24">
      <c r="A21" s="101">
        <v>18</v>
      </c>
      <c r="B21" s="132" t="s">
        <v>38</v>
      </c>
      <c r="C21" s="101">
        <v>2019</v>
      </c>
      <c r="D21" s="133">
        <f>Population!D19</f>
        <v>278741.32999999996</v>
      </c>
      <c r="E21" s="133" t="str">
        <f t="shared" si="2"/>
        <v>Medium</v>
      </c>
      <c r="F21" s="133"/>
      <c r="G21" s="134">
        <f>Variables!$C$3*POWER(SUM(1,Variables!$C$2/100),C21-2017)</f>
        <v>15545.345840954085</v>
      </c>
      <c r="H21" s="134">
        <f t="shared" si="3"/>
        <v>357.13863614208822</v>
      </c>
      <c r="I21" s="135">
        <f>VLOOKUP(B21,'Waste per capita'!$B$2:$F$48,4,FALSE)</f>
        <v>139.06651036916537</v>
      </c>
      <c r="J21" s="134">
        <f t="shared" si="0"/>
        <v>38763.584058759945</v>
      </c>
      <c r="K21" s="136">
        <f>Variables!$C$15</f>
        <v>1</v>
      </c>
      <c r="L21" s="137">
        <f t="shared" si="1"/>
        <v>38763.584058759945</v>
      </c>
      <c r="N21" s="138">
        <f>Variables!$E$30*Variables!$C$19</f>
        <v>2.2291759999999998</v>
      </c>
      <c r="O21" s="87">
        <f t="shared" si="4"/>
        <v>86410.85125777025</v>
      </c>
      <c r="P21" s="145">
        <f>Variables!$E$29</f>
        <v>48.483938529092256</v>
      </c>
      <c r="Q21" s="146">
        <f t="shared" si="5"/>
        <v>1879411.2266722177</v>
      </c>
      <c r="S21" s="150">
        <f t="shared" si="6"/>
        <v>508360.53582895803</v>
      </c>
      <c r="T21" s="134">
        <f>S21/Variables!$C$9</f>
        <v>3.1772533489309875</v>
      </c>
      <c r="U21" s="198">
        <f>Landfills!C19</f>
        <v>0</v>
      </c>
      <c r="V21" s="134">
        <f t="shared" si="7"/>
        <v>3.1772533489309875</v>
      </c>
      <c r="W21" s="147">
        <f>VLOOKUP(B21,'Land cost'!$B$2:$F$60,4,FALSE)</f>
        <v>106264.06350823946</v>
      </c>
      <c r="X21" s="148">
        <f>V21*(W21+Variables!$E$11)</f>
        <v>1063904.8861884328</v>
      </c>
    </row>
    <row r="22" spans="1:24">
      <c r="A22" s="101">
        <v>19</v>
      </c>
      <c r="B22" s="132" t="s">
        <v>39</v>
      </c>
      <c r="C22" s="101">
        <v>2019</v>
      </c>
      <c r="D22" s="133">
        <f>Population!D20</f>
        <v>281429.05</v>
      </c>
      <c r="E22" s="133" t="str">
        <f t="shared" si="2"/>
        <v>Medium</v>
      </c>
      <c r="F22" s="133"/>
      <c r="G22" s="134">
        <f>Variables!$C$3*POWER(SUM(1,Variables!$C$2/100),C22-2017)</f>
        <v>15545.345840954085</v>
      </c>
      <c r="H22" s="134">
        <f t="shared" si="3"/>
        <v>357.13863614208822</v>
      </c>
      <c r="I22" s="135">
        <f>VLOOKUP(B22,'Waste per capita'!$B$2:$F$48,4,FALSE)</f>
        <v>139.06651036916537</v>
      </c>
      <c r="J22" s="134">
        <f t="shared" si="0"/>
        <v>39137.355900009359</v>
      </c>
      <c r="K22" s="136">
        <f>Variables!$C$15</f>
        <v>1</v>
      </c>
      <c r="L22" s="137">
        <f t="shared" si="1"/>
        <v>39137.355900009359</v>
      </c>
      <c r="N22" s="138">
        <f>Variables!$E$30*Variables!$C$19</f>
        <v>2.2291759999999998</v>
      </c>
      <c r="O22" s="87">
        <f t="shared" si="4"/>
        <v>87244.054475759258</v>
      </c>
      <c r="P22" s="145">
        <f>Variables!$E$29</f>
        <v>48.483938529092256</v>
      </c>
      <c r="Q22" s="146">
        <f t="shared" si="5"/>
        <v>1897533.15764726</v>
      </c>
      <c r="S22" s="150">
        <f t="shared" si="6"/>
        <v>513262.32337283692</v>
      </c>
      <c r="T22" s="134">
        <f>S22/Variables!$C$9</f>
        <v>3.2078895210802307</v>
      </c>
      <c r="U22" s="198">
        <f>Landfills!C20</f>
        <v>0</v>
      </c>
      <c r="V22" s="134">
        <f t="shared" si="7"/>
        <v>3.2078895210802307</v>
      </c>
      <c r="W22" s="147">
        <f>VLOOKUP(B22,'Land cost'!$B$2:$F$60,4,FALSE)</f>
        <v>106264.06350823946</v>
      </c>
      <c r="X22" s="148">
        <f>V22*(W22+Variables!$E$11)</f>
        <v>1074163.4238825252</v>
      </c>
    </row>
    <row r="23" spans="1:24">
      <c r="A23" s="101">
        <v>20</v>
      </c>
      <c r="B23" s="132" t="s">
        <v>40</v>
      </c>
      <c r="C23" s="101">
        <v>2019</v>
      </c>
      <c r="D23" s="133">
        <f>Population!D21</f>
        <v>170510.86499999999</v>
      </c>
      <c r="E23" s="133" t="str">
        <f t="shared" si="2"/>
        <v>Medium</v>
      </c>
      <c r="F23" s="133"/>
      <c r="G23" s="134">
        <f>Variables!$C$3*POWER(SUM(1,Variables!$C$2/100),C23-2017)</f>
        <v>15545.345840954085</v>
      </c>
      <c r="H23" s="134">
        <f t="shared" si="3"/>
        <v>357.13863614208822</v>
      </c>
      <c r="I23" s="135">
        <f>VLOOKUP(B23,'Waste per capita'!$B$2:$F$48,4,FALSE)</f>
        <v>139.06651036916537</v>
      </c>
      <c r="J23" s="134">
        <f t="shared" si="0"/>
        <v>23712.350975577854</v>
      </c>
      <c r="K23" s="136">
        <f>Variables!$C$15</f>
        <v>1</v>
      </c>
      <c r="L23" s="137">
        <f t="shared" si="1"/>
        <v>23712.350975577854</v>
      </c>
      <c r="N23" s="138">
        <f>Variables!$E$30*Variables!$C$19</f>
        <v>2.2291759999999998</v>
      </c>
      <c r="O23" s="87">
        <f t="shared" si="4"/>
        <v>52859.003698334731</v>
      </c>
      <c r="P23" s="145">
        <f>Variables!$E$29</f>
        <v>48.483938529092256</v>
      </c>
      <c r="Q23" s="146">
        <f t="shared" si="5"/>
        <v>1149668.1670801775</v>
      </c>
      <c r="S23" s="150">
        <f t="shared" si="6"/>
        <v>310972.88190473628</v>
      </c>
      <c r="T23" s="134">
        <f>S23/Variables!$C$9</f>
        <v>1.9435805119046017</v>
      </c>
      <c r="U23" s="198">
        <f>Landfills!C21</f>
        <v>0</v>
      </c>
      <c r="V23" s="134">
        <f t="shared" si="7"/>
        <v>1.9435805119046017</v>
      </c>
      <c r="W23" s="147">
        <f>VLOOKUP(B23,'Land cost'!$B$2:$F$60,4,FALSE)</f>
        <v>175046.02251675338</v>
      </c>
      <c r="X23" s="148">
        <f>V23*(W23+Variables!$E$11)</f>
        <v>784492.18966461089</v>
      </c>
    </row>
    <row r="24" spans="1:24">
      <c r="A24" s="101">
        <v>21</v>
      </c>
      <c r="B24" s="132" t="s">
        <v>41</v>
      </c>
      <c r="C24" s="101">
        <v>2019</v>
      </c>
      <c r="D24" s="133">
        <f>Population!D22</f>
        <v>180236.59499999997</v>
      </c>
      <c r="E24" s="133" t="str">
        <f t="shared" si="2"/>
        <v>Medium</v>
      </c>
      <c r="F24" s="133"/>
      <c r="G24" s="134">
        <f>Variables!$C$3*POWER(SUM(1,Variables!$C$2/100),C24-2017)</f>
        <v>15545.345840954085</v>
      </c>
      <c r="H24" s="134">
        <f t="shared" si="3"/>
        <v>357.13863614208822</v>
      </c>
      <c r="I24" s="135">
        <f>VLOOKUP(B24,'Waste per capita'!$B$2:$F$48,4,FALSE)</f>
        <v>139.06651036916537</v>
      </c>
      <c r="J24" s="134">
        <f t="shared" si="0"/>
        <v>25064.874307470556</v>
      </c>
      <c r="K24" s="136">
        <f>Variables!$C$15</f>
        <v>1</v>
      </c>
      <c r="L24" s="137">
        <f t="shared" si="1"/>
        <v>25064.874307470556</v>
      </c>
      <c r="N24" s="138">
        <f>Variables!$E$30*Variables!$C$19</f>
        <v>2.2291759999999998</v>
      </c>
      <c r="O24" s="87">
        <f t="shared" si="4"/>
        <v>55874.016249229979</v>
      </c>
      <c r="P24" s="145">
        <f>Variables!$E$29</f>
        <v>48.483938529092256</v>
      </c>
      <c r="Q24" s="146">
        <f t="shared" si="5"/>
        <v>1215243.8251628263</v>
      </c>
      <c r="S24" s="150">
        <f t="shared" si="6"/>
        <v>328710.39257144573</v>
      </c>
      <c r="T24" s="134">
        <f>S24/Variables!$C$9</f>
        <v>2.0544399535715359</v>
      </c>
      <c r="U24" s="198">
        <f>Landfills!C22</f>
        <v>0</v>
      </c>
      <c r="V24" s="134">
        <f t="shared" si="7"/>
        <v>2.0544399535715359</v>
      </c>
      <c r="W24" s="147">
        <f>VLOOKUP(B24,'Land cost'!$B$2:$F$60,4,FALSE)</f>
        <v>106264.06350823946</v>
      </c>
      <c r="X24" s="148">
        <f>V24*(W24+Variables!$E$11)</f>
        <v>687930.2545139814</v>
      </c>
    </row>
    <row r="25" spans="1:24">
      <c r="A25" s="101">
        <v>22</v>
      </c>
      <c r="B25" s="132" t="s">
        <v>42</v>
      </c>
      <c r="C25" s="101">
        <v>2019</v>
      </c>
      <c r="D25" s="133">
        <f>Population!D23</f>
        <v>159140.83499999999</v>
      </c>
      <c r="E25" s="133" t="str">
        <f t="shared" si="2"/>
        <v>Medium</v>
      </c>
      <c r="F25" s="133"/>
      <c r="G25" s="134">
        <f>Variables!$C$3*POWER(SUM(1,Variables!$C$2/100),C25-2017)</f>
        <v>15545.345840954085</v>
      </c>
      <c r="H25" s="134">
        <f t="shared" si="3"/>
        <v>357.13863614208822</v>
      </c>
      <c r="I25" s="135">
        <f>VLOOKUP(B25,'Waste per capita'!$B$2:$F$48,4,FALSE)</f>
        <v>105.13454970885643</v>
      </c>
      <c r="J25" s="134">
        <f t="shared" si="0"/>
        <v>16731.200028016417</v>
      </c>
      <c r="K25" s="136">
        <f>Variables!$C$15</f>
        <v>1</v>
      </c>
      <c r="L25" s="137">
        <f t="shared" si="1"/>
        <v>16731.200028016417</v>
      </c>
      <c r="N25" s="138">
        <f>Variables!$E$30*Variables!$C$19</f>
        <v>2.2291759999999998</v>
      </c>
      <c r="O25" s="87">
        <f t="shared" si="4"/>
        <v>37296.789553653522</v>
      </c>
      <c r="P25" s="145">
        <f>Variables!$E$29</f>
        <v>48.483938529092256</v>
      </c>
      <c r="Q25" s="146">
        <f t="shared" si="5"/>
        <v>811194.47367629467</v>
      </c>
      <c r="S25" s="150">
        <f t="shared" si="6"/>
        <v>219419.38594766762</v>
      </c>
      <c r="T25" s="134">
        <f>S25/Variables!$C$9</f>
        <v>1.3713711621729225</v>
      </c>
      <c r="U25" s="198">
        <f>Landfills!C23</f>
        <v>0</v>
      </c>
      <c r="V25" s="134">
        <f t="shared" si="7"/>
        <v>1.3713711621729225</v>
      </c>
      <c r="W25" s="147">
        <f>VLOOKUP(B25,'Land cost'!$B$2:$F$60,4,FALSE)</f>
        <v>106264.06350823946</v>
      </c>
      <c r="X25" s="148">
        <f>V25*(W25+Variables!$E$11)</f>
        <v>459204.32524040842</v>
      </c>
    </row>
    <row r="26" spans="1:24">
      <c r="A26" s="101">
        <v>23</v>
      </c>
      <c r="B26" s="132" t="s">
        <v>43</v>
      </c>
      <c r="C26" s="101">
        <v>2019</v>
      </c>
      <c r="D26" s="133">
        <f>Population!D24</f>
        <v>122489.18499999998</v>
      </c>
      <c r="E26" s="133" t="str">
        <f t="shared" si="2"/>
        <v>Medium</v>
      </c>
      <c r="F26" s="133"/>
      <c r="G26" s="134">
        <f>Variables!$C$3*POWER(SUM(1,Variables!$C$2/100),C26-2017)</f>
        <v>15545.345840954085</v>
      </c>
      <c r="H26" s="134">
        <f t="shared" si="3"/>
        <v>357.13863614208822</v>
      </c>
      <c r="I26" s="135">
        <f>VLOOKUP(B26,'Waste per capita'!$B$2:$F$48,4,FALSE)</f>
        <v>103.17956841261736</v>
      </c>
      <c r="J26" s="134">
        <f t="shared" si="0"/>
        <v>12638.381243513242</v>
      </c>
      <c r="K26" s="136">
        <f>Variables!$C$15</f>
        <v>1</v>
      </c>
      <c r="L26" s="137">
        <f t="shared" si="1"/>
        <v>12638.381243513242</v>
      </c>
      <c r="N26" s="138">
        <f>Variables!$E$30*Variables!$C$19</f>
        <v>2.2291759999999998</v>
      </c>
      <c r="O26" s="87">
        <f t="shared" si="4"/>
        <v>28173.176146889873</v>
      </c>
      <c r="P26" s="145">
        <f>Variables!$E$29</f>
        <v>48.483938529092256</v>
      </c>
      <c r="Q26" s="146">
        <f t="shared" si="5"/>
        <v>612758.49931772857</v>
      </c>
      <c r="S26" s="150">
        <f t="shared" si="6"/>
        <v>165744.5877869266</v>
      </c>
      <c r="T26" s="134">
        <f>S26/Variables!$C$9</f>
        <v>1.0359036736682912</v>
      </c>
      <c r="U26" s="198">
        <f>Landfills!C24</f>
        <v>0</v>
      </c>
      <c r="V26" s="134">
        <f t="shared" si="7"/>
        <v>1.0359036736682912</v>
      </c>
      <c r="W26" s="147">
        <f>VLOOKUP(B26,'Land cost'!$B$2:$F$60,4,FALSE)</f>
        <v>106264.06350823946</v>
      </c>
      <c r="X26" s="148">
        <f>V26*(W26+Variables!$E$11)</f>
        <v>346872.86753731937</v>
      </c>
    </row>
    <row r="27" spans="1:24">
      <c r="A27" s="101">
        <v>24</v>
      </c>
      <c r="B27" s="132" t="s">
        <v>44</v>
      </c>
      <c r="C27" s="101">
        <v>2019</v>
      </c>
      <c r="D27" s="133">
        <f>Population!D25</f>
        <v>76871.024999999994</v>
      </c>
      <c r="E27" s="133" t="str">
        <f t="shared" si="2"/>
        <v>Small</v>
      </c>
      <c r="F27" s="133"/>
      <c r="G27" s="134">
        <f>Variables!$C$3*POWER(SUM(1,Variables!$C$2/100),C27-2017)</f>
        <v>15545.345840954085</v>
      </c>
      <c r="H27" s="134">
        <f t="shared" si="3"/>
        <v>357.13863614208822</v>
      </c>
      <c r="I27" s="135">
        <f>VLOOKUP(B27,'Waste per capita'!$B$2:$F$48,4,FALSE)</f>
        <v>104.54015558335594</v>
      </c>
      <c r="J27" s="134">
        <f t="shared" si="0"/>
        <v>8036.1089133520436</v>
      </c>
      <c r="K27" s="136">
        <f>Variables!$C$15</f>
        <v>1</v>
      </c>
      <c r="L27" s="137">
        <f t="shared" si="1"/>
        <v>8036.1089133520436</v>
      </c>
      <c r="N27" s="138">
        <f>Variables!$E$30*Variables!$C$19</f>
        <v>2.2291759999999998</v>
      </c>
      <c r="O27" s="87">
        <f t="shared" si="4"/>
        <v>17913.901123030453</v>
      </c>
      <c r="P27" s="145">
        <f>Variables!$E$29</f>
        <v>48.483938529092256</v>
      </c>
      <c r="Q27" s="146">
        <f t="shared" si="5"/>
        <v>389622.21056805085</v>
      </c>
      <c r="S27" s="150">
        <f t="shared" si="6"/>
        <v>105388.62007648419</v>
      </c>
      <c r="T27" s="134">
        <f>S27/Variables!$C$9</f>
        <v>0.65867887547802617</v>
      </c>
      <c r="U27" s="198">
        <f>Landfills!C25</f>
        <v>0</v>
      </c>
      <c r="V27" s="134">
        <f t="shared" si="7"/>
        <v>0.65867887547802617</v>
      </c>
      <c r="W27" s="147">
        <f>VLOOKUP(B27,'Land cost'!$B$2:$F$60,4,FALSE)</f>
        <v>67524.852942023048</v>
      </c>
      <c r="X27" s="148">
        <f>V27*(W27+Variables!$E$11)</f>
        <v>195042.25397499092</v>
      </c>
    </row>
    <row r="28" spans="1:24">
      <c r="A28" s="101">
        <v>25</v>
      </c>
      <c r="B28" s="132" t="s">
        <v>45</v>
      </c>
      <c r="C28" s="101">
        <v>2019</v>
      </c>
      <c r="D28" s="133">
        <f>Population!D26</f>
        <v>159296.12999999998</v>
      </c>
      <c r="E28" s="133" t="str">
        <f t="shared" si="2"/>
        <v>Medium</v>
      </c>
      <c r="F28" s="133"/>
      <c r="G28" s="134">
        <f>Variables!$C$3*POWER(SUM(1,Variables!$C$2/100),C28-2017)</f>
        <v>15545.345840954085</v>
      </c>
      <c r="H28" s="134">
        <f t="shared" si="3"/>
        <v>357.13863614208822</v>
      </c>
      <c r="I28" s="135">
        <f>VLOOKUP(B28,'Waste per capita'!$B$2:$F$48,4,FALSE)</f>
        <v>104.21783239039596</v>
      </c>
      <c r="J28" s="134">
        <f t="shared" si="0"/>
        <v>16601.497376778723</v>
      </c>
      <c r="K28" s="136">
        <f>Variables!$C$15</f>
        <v>1</v>
      </c>
      <c r="L28" s="137">
        <f t="shared" si="1"/>
        <v>16601.497376778723</v>
      </c>
      <c r="N28" s="138">
        <f>Variables!$E$30*Variables!$C$19</f>
        <v>2.2291759999999998</v>
      </c>
      <c r="O28" s="87">
        <f t="shared" si="4"/>
        <v>37007.659516378088</v>
      </c>
      <c r="P28" s="145">
        <f>Variables!$E$29</f>
        <v>48.483938529092256</v>
      </c>
      <c r="Q28" s="146">
        <f t="shared" si="5"/>
        <v>804905.97830662597</v>
      </c>
      <c r="S28" s="150">
        <f t="shared" si="6"/>
        <v>217718.41554251412</v>
      </c>
      <c r="T28" s="134">
        <f>S28/Variables!$C$9</f>
        <v>1.3607400971407133</v>
      </c>
      <c r="U28" s="198">
        <f>Landfills!C26</f>
        <v>0</v>
      </c>
      <c r="V28" s="134">
        <f t="shared" si="7"/>
        <v>1.3607400971407133</v>
      </c>
      <c r="W28" s="147">
        <f>VLOOKUP(B28,'Land cost'!$B$2:$F$60,4,FALSE)</f>
        <v>106264.06350823946</v>
      </c>
      <c r="X28" s="148">
        <f>V28*(W28+Variables!$E$11)</f>
        <v>455644.50775309349</v>
      </c>
    </row>
    <row r="29" spans="1:24">
      <c r="A29" s="101">
        <v>26</v>
      </c>
      <c r="B29" s="132" t="s">
        <v>46</v>
      </c>
      <c r="C29" s="101">
        <v>2019</v>
      </c>
      <c r="D29" s="133">
        <f>Population!D27</f>
        <v>43486.659999999996</v>
      </c>
      <c r="E29" s="133" t="str">
        <f t="shared" si="2"/>
        <v>Small</v>
      </c>
      <c r="F29" s="133"/>
      <c r="G29" s="134">
        <f>Variables!$C$3*POWER(SUM(1,Variables!$C$2/100),C29-2017)</f>
        <v>15545.345840954085</v>
      </c>
      <c r="H29" s="134">
        <f t="shared" si="3"/>
        <v>357.13863614208822</v>
      </c>
      <c r="I29" s="135">
        <f>VLOOKUP(B29,'Waste per capita'!$B$2:$F$48,4,FALSE)</f>
        <v>105.29224303359591</v>
      </c>
      <c r="J29" s="134">
        <f t="shared" si="0"/>
        <v>4578.8079734393532</v>
      </c>
      <c r="K29" s="136">
        <f>Variables!$C$15</f>
        <v>1</v>
      </c>
      <c r="L29" s="137">
        <f t="shared" si="1"/>
        <v>4578.8079734393532</v>
      </c>
      <c r="N29" s="138">
        <f>Variables!$E$30*Variables!$C$19</f>
        <v>2.2291759999999998</v>
      </c>
      <c r="O29" s="87">
        <f t="shared" si="4"/>
        <v>10206.968842999642</v>
      </c>
      <c r="P29" s="145">
        <f>Variables!$E$29</f>
        <v>48.483938529092256</v>
      </c>
      <c r="Q29" s="146">
        <f t="shared" si="5"/>
        <v>221998.6443207511</v>
      </c>
      <c r="S29" s="150">
        <f t="shared" si="6"/>
        <v>60048.24712047018</v>
      </c>
      <c r="T29" s="134">
        <f>S29/Variables!$C$9</f>
        <v>0.37530154450293862</v>
      </c>
      <c r="U29" s="198">
        <f>Landfills!C27</f>
        <v>0</v>
      </c>
      <c r="V29" s="134">
        <f t="shared" si="7"/>
        <v>0.37530154450293862</v>
      </c>
      <c r="W29" s="147">
        <f>VLOOKUP(B29,'Land cost'!$B$2:$F$60,4,FALSE)</f>
        <v>67524.852942023048</v>
      </c>
      <c r="X29" s="148">
        <f>V29*(W29+Variables!$E$11)</f>
        <v>111131.02588423679</v>
      </c>
    </row>
    <row r="30" spans="1:24">
      <c r="A30" s="101">
        <v>27</v>
      </c>
      <c r="B30" s="132" t="s">
        <v>47</v>
      </c>
      <c r="C30" s="101">
        <v>2019</v>
      </c>
      <c r="D30" s="133">
        <f>Population!D28</f>
        <v>8155.5249999999996</v>
      </c>
      <c r="E30" s="133" t="str">
        <f t="shared" si="2"/>
        <v>Small</v>
      </c>
      <c r="F30" s="133"/>
      <c r="G30" s="134">
        <f>Variables!$C$3*POWER(SUM(1,Variables!$C$2/100),C30-2017)</f>
        <v>15545.345840954085</v>
      </c>
      <c r="H30" s="134">
        <f t="shared" si="3"/>
        <v>357.13863614208822</v>
      </c>
      <c r="I30" s="135">
        <f>VLOOKUP(B30,'Waste per capita'!$B$2:$F$48,4,FALSE)</f>
        <v>104.26566913275018</v>
      </c>
      <c r="J30" s="134">
        <f t="shared" si="0"/>
        <v>850.34127125387226</v>
      </c>
      <c r="K30" s="136">
        <f>Variables!$C$15</f>
        <v>1</v>
      </c>
      <c r="L30" s="137">
        <f t="shared" si="1"/>
        <v>850.34127125387226</v>
      </c>
      <c r="N30" s="138">
        <f>Variables!$E$30*Variables!$C$19</f>
        <v>2.2291759999999998</v>
      </c>
      <c r="O30" s="87">
        <f t="shared" si="4"/>
        <v>1895.5603536886217</v>
      </c>
      <c r="P30" s="145">
        <f>Variables!$E$29</f>
        <v>48.483938529092256</v>
      </c>
      <c r="Q30" s="146">
        <f t="shared" si="5"/>
        <v>41227.89392422291</v>
      </c>
      <c r="S30" s="150">
        <f t="shared" si="6"/>
        <v>11151.702165538214</v>
      </c>
      <c r="T30" s="134">
        <f>S30/Variables!$C$9</f>
        <v>6.9698138534613832E-2</v>
      </c>
      <c r="U30" s="198">
        <f>Landfills!C28</f>
        <v>0</v>
      </c>
      <c r="V30" s="134">
        <f t="shared" si="7"/>
        <v>6.9698138534613832E-2</v>
      </c>
      <c r="W30" s="147">
        <f>VLOOKUP(B30,'Land cost'!$B$2:$F$60,4,FALSE)</f>
        <v>67524.852942023048</v>
      </c>
      <c r="X30" s="148">
        <f>V30*(W30+Variables!$E$11)</f>
        <v>20638.40597254095</v>
      </c>
    </row>
    <row r="31" spans="1:24">
      <c r="A31" s="101">
        <v>28</v>
      </c>
      <c r="B31" s="132" t="s">
        <v>48</v>
      </c>
      <c r="C31" s="101">
        <v>2019</v>
      </c>
      <c r="D31" s="133">
        <f>Population!D29</f>
        <v>48807.289999999994</v>
      </c>
      <c r="E31" s="133" t="str">
        <f t="shared" si="2"/>
        <v>Small</v>
      </c>
      <c r="F31" s="133"/>
      <c r="G31" s="134">
        <f>Variables!$C$3*POWER(SUM(1,Variables!$C$2/100),C31-2017)</f>
        <v>15545.345840954085</v>
      </c>
      <c r="H31" s="134">
        <f t="shared" si="3"/>
        <v>357.13863614208822</v>
      </c>
      <c r="I31" s="135">
        <f>VLOOKUP(B31,'Waste per capita'!$B$2:$F$48,4,FALSE)</f>
        <v>152.87183278182917</v>
      </c>
      <c r="J31" s="134">
        <f t="shared" si="0"/>
        <v>7461.2598754142418</v>
      </c>
      <c r="K31" s="136">
        <f>Variables!$C$15</f>
        <v>1</v>
      </c>
      <c r="L31" s="137">
        <f t="shared" si="1"/>
        <v>7461.2598754142418</v>
      </c>
      <c r="N31" s="138">
        <f>Variables!$E$30*Variables!$C$19</f>
        <v>2.2291759999999998</v>
      </c>
      <c r="O31" s="87">
        <f t="shared" si="4"/>
        <v>16632.461444036417</v>
      </c>
      <c r="P31" s="145">
        <f>Variables!$E$29</f>
        <v>48.483938529092256</v>
      </c>
      <c r="Q31" s="146">
        <f t="shared" si="5"/>
        <v>361751.26514916663</v>
      </c>
      <c r="S31" s="150">
        <f t="shared" si="6"/>
        <v>97849.828913524572</v>
      </c>
      <c r="T31" s="134">
        <f>S31/Variables!$C$9</f>
        <v>0.61156143070952862</v>
      </c>
      <c r="U31" s="198">
        <f>Landfills!C29</f>
        <v>0</v>
      </c>
      <c r="V31" s="134">
        <f t="shared" si="7"/>
        <v>0.61156143070952862</v>
      </c>
      <c r="W31" s="147">
        <f>VLOOKUP(B31,'Land cost'!$B$2:$F$60,4,FALSE)</f>
        <v>67524.852942023048</v>
      </c>
      <c r="X31" s="148">
        <f>V31*(W31+Variables!$E$11)</f>
        <v>181090.24644701229</v>
      </c>
    </row>
    <row r="32" spans="1:24">
      <c r="A32" s="101">
        <v>29</v>
      </c>
      <c r="B32" s="132" t="s">
        <v>49</v>
      </c>
      <c r="C32" s="101">
        <v>2019</v>
      </c>
      <c r="D32" s="133">
        <f>Population!D30</f>
        <v>49148.329999999994</v>
      </c>
      <c r="E32" s="133" t="str">
        <f t="shared" si="2"/>
        <v>Small</v>
      </c>
      <c r="F32" s="133"/>
      <c r="G32" s="134">
        <f>Variables!$C$3*POWER(SUM(1,Variables!$C$2/100),C32-2017)</f>
        <v>15545.345840954085</v>
      </c>
      <c r="H32" s="134">
        <f t="shared" si="3"/>
        <v>357.13863614208822</v>
      </c>
      <c r="I32" s="135">
        <f>VLOOKUP(B32,'Waste per capita'!$B$2:$F$48,4,FALSE)</f>
        <v>152.87183278182917</v>
      </c>
      <c r="J32" s="134">
        <f t="shared" si="0"/>
        <v>7513.3952852661569</v>
      </c>
      <c r="K32" s="136">
        <f>Variables!$C$15</f>
        <v>1</v>
      </c>
      <c r="L32" s="137">
        <f t="shared" si="1"/>
        <v>7513.3952852661569</v>
      </c>
      <c r="N32" s="138">
        <f>Variables!$E$30*Variables!$C$19</f>
        <v>2.2291759999999998</v>
      </c>
      <c r="O32" s="87">
        <f t="shared" si="4"/>
        <v>16748.680448428469</v>
      </c>
      <c r="P32" s="145">
        <f>Variables!$E$29</f>
        <v>48.483938529092256</v>
      </c>
      <c r="Q32" s="146">
        <f t="shared" si="5"/>
        <v>364278.99515561591</v>
      </c>
      <c r="S32" s="150">
        <f t="shared" si="6"/>
        <v>98533.552710782489</v>
      </c>
      <c r="T32" s="134">
        <f>S32/Variables!$C$9</f>
        <v>0.61583470444239052</v>
      </c>
      <c r="U32" s="198">
        <f>Landfills!C30</f>
        <v>0</v>
      </c>
      <c r="V32" s="134">
        <f t="shared" si="7"/>
        <v>0.61583470444239052</v>
      </c>
      <c r="W32" s="147">
        <f>VLOOKUP(B32,'Land cost'!$B$2:$F$60,4,FALSE)</f>
        <v>67524.852942023048</v>
      </c>
      <c r="X32" s="148">
        <f>V32*(W32+Variables!$E$11)</f>
        <v>182355.61106054211</v>
      </c>
    </row>
    <row r="33" spans="1:24">
      <c r="A33" s="101">
        <v>30</v>
      </c>
      <c r="B33" s="132" t="s">
        <v>50</v>
      </c>
      <c r="C33" s="101">
        <v>2019</v>
      </c>
      <c r="D33" s="133">
        <f>Population!D31</f>
        <v>20084.82</v>
      </c>
      <c r="E33" s="133" t="str">
        <f t="shared" si="2"/>
        <v>Small</v>
      </c>
      <c r="F33" s="133"/>
      <c r="G33" s="134">
        <f>Variables!$C$3*POWER(SUM(1,Variables!$C$2/100),C33-2017)</f>
        <v>15545.345840954085</v>
      </c>
      <c r="H33" s="134">
        <f t="shared" si="3"/>
        <v>357.13863614208822</v>
      </c>
      <c r="I33" s="135">
        <f>VLOOKUP(B33,'Waste per capita'!$B$2:$F$48,4,FALSE)</f>
        <v>152.87183278182917</v>
      </c>
      <c r="J33" s="134">
        <f t="shared" si="0"/>
        <v>3070.4032444931381</v>
      </c>
      <c r="K33" s="136">
        <f>Variables!$C$15</f>
        <v>1</v>
      </c>
      <c r="L33" s="137">
        <f t="shared" si="1"/>
        <v>3070.4032444931381</v>
      </c>
      <c r="N33" s="138">
        <f>Variables!$E$30*Variables!$C$19</f>
        <v>2.2291759999999998</v>
      </c>
      <c r="O33" s="87">
        <f t="shared" si="4"/>
        <v>6844.4692229462353</v>
      </c>
      <c r="P33" s="145">
        <f>Variables!$E$29</f>
        <v>48.483938529092256</v>
      </c>
      <c r="Q33" s="146">
        <f t="shared" si="5"/>
        <v>148865.24216553074</v>
      </c>
      <c r="S33" s="150">
        <f t="shared" si="6"/>
        <v>40266.447917082398</v>
      </c>
      <c r="T33" s="134">
        <f>S33/Variables!$C$9</f>
        <v>0.25166529948176497</v>
      </c>
      <c r="U33" s="198">
        <f>Landfills!C31</f>
        <v>0</v>
      </c>
      <c r="V33" s="134">
        <f t="shared" si="7"/>
        <v>0.25166529948176497</v>
      </c>
      <c r="W33" s="147">
        <f>VLOOKUP(B33,'Land cost'!$B$2:$F$60,4,FALSE)</f>
        <v>67524.852942023048</v>
      </c>
      <c r="X33" s="148">
        <f>V33*(W33+Variables!$E$11)</f>
        <v>74520.937418239802</v>
      </c>
    </row>
    <row r="34" spans="1:24">
      <c r="A34" s="101">
        <v>31</v>
      </c>
      <c r="B34" s="132" t="s">
        <v>51</v>
      </c>
      <c r="C34" s="101">
        <v>2019</v>
      </c>
      <c r="D34" s="133">
        <f>Population!D32</f>
        <v>30555.559999999998</v>
      </c>
      <c r="E34" s="133" t="str">
        <f t="shared" si="2"/>
        <v>Small</v>
      </c>
      <c r="F34" s="133"/>
      <c r="G34" s="134">
        <f>Variables!$C$3*POWER(SUM(1,Variables!$C$2/100),C34-2017)</f>
        <v>15545.345840954085</v>
      </c>
      <c r="H34" s="134">
        <f t="shared" si="3"/>
        <v>357.13863614208822</v>
      </c>
      <c r="I34" s="135">
        <f>VLOOKUP(B34,'Waste per capita'!$B$2:$F$48,4,FALSE)</f>
        <v>152.87183278182917</v>
      </c>
      <c r="J34" s="134">
        <f t="shared" si="0"/>
        <v>4671.0844588751479</v>
      </c>
      <c r="K34" s="136">
        <f>Variables!$C$15</f>
        <v>1</v>
      </c>
      <c r="L34" s="137">
        <f t="shared" si="1"/>
        <v>4671.0844588751479</v>
      </c>
      <c r="N34" s="138">
        <f>Variables!$E$30*Variables!$C$19</f>
        <v>2.2291759999999998</v>
      </c>
      <c r="O34" s="87">
        <f t="shared" si="4"/>
        <v>10412.669369697465</v>
      </c>
      <c r="P34" s="145">
        <f>Variables!$E$29</f>
        <v>48.483938529092256</v>
      </c>
      <c r="Q34" s="146">
        <f t="shared" si="5"/>
        <v>226472.57176830084</v>
      </c>
      <c r="S34" s="150">
        <f t="shared" si="6"/>
        <v>61258.396406703498</v>
      </c>
      <c r="T34" s="134">
        <f>S34/Variables!$C$9</f>
        <v>0.38286497754189686</v>
      </c>
      <c r="U34" s="198">
        <f>Landfills!C32</f>
        <v>0</v>
      </c>
      <c r="V34" s="134">
        <f t="shared" si="7"/>
        <v>0.38286497754189686</v>
      </c>
      <c r="W34" s="147">
        <f>VLOOKUP(B34,'Land cost'!$B$2:$F$60,4,FALSE)</f>
        <v>67524.852942023048</v>
      </c>
      <c r="X34" s="148">
        <f>V34*(W34+Variables!$E$11)</f>
        <v>113370.64382649543</v>
      </c>
    </row>
    <row r="35" spans="1:24">
      <c r="A35" s="101">
        <v>32</v>
      </c>
      <c r="B35" s="132" t="s">
        <v>52</v>
      </c>
      <c r="C35" s="101">
        <v>2019</v>
      </c>
      <c r="D35" s="133">
        <f>Population!D33</f>
        <v>28124.634999999998</v>
      </c>
      <c r="E35" s="133" t="str">
        <f t="shared" si="2"/>
        <v>Small</v>
      </c>
      <c r="F35" s="133"/>
      <c r="G35" s="134">
        <f>Variables!$C$3*POWER(SUM(1,Variables!$C$2/100),C35-2017)</f>
        <v>15545.345840954085</v>
      </c>
      <c r="H35" s="134">
        <f t="shared" si="3"/>
        <v>357.13863614208822</v>
      </c>
      <c r="I35" s="135">
        <f>VLOOKUP(B35,'Waste per capita'!$B$2:$F$48,4,FALSE)</f>
        <v>152.87183278182917</v>
      </c>
      <c r="J35" s="134">
        <f t="shared" si="0"/>
        <v>4299.4644987699803</v>
      </c>
      <c r="K35" s="136">
        <f>Variables!$C$15</f>
        <v>1</v>
      </c>
      <c r="L35" s="137">
        <f t="shared" si="1"/>
        <v>4299.4644987699803</v>
      </c>
      <c r="N35" s="138">
        <f>Variables!$E$30*Variables!$C$19</f>
        <v>2.2291759999999998</v>
      </c>
      <c r="O35" s="87">
        <f t="shared" si="4"/>
        <v>9584.2630735100684</v>
      </c>
      <c r="P35" s="145">
        <f>Variables!$E$29</f>
        <v>48.483938529092256</v>
      </c>
      <c r="Q35" s="146">
        <f t="shared" si="5"/>
        <v>208454.97246637818</v>
      </c>
      <c r="S35" s="150">
        <f t="shared" si="6"/>
        <v>56384.829458987078</v>
      </c>
      <c r="T35" s="134">
        <f>S35/Variables!$C$9</f>
        <v>0.35240518411866922</v>
      </c>
      <c r="U35" s="198">
        <f>Landfills!C33</f>
        <v>0</v>
      </c>
      <c r="V35" s="134">
        <f t="shared" si="7"/>
        <v>0.35240518411866922</v>
      </c>
      <c r="W35" s="147">
        <f>VLOOKUP(B35,'Land cost'!$B$2:$F$60,4,FALSE)</f>
        <v>67524.852942023048</v>
      </c>
      <c r="X35" s="148">
        <f>V35*(W35+Variables!$E$11)</f>
        <v>104351.15498898357</v>
      </c>
    </row>
    <row r="36" spans="1:24">
      <c r="A36" s="101">
        <v>33</v>
      </c>
      <c r="B36" s="132" t="s">
        <v>53</v>
      </c>
      <c r="C36" s="101">
        <v>2019</v>
      </c>
      <c r="D36" s="133">
        <f>Population!D34</f>
        <v>120585.04499999998</v>
      </c>
      <c r="E36" s="133" t="str">
        <f t="shared" si="2"/>
        <v>Medium</v>
      </c>
      <c r="F36" s="133"/>
      <c r="G36" s="134">
        <f>Variables!$C$3*POWER(SUM(1,Variables!$C$2/100),C36-2017)</f>
        <v>15545.345840954085</v>
      </c>
      <c r="H36" s="134">
        <f t="shared" si="3"/>
        <v>357.13863614208822</v>
      </c>
      <c r="I36" s="135">
        <f>VLOOKUP(B36,'Waste per capita'!$B$2:$F$48,4,FALSE)</f>
        <v>200.00154123167223</v>
      </c>
      <c r="J36" s="134">
        <f t="shared" si="0"/>
        <v>24117.194849490548</v>
      </c>
      <c r="K36" s="136">
        <f>Variables!$C$15</f>
        <v>1</v>
      </c>
      <c r="L36" s="137">
        <f t="shared" si="1"/>
        <v>24117.194849490548</v>
      </c>
      <c r="N36" s="138">
        <f>Variables!$E$30*Variables!$C$19</f>
        <v>2.2291759999999998</v>
      </c>
      <c r="O36" s="87">
        <f t="shared" si="4"/>
        <v>53761.471945807942</v>
      </c>
      <c r="P36" s="145">
        <f>Variables!$E$29</f>
        <v>48.483938529092256</v>
      </c>
      <c r="Q36" s="146">
        <f t="shared" si="5"/>
        <v>1169296.5925768402</v>
      </c>
      <c r="S36" s="150">
        <f t="shared" si="6"/>
        <v>316282.1600240494</v>
      </c>
      <c r="T36" s="134">
        <f>S36/Variables!$C$9</f>
        <v>1.9767635001503088</v>
      </c>
      <c r="U36" s="198">
        <f>Landfills!C34</f>
        <v>0</v>
      </c>
      <c r="V36" s="134">
        <f t="shared" si="7"/>
        <v>1.9767635001503088</v>
      </c>
      <c r="W36" s="147">
        <f>VLOOKUP(B36,'Land cost'!$B$2:$F$60,4,FALSE)</f>
        <v>106264.06350823946</v>
      </c>
      <c r="X36" s="148">
        <f>V36*(W36+Variables!$E$11)</f>
        <v>661920.25491340284</v>
      </c>
    </row>
    <row r="37" spans="1:24">
      <c r="A37" s="101">
        <v>34</v>
      </c>
      <c r="B37" s="132" t="s">
        <v>54</v>
      </c>
      <c r="C37" s="101">
        <v>2019</v>
      </c>
      <c r="D37" s="133">
        <f>Population!D35</f>
        <v>107099.75499999999</v>
      </c>
      <c r="E37" s="133" t="str">
        <f t="shared" si="2"/>
        <v>Medium</v>
      </c>
      <c r="F37" s="133"/>
      <c r="G37" s="134">
        <f>Variables!$C$3*POWER(SUM(1,Variables!$C$2/100),C37-2017)</f>
        <v>15545.345840954085</v>
      </c>
      <c r="H37" s="134">
        <f t="shared" si="3"/>
        <v>357.13863614208822</v>
      </c>
      <c r="I37" s="135">
        <f>VLOOKUP(B37,'Waste per capita'!$B$2:$F$48,4,FALSE)</f>
        <v>139.06651036916537</v>
      </c>
      <c r="J37" s="134">
        <f t="shared" si="0"/>
        <v>14893.989189242569</v>
      </c>
      <c r="K37" s="136">
        <f>Variables!$C$15</f>
        <v>1</v>
      </c>
      <c r="L37" s="137">
        <f t="shared" si="1"/>
        <v>14893.989189242569</v>
      </c>
      <c r="N37" s="138">
        <f>Variables!$E$30*Variables!$C$19</f>
        <v>2.2291759999999998</v>
      </c>
      <c r="O37" s="87">
        <f t="shared" si="4"/>
        <v>33201.323244918989</v>
      </c>
      <c r="P37" s="145">
        <f>Variables!$E$29</f>
        <v>48.483938529092256</v>
      </c>
      <c r="Q37" s="146">
        <f t="shared" si="5"/>
        <v>722119.25630420132</v>
      </c>
      <c r="S37" s="150">
        <f t="shared" si="6"/>
        <v>195325.49707985582</v>
      </c>
      <c r="T37" s="134">
        <f>S37/Variables!$C$9</f>
        <v>1.2207843567490988</v>
      </c>
      <c r="U37" s="198">
        <f>Landfills!C35</f>
        <v>0</v>
      </c>
      <c r="V37" s="134">
        <f t="shared" si="7"/>
        <v>1.2207843567490988</v>
      </c>
      <c r="W37" s="147">
        <f>VLOOKUP(B37,'Land cost'!$B$2:$F$60,4,FALSE)</f>
        <v>106264.06350823946</v>
      </c>
      <c r="X37" s="148">
        <f>V37*(W37+Variables!$E$11)</f>
        <v>408780.25750283978</v>
      </c>
    </row>
    <row r="38" spans="1:24">
      <c r="A38" s="101">
        <v>35</v>
      </c>
      <c r="B38" s="132" t="s">
        <v>55</v>
      </c>
      <c r="C38" s="101">
        <v>2019</v>
      </c>
      <c r="D38" s="133">
        <f>Population!D36</f>
        <v>489129.51499999996</v>
      </c>
      <c r="E38" s="133" t="str">
        <f t="shared" si="2"/>
        <v>Medium</v>
      </c>
      <c r="F38" s="133"/>
      <c r="G38" s="134">
        <f>Variables!$C$3*POWER(SUM(1,Variables!$C$2/100),C38-2017)</f>
        <v>15545.345840954085</v>
      </c>
      <c r="H38" s="134">
        <f t="shared" si="3"/>
        <v>357.13863614208822</v>
      </c>
      <c r="I38" s="135">
        <f>VLOOKUP(B38,'Waste per capita'!$B$2:$F$48,4,FALSE)</f>
        <v>139.06651036916537</v>
      </c>
      <c r="J38" s="134">
        <f t="shared" si="0"/>
        <v>68021.534769612321</v>
      </c>
      <c r="K38" s="136">
        <f>Variables!$C$15</f>
        <v>1</v>
      </c>
      <c r="L38" s="137">
        <f t="shared" si="1"/>
        <v>68021.534769612321</v>
      </c>
      <c r="N38" s="138">
        <f>Variables!$E$30*Variables!$C$19</f>
        <v>2.2291759999999998</v>
      </c>
      <c r="O38" s="87">
        <f t="shared" si="4"/>
        <v>151631.97279158531</v>
      </c>
      <c r="P38" s="145">
        <f>Variables!$E$29</f>
        <v>48.483938529092256</v>
      </c>
      <c r="Q38" s="146">
        <f t="shared" si="5"/>
        <v>3297951.9104243955</v>
      </c>
      <c r="S38" s="150">
        <f t="shared" si="6"/>
        <v>892060.54349801072</v>
      </c>
      <c r="T38" s="134">
        <f>S38/Variables!$C$9</f>
        <v>5.5753783968625674</v>
      </c>
      <c r="U38" s="198">
        <f>Landfills!C36</f>
        <v>0</v>
      </c>
      <c r="V38" s="134">
        <f t="shared" si="7"/>
        <v>5.5753783968625674</v>
      </c>
      <c r="W38" s="147">
        <f>VLOOKUP(B38,'Land cost'!$B$2:$F$60,4,FALSE)</f>
        <v>106264.06350823946</v>
      </c>
      <c r="X38" s="148">
        <f>V38*(W38+Variables!$E$11)</f>
        <v>1866918.2678703528</v>
      </c>
    </row>
    <row r="39" spans="1:24">
      <c r="A39" s="101">
        <v>36</v>
      </c>
      <c r="B39" s="132" t="s">
        <v>56</v>
      </c>
      <c r="C39" s="101">
        <v>2019</v>
      </c>
      <c r="D39" s="133">
        <f>Population!D37</f>
        <v>262321.67499999999</v>
      </c>
      <c r="E39" s="133" t="str">
        <f t="shared" si="2"/>
        <v>Medium</v>
      </c>
      <c r="F39" s="133"/>
      <c r="G39" s="134">
        <f>Variables!$C$3*POWER(SUM(1,Variables!$C$2/100),C39-2017)</f>
        <v>15545.345840954085</v>
      </c>
      <c r="H39" s="134">
        <f t="shared" si="3"/>
        <v>357.13863614208822</v>
      </c>
      <c r="I39" s="135">
        <f>VLOOKUP(B39,'Waste per capita'!$B$2:$F$48,4,FALSE)</f>
        <v>225.96325482363201</v>
      </c>
      <c r="J39" s="134">
        <f t="shared" si="0"/>
        <v>59275.059493786976</v>
      </c>
      <c r="K39" s="136">
        <f>Variables!$C$15</f>
        <v>1</v>
      </c>
      <c r="L39" s="137">
        <f t="shared" si="1"/>
        <v>59275.059493786976</v>
      </c>
      <c r="N39" s="138">
        <f>Variables!$E$30*Variables!$C$19</f>
        <v>2.2291759999999998</v>
      </c>
      <c r="O39" s="87">
        <f t="shared" si="4"/>
        <v>132134.54002212206</v>
      </c>
      <c r="P39" s="145">
        <f>Variables!$E$29</f>
        <v>48.483938529092256</v>
      </c>
      <c r="Q39" s="146">
        <f t="shared" si="5"/>
        <v>2873888.3408050542</v>
      </c>
      <c r="S39" s="150">
        <f t="shared" si="6"/>
        <v>777355.90599356161</v>
      </c>
      <c r="T39" s="134">
        <f>S39/Variables!$C$9</f>
        <v>4.8584744124597599</v>
      </c>
      <c r="U39" s="198">
        <f>Landfills!C37</f>
        <v>0</v>
      </c>
      <c r="V39" s="134">
        <f t="shared" si="7"/>
        <v>4.8584744124597599</v>
      </c>
      <c r="W39" s="147">
        <f>VLOOKUP(B39,'Land cost'!$B$2:$F$60,4,FALSE)</f>
        <v>106264.06350823946</v>
      </c>
      <c r="X39" s="148">
        <f>V39*(W39+Variables!$E$11)</f>
        <v>1626862.6071561307</v>
      </c>
    </row>
    <row r="40" spans="1:24">
      <c r="A40" s="101">
        <v>37</v>
      </c>
      <c r="B40" s="132" t="s">
        <v>57</v>
      </c>
      <c r="C40" s="101">
        <v>2019</v>
      </c>
      <c r="D40" s="133">
        <f>Population!D38</f>
        <v>122268.93</v>
      </c>
      <c r="E40" s="133" t="str">
        <f t="shared" si="2"/>
        <v>Medium</v>
      </c>
      <c r="F40" s="133"/>
      <c r="G40" s="134">
        <f>Variables!$C$3*POWER(SUM(1,Variables!$C$2/100),C40-2017)</f>
        <v>15545.345840954085</v>
      </c>
      <c r="H40" s="134">
        <f t="shared" si="3"/>
        <v>357.13863614208822</v>
      </c>
      <c r="I40" s="135">
        <f>VLOOKUP(B40,'Waste per capita'!$B$2:$F$48,4,FALSE)</f>
        <v>139.06651036916537</v>
      </c>
      <c r="J40" s="134">
        <f t="shared" si="0"/>
        <v>17003.513421671756</v>
      </c>
      <c r="K40" s="136">
        <f>Variables!$C$15</f>
        <v>1</v>
      </c>
      <c r="L40" s="137">
        <f t="shared" si="1"/>
        <v>17003.513421671756</v>
      </c>
      <c r="N40" s="138">
        <f>Variables!$E$30*Variables!$C$19</f>
        <v>2.2291759999999998</v>
      </c>
      <c r="O40" s="87">
        <f t="shared" si="4"/>
        <v>37903.824035268553</v>
      </c>
      <c r="P40" s="145">
        <f>Variables!$E$29</f>
        <v>48.483938529092256</v>
      </c>
      <c r="Q40" s="146">
        <f t="shared" si="5"/>
        <v>824397.2995149286</v>
      </c>
      <c r="S40" s="150">
        <f t="shared" si="6"/>
        <v>222990.60842550104</v>
      </c>
      <c r="T40" s="134">
        <f>S40/Variables!$C$9</f>
        <v>1.3936913026593816</v>
      </c>
      <c r="U40" s="198">
        <f>Landfills!C38</f>
        <v>0</v>
      </c>
      <c r="V40" s="134">
        <f t="shared" si="7"/>
        <v>1.3936913026593816</v>
      </c>
      <c r="W40" s="147">
        <f>VLOOKUP(B40,'Land cost'!$B$2:$F$60,4,FALSE)</f>
        <v>19114.220849530542</v>
      </c>
      <c r="X40" s="148">
        <f>V40*(W40+Variables!$E$11)</f>
        <v>345218.25779684033</v>
      </c>
    </row>
    <row r="41" spans="1:24">
      <c r="A41" s="101">
        <v>38</v>
      </c>
      <c r="B41" s="132" t="s">
        <v>58</v>
      </c>
      <c r="C41" s="101">
        <v>2019</v>
      </c>
      <c r="D41" s="133">
        <f>Population!D39</f>
        <v>37180.140301499989</v>
      </c>
      <c r="E41" s="133" t="str">
        <f t="shared" si="2"/>
        <v>Small</v>
      </c>
      <c r="F41" s="133"/>
      <c r="G41" s="134">
        <f>Variables!$C$3*POWER(SUM(1,Variables!$C$2/100),C41-2017)</f>
        <v>15545.345840954085</v>
      </c>
      <c r="H41" s="134">
        <f t="shared" si="3"/>
        <v>357.13863614208822</v>
      </c>
      <c r="I41" s="135">
        <f>VLOOKUP(B41,'Waste per capita'!$B$2:$F$48,4,FALSE)</f>
        <v>305.24860739332746</v>
      </c>
      <c r="J41" s="134">
        <f t="shared" si="0"/>
        <v>11349.186049721402</v>
      </c>
      <c r="K41" s="136">
        <f>Variables!$C$15</f>
        <v>1</v>
      </c>
      <c r="L41" s="137">
        <f t="shared" si="1"/>
        <v>11349.186049721402</v>
      </c>
      <c r="N41" s="138">
        <f>Variables!$E$30*Variables!$C$19</f>
        <v>2.2291759999999998</v>
      </c>
      <c r="O41" s="87">
        <f t="shared" si="4"/>
        <v>25299.333161573755</v>
      </c>
      <c r="P41" s="145">
        <f>Variables!$E$29</f>
        <v>48.483938529092256</v>
      </c>
      <c r="Q41" s="146">
        <f t="shared" si="5"/>
        <v>550253.23878992384</v>
      </c>
      <c r="S41" s="150">
        <f t="shared" si="6"/>
        <v>144803.91740131311</v>
      </c>
      <c r="T41" s="134">
        <f>S41/Variables!$C$9</f>
        <v>0.90502448375820699</v>
      </c>
      <c r="U41" s="198">
        <f>Landfills!C39</f>
        <v>0</v>
      </c>
      <c r="V41" s="134">
        <f t="shared" si="7"/>
        <v>0.90502448375820699</v>
      </c>
      <c r="W41" s="147">
        <f>VLOOKUP(B41,'Land cost'!$B$2:$F$60,4,FALSE)</f>
        <v>67524.852942023048</v>
      </c>
      <c r="X41" s="148">
        <f>V41*(W41+Variables!$E$11)</f>
        <v>267987.97074924863</v>
      </c>
    </row>
    <row r="42" spans="1:24">
      <c r="A42" s="101">
        <v>39</v>
      </c>
      <c r="B42" s="132" t="s">
        <v>59</v>
      </c>
      <c r="C42" s="101">
        <v>2019</v>
      </c>
      <c r="D42" s="133">
        <f>Population!D40</f>
        <v>68124.76999999999</v>
      </c>
      <c r="E42" s="133" t="str">
        <f t="shared" si="2"/>
        <v>Small</v>
      </c>
      <c r="F42" s="133"/>
      <c r="G42" s="134">
        <f>Variables!$C$3*POWER(SUM(1,Variables!$C$2/100),C42-2017)</f>
        <v>15545.345840954085</v>
      </c>
      <c r="H42" s="134">
        <f t="shared" si="3"/>
        <v>357.13863614208822</v>
      </c>
      <c r="I42" s="135">
        <f>VLOOKUP(B42,'Waste per capita'!$B$2:$F$48,4,FALSE)</f>
        <v>152.87183278182917</v>
      </c>
      <c r="J42" s="134">
        <f t="shared" si="0"/>
        <v>10414.358447740571</v>
      </c>
      <c r="K42" s="136">
        <f>Variables!$C$15</f>
        <v>1</v>
      </c>
      <c r="L42" s="137">
        <f t="shared" si="1"/>
        <v>10414.358447740571</v>
      </c>
      <c r="N42" s="138">
        <f>Variables!$E$30*Variables!$C$19</f>
        <v>2.2291759999999998</v>
      </c>
      <c r="O42" s="87">
        <f t="shared" si="4"/>
        <v>23215.437907100535</v>
      </c>
      <c r="P42" s="145">
        <f>Variables!$E$29</f>
        <v>48.483938529092256</v>
      </c>
      <c r="Q42" s="146">
        <f t="shared" si="5"/>
        <v>504929.11480018648</v>
      </c>
      <c r="S42" s="150">
        <f t="shared" si="6"/>
        <v>136577.89828677665</v>
      </c>
      <c r="T42" s="134">
        <f>S42/Variables!$C$9</f>
        <v>0.85361186429235403</v>
      </c>
      <c r="U42" s="198">
        <f>Landfills!C40</f>
        <v>0</v>
      </c>
      <c r="V42" s="134">
        <f t="shared" si="7"/>
        <v>0.85361186429235403</v>
      </c>
      <c r="W42" s="147">
        <f>VLOOKUP(B42,'Land cost'!$B$2:$F$60,4,FALSE)</f>
        <v>67524.852942023048</v>
      </c>
      <c r="X42" s="148">
        <f>V42*(W42+Variables!$E$11)</f>
        <v>252764.11348480993</v>
      </c>
    </row>
    <row r="43" spans="1:24">
      <c r="A43" s="101">
        <v>40</v>
      </c>
      <c r="B43" s="132" t="s">
        <v>60</v>
      </c>
      <c r="C43" s="101">
        <v>2019</v>
      </c>
      <c r="D43" s="133">
        <f>Population!D41</f>
        <v>3174.6795464999987</v>
      </c>
      <c r="E43" s="133" t="str">
        <f t="shared" si="2"/>
        <v>Small</v>
      </c>
      <c r="F43" s="133"/>
      <c r="G43" s="134">
        <f>Variables!$C$3*POWER(SUM(1,Variables!$C$2/100),C43-2017)</f>
        <v>15545.345840954085</v>
      </c>
      <c r="H43" s="134">
        <f t="shared" si="3"/>
        <v>357.13863614208822</v>
      </c>
      <c r="I43" s="135">
        <f>VLOOKUP(B43,'Waste per capita'!$B$2:$F$48,4,FALSE)</f>
        <v>158.5707051393909</v>
      </c>
      <c r="J43" s="134">
        <f t="shared" si="0"/>
        <v>503.41117428010648</v>
      </c>
      <c r="K43" s="136">
        <f>Variables!$C$15</f>
        <v>1</v>
      </c>
      <c r="L43" s="137">
        <f t="shared" si="1"/>
        <v>503.41117428010648</v>
      </c>
      <c r="N43" s="138">
        <f>Variables!$E$30*Variables!$C$19</f>
        <v>2.2291759999999998</v>
      </c>
      <c r="O43" s="87">
        <f t="shared" si="4"/>
        <v>1122.1921078370306</v>
      </c>
      <c r="P43" s="145">
        <f>Variables!$E$29</f>
        <v>48.483938529092256</v>
      </c>
      <c r="Q43" s="146">
        <f t="shared" si="5"/>
        <v>24407.356428654832</v>
      </c>
      <c r="S43" s="150">
        <f t="shared" si="6"/>
        <v>6423.0077628469244</v>
      </c>
      <c r="T43" s="134">
        <f>S43/Variables!$C$9</f>
        <v>4.0143798517793275E-2</v>
      </c>
      <c r="U43" s="198">
        <f>Landfills!C41</f>
        <v>0</v>
      </c>
      <c r="V43" s="134">
        <f t="shared" si="7"/>
        <v>4.0143798517793275E-2</v>
      </c>
      <c r="W43" s="147">
        <f>VLOOKUP(B43,'Land cost'!$B$2:$F$60,4,FALSE)</f>
        <v>67524.852942023048</v>
      </c>
      <c r="X43" s="148">
        <f>V43*(W43+Variables!$E$11)</f>
        <v>11887.032114618807</v>
      </c>
    </row>
    <row r="44" spans="1:24">
      <c r="A44" s="101">
        <v>41</v>
      </c>
      <c r="B44" s="132" t="s">
        <v>61</v>
      </c>
      <c r="C44" s="101">
        <v>2019</v>
      </c>
      <c r="D44" s="133">
        <f>Population!D42</f>
        <v>53105.814999999995</v>
      </c>
      <c r="E44" s="133" t="str">
        <f t="shared" si="2"/>
        <v>Small</v>
      </c>
      <c r="F44" s="133"/>
      <c r="G44" s="134">
        <f>Variables!$C$3*POWER(SUM(1,Variables!$C$2/100),C44-2017)</f>
        <v>15545.345840954085</v>
      </c>
      <c r="H44" s="134">
        <f t="shared" si="3"/>
        <v>357.13863614208822</v>
      </c>
      <c r="I44" s="135">
        <f>VLOOKUP(B44,'Waste per capita'!$B$2:$F$48,4,FALSE)</f>
        <v>152.87183278182917</v>
      </c>
      <c r="J44" s="134">
        <f t="shared" si="0"/>
        <v>8118.3832704227552</v>
      </c>
      <c r="K44" s="136">
        <f>Variables!$C$15</f>
        <v>1</v>
      </c>
      <c r="L44" s="137">
        <f t="shared" si="1"/>
        <v>8118.3832704227552</v>
      </c>
      <c r="N44" s="138">
        <f>Variables!$E$30*Variables!$C$19</f>
        <v>2.2291759999999998</v>
      </c>
      <c r="O44" s="87">
        <f t="shared" si="4"/>
        <v>18097.305145227914</v>
      </c>
      <c r="P44" s="145">
        <f>Variables!$E$29</f>
        <v>48.483938529092256</v>
      </c>
      <c r="Q44" s="146">
        <f t="shared" si="5"/>
        <v>393611.19543878781</v>
      </c>
      <c r="S44" s="150">
        <f t="shared" si="6"/>
        <v>106467.59760812961</v>
      </c>
      <c r="T44" s="134">
        <f>S44/Variables!$C$9</f>
        <v>0.66542248505081003</v>
      </c>
      <c r="U44" s="198">
        <f>Landfills!C42</f>
        <v>0</v>
      </c>
      <c r="V44" s="134">
        <f t="shared" si="7"/>
        <v>0.66542248505081003</v>
      </c>
      <c r="W44" s="147">
        <f>VLOOKUP(B44,'Land cost'!$B$2:$F$60,4,FALSE)</f>
        <v>67524.852942023048</v>
      </c>
      <c r="X44" s="148">
        <f>V44*(W44+Variables!$E$11)</f>
        <v>197039.11293004476</v>
      </c>
    </row>
    <row r="45" spans="1:24">
      <c r="A45" s="101">
        <v>42</v>
      </c>
      <c r="B45" s="139" t="s">
        <v>62</v>
      </c>
      <c r="C45" s="101">
        <v>2019</v>
      </c>
      <c r="D45" s="133">
        <f>Population!D43</f>
        <v>46203.814999999995</v>
      </c>
      <c r="E45" s="133" t="str">
        <f t="shared" si="2"/>
        <v>Small</v>
      </c>
      <c r="F45" s="133"/>
      <c r="G45" s="134">
        <f>Variables!$C$3*POWER(SUM(1,Variables!$C$2/100),C45-2017)</f>
        <v>15545.345840954085</v>
      </c>
      <c r="H45" s="134">
        <f t="shared" si="3"/>
        <v>357.13863614208822</v>
      </c>
      <c r="I45" s="135">
        <f>VLOOKUP(B45,'Waste per capita'!$B$2:$F$48,4,FALSE)</f>
        <v>152.87183278182917</v>
      </c>
      <c r="J45" s="134">
        <f t="shared" si="0"/>
        <v>7063.2618805625698</v>
      </c>
      <c r="K45" s="136">
        <f>Variables!$C$15</f>
        <v>1</v>
      </c>
      <c r="L45" s="137">
        <f t="shared" si="1"/>
        <v>7063.2618805625698</v>
      </c>
      <c r="N45" s="138">
        <f>Variables!$E$30*Variables!$C$19</f>
        <v>2.2291759999999998</v>
      </c>
      <c r="O45" s="87">
        <f t="shared" si="4"/>
        <v>15745.253865864946</v>
      </c>
      <c r="P45" s="145">
        <f>Variables!$E$29</f>
        <v>48.483938529092256</v>
      </c>
      <c r="Q45" s="146">
        <f t="shared" si="5"/>
        <v>342454.7548320762</v>
      </c>
      <c r="S45" s="150">
        <f t="shared" si="6"/>
        <v>92630.330282671741</v>
      </c>
      <c r="T45" s="134">
        <f>S45/Variables!$C$9</f>
        <v>0.57893956426669835</v>
      </c>
      <c r="U45" s="198">
        <f>Landfills!C43</f>
        <v>0</v>
      </c>
      <c r="V45" s="134">
        <f t="shared" si="7"/>
        <v>0.57893956426669835</v>
      </c>
      <c r="W45" s="147">
        <f>VLOOKUP(B45,'Land cost'!$B$2:$F$60,4,FALSE)</f>
        <v>67524.852942023048</v>
      </c>
      <c r="X45" s="148">
        <f>V45*(W45+Variables!$E$11)</f>
        <v>171430.54337051217</v>
      </c>
    </row>
    <row r="46" spans="1:24">
      <c r="A46" s="101">
        <v>43</v>
      </c>
      <c r="B46" s="139" t="s">
        <v>63</v>
      </c>
      <c r="C46" s="101">
        <v>2019</v>
      </c>
      <c r="D46" s="133">
        <f>Population!D44</f>
        <v>24397.554999999997</v>
      </c>
      <c r="E46" s="133" t="str">
        <f t="shared" si="2"/>
        <v>Small</v>
      </c>
      <c r="F46" s="133"/>
      <c r="G46" s="134">
        <f>Variables!$C$3*POWER(SUM(1,Variables!$C$2/100),C46-2017)</f>
        <v>15545.345840954085</v>
      </c>
      <c r="H46" s="134">
        <f t="shared" si="3"/>
        <v>357.13863614208822</v>
      </c>
      <c r="I46" s="135">
        <f>VLOOKUP(B46,'Waste per capita'!$B$2:$F$48,4,FALSE)</f>
        <v>152.87183278182917</v>
      </c>
      <c r="J46" s="134">
        <f t="shared" si="0"/>
        <v>3729.6989482454796</v>
      </c>
      <c r="K46" s="136">
        <f>Variables!$C$15</f>
        <v>1</v>
      </c>
      <c r="L46" s="137">
        <f t="shared" si="1"/>
        <v>3729.6989482454796</v>
      </c>
      <c r="N46" s="138">
        <f>Variables!$E$30*Variables!$C$19</f>
        <v>2.2291759999999998</v>
      </c>
      <c r="O46" s="87">
        <f t="shared" si="4"/>
        <v>8314.1553826540639</v>
      </c>
      <c r="P46" s="145">
        <f>Variables!$E$29</f>
        <v>48.483938529092256</v>
      </c>
      <c r="Q46" s="146">
        <f t="shared" si="5"/>
        <v>180830.49453875388</v>
      </c>
      <c r="S46" s="150">
        <f t="shared" si="6"/>
        <v>48912.705103239823</v>
      </c>
      <c r="T46" s="134">
        <f>S46/Variables!$C$9</f>
        <v>0.30570440689524891</v>
      </c>
      <c r="U46" s="198">
        <f>Landfills!C44</f>
        <v>0</v>
      </c>
      <c r="V46" s="134">
        <f t="shared" si="7"/>
        <v>0.30570440689524891</v>
      </c>
      <c r="W46" s="147">
        <f>VLOOKUP(B46,'Land cost'!$B$2:$F$60,4,FALSE)</f>
        <v>67524.852942023048</v>
      </c>
      <c r="X46" s="148">
        <f>V46*(W46+Variables!$E$11)</f>
        <v>90522.527426835979</v>
      </c>
    </row>
    <row r="47" spans="1:24">
      <c r="A47" s="101">
        <v>44</v>
      </c>
      <c r="B47" s="85" t="s">
        <v>108</v>
      </c>
      <c r="C47" s="101">
        <v>2019</v>
      </c>
      <c r="D47" s="133">
        <f>Population!D45</f>
        <v>67305.664999999994</v>
      </c>
      <c r="E47" s="133" t="str">
        <f t="shared" si="2"/>
        <v>Small</v>
      </c>
      <c r="F47" s="133"/>
      <c r="G47" s="134">
        <f>Variables!$C$3*POWER(SUM(1,Variables!$C$2/100),C47-2017)</f>
        <v>15545.345840954085</v>
      </c>
      <c r="H47" s="134">
        <f t="shared" si="3"/>
        <v>357.13863614208822</v>
      </c>
      <c r="I47" s="135">
        <f>VLOOKUP(B47,'Waste per capita'!$B$2:$F$48,4,FALSE)</f>
        <v>152.87183278182917</v>
      </c>
      <c r="J47" s="134">
        <f t="shared" si="0"/>
        <v>10289.140365149811</v>
      </c>
      <c r="K47" s="136">
        <f>Variables!$C$15</f>
        <v>1</v>
      </c>
      <c r="L47" s="137">
        <f t="shared" si="1"/>
        <v>10289.140365149811</v>
      </c>
      <c r="N47" s="138">
        <f>Variables!$E$30*Variables!$C$19</f>
        <v>2.2291759999999998</v>
      </c>
      <c r="O47" s="87">
        <f t="shared" si="4"/>
        <v>22936.304762623193</v>
      </c>
      <c r="P47" s="145">
        <f>Variables!$E$29</f>
        <v>48.483938529092256</v>
      </c>
      <c r="Q47" s="146">
        <f t="shared" si="5"/>
        <v>498858.04898112529</v>
      </c>
      <c r="S47" s="150">
        <f t="shared" si="6"/>
        <v>134935.74023800541</v>
      </c>
      <c r="T47" s="134">
        <f>S47/Variables!$C$9</f>
        <v>0.8433483764875338</v>
      </c>
      <c r="U47" s="198">
        <f>Landfills!C45</f>
        <v>0</v>
      </c>
      <c r="V47" s="134">
        <f t="shared" si="7"/>
        <v>0.8433483764875338</v>
      </c>
      <c r="W47" s="147">
        <f>VLOOKUP(B47,'Land cost'!$B$2:$F$60,4,FALSE)</f>
        <v>67524.852942023048</v>
      </c>
      <c r="X47" s="148">
        <f>V47*(W47+Variables!$E$11)</f>
        <v>249724.9788326713</v>
      </c>
    </row>
    <row r="48" spans="1:24">
      <c r="A48" s="101">
        <v>45</v>
      </c>
      <c r="B48" s="139" t="s">
        <v>64</v>
      </c>
      <c r="C48" s="101">
        <v>2019</v>
      </c>
      <c r="D48" s="133">
        <f>Population!D46</f>
        <v>23970.239999999998</v>
      </c>
      <c r="E48" s="133" t="str">
        <f t="shared" si="2"/>
        <v>Small</v>
      </c>
      <c r="F48" s="133"/>
      <c r="G48" s="134">
        <f>Variables!$C$3*POWER(SUM(1,Variables!$C$2/100),C48-2017)</f>
        <v>15545.345840954085</v>
      </c>
      <c r="H48" s="134">
        <f t="shared" si="3"/>
        <v>357.13863614208822</v>
      </c>
      <c r="I48" s="135">
        <f>VLOOKUP(B48,'Waste per capita'!$B$2:$F$48,4,FALSE)</f>
        <v>152.87183278182917</v>
      </c>
      <c r="J48" s="134">
        <f t="shared" si="0"/>
        <v>3664.3745210203124</v>
      </c>
      <c r="K48" s="136">
        <f>Variables!$C$15</f>
        <v>1</v>
      </c>
      <c r="L48" s="137">
        <f t="shared" si="1"/>
        <v>3664.3745210203124</v>
      </c>
      <c r="N48" s="138">
        <f>Variables!$E$30*Variables!$C$19</f>
        <v>2.2291759999999998</v>
      </c>
      <c r="O48" s="87">
        <f t="shared" si="4"/>
        <v>8168.5357372699755</v>
      </c>
      <c r="P48" s="145">
        <f>Variables!$E$29</f>
        <v>48.483938529092256</v>
      </c>
      <c r="Q48" s="146">
        <f t="shared" si="5"/>
        <v>177663.30902472071</v>
      </c>
      <c r="S48" s="150">
        <f t="shared" si="6"/>
        <v>48056.015464413686</v>
      </c>
      <c r="T48" s="134">
        <f>S48/Variables!$C$9</f>
        <v>0.30035009665258555</v>
      </c>
      <c r="U48" s="198">
        <f>Landfills!C46</f>
        <v>0</v>
      </c>
      <c r="V48" s="134">
        <f t="shared" si="7"/>
        <v>0.30035009665258555</v>
      </c>
      <c r="W48" s="147">
        <f>VLOOKUP(B48,'Land cost'!$B$2:$F$60,4,FALSE)</f>
        <v>51731.080638081177</v>
      </c>
      <c r="X48" s="148">
        <f>V48*(W48+Variables!$E$11)</f>
        <v>84193.394655814118</v>
      </c>
    </row>
    <row r="49" spans="1:24">
      <c r="A49" s="101">
        <v>46</v>
      </c>
      <c r="B49" s="139" t="s">
        <v>65</v>
      </c>
      <c r="C49" s="101">
        <v>2019</v>
      </c>
      <c r="D49" s="133">
        <f>Population!D47</f>
        <v>30635.744999999995</v>
      </c>
      <c r="E49" s="133" t="str">
        <f t="shared" si="2"/>
        <v>Small</v>
      </c>
      <c r="F49" s="133"/>
      <c r="G49" s="134">
        <f>Variables!$C$3*POWER(SUM(1,Variables!$C$2/100),C49-2017)</f>
        <v>15545.345840954085</v>
      </c>
      <c r="H49" s="134">
        <f t="shared" si="3"/>
        <v>357.13863614208822</v>
      </c>
      <c r="I49" s="135">
        <f>VLOOKUP(B49,'Waste per capita'!$B$2:$F$48,4,FALSE)</f>
        <v>169.10482594304042</v>
      </c>
      <c r="J49" s="134">
        <f t="shared" si="0"/>
        <v>5180.6523258603702</v>
      </c>
      <c r="K49" s="136">
        <f>Variables!$C$15</f>
        <v>1</v>
      </c>
      <c r="L49" s="137">
        <f t="shared" si="1"/>
        <v>5180.6523258603702</v>
      </c>
      <c r="N49" s="138">
        <f>Variables!$E$30*Variables!$C$19</f>
        <v>2.2291759999999998</v>
      </c>
      <c r="O49" s="87">
        <f t="shared" si="4"/>
        <v>11548.585829152116</v>
      </c>
      <c r="P49" s="145">
        <f>Variables!$E$29</f>
        <v>48.483938529092256</v>
      </c>
      <c r="Q49" s="146">
        <f t="shared" si="5"/>
        <v>251178.42890761301</v>
      </c>
      <c r="S49" s="150">
        <f t="shared" si="6"/>
        <v>67941.065210216446</v>
      </c>
      <c r="T49" s="134">
        <f>S49/Variables!$C$9</f>
        <v>0.42463165756385279</v>
      </c>
      <c r="U49" s="198">
        <f>Landfills!C47</f>
        <v>0</v>
      </c>
      <c r="V49" s="134">
        <f t="shared" si="7"/>
        <v>0.42463165756385279</v>
      </c>
      <c r="W49" s="147">
        <f>VLOOKUP(B49,'Land cost'!$B$2:$F$60,4,FALSE)</f>
        <v>83318.625245964911</v>
      </c>
      <c r="X49" s="148">
        <f>V49*(W49+Variables!$E$11)</f>
        <v>132444.76519550252</v>
      </c>
    </row>
    <row r="50" spans="1:24">
      <c r="A50" s="101">
        <v>47</v>
      </c>
      <c r="B50" s="85" t="s">
        <v>107</v>
      </c>
      <c r="C50" s="101">
        <v>2019</v>
      </c>
      <c r="D50" s="133">
        <f>Population!D48</f>
        <v>68472.914999999994</v>
      </c>
      <c r="E50" s="133" t="str">
        <f t="shared" si="2"/>
        <v>Small</v>
      </c>
      <c r="F50" s="133"/>
      <c r="G50" s="134">
        <f>Variables!$C$3*POWER(SUM(1,Variables!$C$2/100),C50-2017)</f>
        <v>15545.345840954085</v>
      </c>
      <c r="H50" s="134">
        <f t="shared" si="3"/>
        <v>357.13863614208822</v>
      </c>
      <c r="I50" s="135">
        <f>VLOOKUP(B50,'Waste per capita'!$B$2:$F$48,4,FALSE)</f>
        <v>152.87183278182917</v>
      </c>
      <c r="J50" s="134">
        <f t="shared" si="0"/>
        <v>10467.580011964401</v>
      </c>
      <c r="K50" s="136">
        <f>Variables!$C$15</f>
        <v>1</v>
      </c>
      <c r="L50" s="137">
        <f t="shared" si="1"/>
        <v>10467.580011964401</v>
      </c>
      <c r="N50" s="138">
        <f>Variables!$E$30*Variables!$C$19</f>
        <v>2.2291759999999998</v>
      </c>
      <c r="O50" s="87">
        <f t="shared" si="4"/>
        <v>23334.078140750753</v>
      </c>
      <c r="P50" s="145">
        <f>Variables!$E$29</f>
        <v>48.483938529092256</v>
      </c>
      <c r="Q50" s="146">
        <f t="shared" si="5"/>
        <v>507509.50584843679</v>
      </c>
      <c r="S50" s="150">
        <f t="shared" si="6"/>
        <v>137275.86632981081</v>
      </c>
      <c r="T50" s="134">
        <f>S50/Variables!$C$9</f>
        <v>0.85797416456131759</v>
      </c>
      <c r="U50" s="198">
        <f>Landfills!C48</f>
        <v>0</v>
      </c>
      <c r="V50" s="134">
        <f t="shared" si="7"/>
        <v>0.85797416456131759</v>
      </c>
      <c r="W50" s="147">
        <f>VLOOKUP(B50,'Land cost'!$B$2:$F$60,4,FALSE)</f>
        <v>67524.852942023048</v>
      </c>
      <c r="X50" s="148">
        <f>V50*(W50+Variables!$E$11)</f>
        <v>254055.83986112173</v>
      </c>
    </row>
    <row r="51" spans="1:24" ht="17" customHeight="1">
      <c r="A51" s="101">
        <v>1</v>
      </c>
      <c r="B51" s="132" t="s">
        <v>21</v>
      </c>
      <c r="C51" s="101">
        <v>2020</v>
      </c>
      <c r="D51" s="133">
        <f>Population!E2</f>
        <v>7398528.9005249981</v>
      </c>
      <c r="E51" s="133" t="str">
        <f t="shared" si="2"/>
        <v>Large</v>
      </c>
      <c r="F51" s="133"/>
      <c r="G51" s="134">
        <f>Variables!$C$3*POWER(SUM(1,Variables!$C$2/100),C51-2017)</f>
        <v>16091.920200722032</v>
      </c>
      <c r="H51" s="134">
        <f t="shared" si="3"/>
        <v>362.36955985655823</v>
      </c>
      <c r="I51" s="135">
        <f>VLOOKUP(B51,'Waste per capita'!$B$2:$F$48,4,FALSE)*(H51/Variables!$C$6)</f>
        <v>322.4547401715372</v>
      </c>
      <c r="J51" s="134">
        <f t="shared" si="0"/>
        <v>2385690.7142703971</v>
      </c>
      <c r="K51" s="136">
        <f>Variables!$C$15</f>
        <v>1</v>
      </c>
      <c r="L51" s="137">
        <f t="shared" si="1"/>
        <v>2385690.7142703971</v>
      </c>
      <c r="N51" s="138">
        <f>Variables!$E$30*Variables!$C$19</f>
        <v>2.2291759999999998</v>
      </c>
      <c r="O51" s="87">
        <f t="shared" si="4"/>
        <v>5318124.4836744266</v>
      </c>
      <c r="P51" s="145">
        <f>Variables!$E$29</f>
        <v>48.483938529092256</v>
      </c>
      <c r="Q51" s="146">
        <f t="shared" si="5"/>
        <v>115667681.94011213</v>
      </c>
      <c r="S51" s="150"/>
      <c r="T51" s="134"/>
      <c r="U51" s="198"/>
      <c r="V51" s="134"/>
      <c r="W51" s="147"/>
      <c r="X51" s="149">
        <f>SUM(X4:X50)</f>
        <v>138772142.59176597</v>
      </c>
    </row>
    <row r="52" spans="1:24">
      <c r="A52" s="101">
        <v>2</v>
      </c>
      <c r="B52" s="132" t="s">
        <v>22</v>
      </c>
      <c r="C52" s="101">
        <v>2020</v>
      </c>
      <c r="D52" s="133">
        <f>Population!E3</f>
        <v>2444033.6742499992</v>
      </c>
      <c r="E52" s="133" t="str">
        <f t="shared" si="2"/>
        <v>Large</v>
      </c>
      <c r="F52" s="133"/>
      <c r="G52" s="134">
        <f>Variables!$C$3*POWER(SUM(1,Variables!$C$2/100),C52-2017)</f>
        <v>16091.920200722032</v>
      </c>
      <c r="H52" s="134">
        <f t="shared" si="3"/>
        <v>362.36955985655823</v>
      </c>
      <c r="I52" s="135">
        <f>VLOOKUP(B52,'Waste per capita'!$B$2:$F$48,4,FALSE)*(H52/Variables!$C$6)</f>
        <v>144.48569855389206</v>
      </c>
      <c r="J52" s="134">
        <f t="shared" si="0"/>
        <v>353127.91271324665</v>
      </c>
      <c r="K52" s="136">
        <f>Variables!$C$15</f>
        <v>1</v>
      </c>
      <c r="L52" s="137">
        <f t="shared" si="1"/>
        <v>353127.91271324665</v>
      </c>
      <c r="N52" s="138">
        <f>Variables!$E$30*Variables!$C$19</f>
        <v>2.2291759999999998</v>
      </c>
      <c r="O52" s="87">
        <f t="shared" si="4"/>
        <v>787184.26795046427</v>
      </c>
      <c r="P52" s="145">
        <f>Variables!$E$29</f>
        <v>48.483938529092256</v>
      </c>
      <c r="Q52" s="146">
        <f t="shared" si="5"/>
        <v>17121032.012895707</v>
      </c>
    </row>
    <row r="53" spans="1:24">
      <c r="A53" s="101">
        <v>3</v>
      </c>
      <c r="B53" s="132" t="s">
        <v>23</v>
      </c>
      <c r="C53" s="101">
        <v>2020</v>
      </c>
      <c r="D53" s="133">
        <f>Population!E4</f>
        <v>1877965.2155249994</v>
      </c>
      <c r="E53" s="133" t="str">
        <f t="shared" si="2"/>
        <v>Large</v>
      </c>
      <c r="F53" s="133"/>
      <c r="G53" s="134">
        <f>Variables!$C$3*POWER(SUM(1,Variables!$C$2/100),C53-2017)</f>
        <v>16091.920200722032</v>
      </c>
      <c r="H53" s="134">
        <f t="shared" si="3"/>
        <v>362.36955985655823</v>
      </c>
      <c r="I53" s="135">
        <f>VLOOKUP(B53,'Waste per capita'!$B$2:$F$48,4,FALSE)*(H53/Variables!$C$6)</f>
        <v>107.43401419795889</v>
      </c>
      <c r="J53" s="134">
        <f t="shared" si="0"/>
        <v>201757.3416279857</v>
      </c>
      <c r="K53" s="136">
        <f>Variables!$C$15</f>
        <v>1</v>
      </c>
      <c r="L53" s="137">
        <f t="shared" si="1"/>
        <v>201757.3416279857</v>
      </c>
      <c r="N53" s="138">
        <f>Variables!$E$30*Variables!$C$19</f>
        <v>2.2291759999999998</v>
      </c>
      <c r="O53" s="87">
        <f t="shared" si="4"/>
        <v>449752.62378090661</v>
      </c>
      <c r="P53" s="145">
        <f>Variables!$E$29</f>
        <v>48.483938529092256</v>
      </c>
      <c r="Q53" s="146">
        <f t="shared" si="5"/>
        <v>9781990.5492843259</v>
      </c>
    </row>
    <row r="54" spans="1:24">
      <c r="A54" s="101">
        <v>4</v>
      </c>
      <c r="B54" s="132" t="s">
        <v>24</v>
      </c>
      <c r="C54" s="101">
        <v>2020</v>
      </c>
      <c r="D54" s="133">
        <f>Population!E5</f>
        <v>1153958.1131749996</v>
      </c>
      <c r="E54" s="133" t="str">
        <f t="shared" si="2"/>
        <v>Large</v>
      </c>
      <c r="F54" s="133"/>
      <c r="G54" s="134">
        <f>Variables!$C$3*POWER(SUM(1,Variables!$C$2/100),C54-2017)</f>
        <v>16091.920200722032</v>
      </c>
      <c r="H54" s="134">
        <f t="shared" si="3"/>
        <v>362.36955985655823</v>
      </c>
      <c r="I54" s="135">
        <f>VLOOKUP(B54,'Waste per capita'!$B$2:$F$48,4,FALSE)*(H54/Variables!$C$6)</f>
        <v>370.05049334852509</v>
      </c>
      <c r="J54" s="134">
        <f t="shared" si="0"/>
        <v>427022.76908394176</v>
      </c>
      <c r="K54" s="136">
        <f>Variables!$C$15</f>
        <v>1</v>
      </c>
      <c r="L54" s="137">
        <f t="shared" si="1"/>
        <v>427022.76908394176</v>
      </c>
      <c r="N54" s="138">
        <f>Variables!$E$30*Variables!$C$19</f>
        <v>2.2291759999999998</v>
      </c>
      <c r="O54" s="87">
        <f t="shared" si="4"/>
        <v>951908.90829546493</v>
      </c>
      <c r="P54" s="145">
        <f>Variables!$E$29</f>
        <v>48.483938529092256</v>
      </c>
      <c r="Q54" s="146">
        <f t="shared" si="5"/>
        <v>20703745.686788589</v>
      </c>
    </row>
    <row r="55" spans="1:24">
      <c r="A55" s="101">
        <v>5</v>
      </c>
      <c r="B55" s="132" t="s">
        <v>25</v>
      </c>
      <c r="C55" s="101">
        <v>2020</v>
      </c>
      <c r="D55" s="133">
        <f>Population!E6</f>
        <v>544839.64237499982</v>
      </c>
      <c r="E55" s="133" t="str">
        <f t="shared" si="2"/>
        <v>Medium</v>
      </c>
      <c r="F55" s="133"/>
      <c r="G55" s="134">
        <f>Variables!$C$3*POWER(SUM(1,Variables!$C$2/100),C55-2017)</f>
        <v>16091.920200722032</v>
      </c>
      <c r="H55" s="134">
        <f t="shared" si="3"/>
        <v>362.36955985655823</v>
      </c>
      <c r="I55" s="135">
        <f>VLOOKUP(B55,'Waste per capita'!$B$2:$F$48,4,FALSE)*(H55/Variables!$C$6)</f>
        <v>141.1033841021133</v>
      </c>
      <c r="J55" s="134">
        <f t="shared" si="0"/>
        <v>76878.717332097644</v>
      </c>
      <c r="K55" s="136">
        <f>Variables!$C$15</f>
        <v>1</v>
      </c>
      <c r="L55" s="137">
        <f t="shared" si="1"/>
        <v>76878.717332097644</v>
      </c>
      <c r="N55" s="138">
        <f>Variables!$E$30*Variables!$C$19</f>
        <v>2.2291759999999998</v>
      </c>
      <c r="O55" s="87">
        <f t="shared" si="4"/>
        <v>171376.19158749608</v>
      </c>
      <c r="P55" s="145">
        <f>Variables!$E$29</f>
        <v>48.483938529092256</v>
      </c>
      <c r="Q55" s="146">
        <f t="shared" si="5"/>
        <v>3727383.0053248815</v>
      </c>
    </row>
    <row r="56" spans="1:24">
      <c r="A56" s="101">
        <v>6</v>
      </c>
      <c r="B56" s="132" t="s">
        <v>26</v>
      </c>
      <c r="C56" s="101">
        <v>2020</v>
      </c>
      <c r="D56" s="133">
        <f>Population!E7</f>
        <v>914784.16784999974</v>
      </c>
      <c r="E56" s="133" t="str">
        <f t="shared" si="2"/>
        <v>Medium</v>
      </c>
      <c r="F56" s="133"/>
      <c r="G56" s="134">
        <f>Variables!$C$3*POWER(SUM(1,Variables!$C$2/100),C56-2017)</f>
        <v>16091.920200722032</v>
      </c>
      <c r="H56" s="134">
        <f t="shared" si="3"/>
        <v>362.36955985655823</v>
      </c>
      <c r="I56" s="135">
        <f>VLOOKUP(B56,'Waste per capita'!$B$2:$F$48,4,FALSE)*(H56/Variables!$C$6)</f>
        <v>141.1033841021133</v>
      </c>
      <c r="J56" s="134">
        <f t="shared" si="0"/>
        <v>129079.1418066706</v>
      </c>
      <c r="K56" s="136">
        <f>Variables!$C$15</f>
        <v>1</v>
      </c>
      <c r="L56" s="137">
        <f t="shared" si="1"/>
        <v>129079.1418066706</v>
      </c>
      <c r="N56" s="138">
        <f>Variables!$E$30*Variables!$C$19</f>
        <v>2.2291759999999998</v>
      </c>
      <c r="O56" s="87">
        <f t="shared" si="4"/>
        <v>287740.12501602672</v>
      </c>
      <c r="P56" s="145">
        <f>Variables!$E$29</f>
        <v>48.483938529092256</v>
      </c>
      <c r="Q56" s="146">
        <f t="shared" si="5"/>
        <v>6258265.1767425993</v>
      </c>
    </row>
    <row r="57" spans="1:24">
      <c r="A57" s="101">
        <v>7</v>
      </c>
      <c r="B57" s="132" t="s">
        <v>27</v>
      </c>
      <c r="C57" s="101">
        <v>2020</v>
      </c>
      <c r="D57" s="133">
        <f>Population!E8</f>
        <v>648438.0381499998</v>
      </c>
      <c r="E57" s="133" t="str">
        <f t="shared" si="2"/>
        <v>Medium</v>
      </c>
      <c r="F57" s="133"/>
      <c r="G57" s="134">
        <f>Variables!$C$3*POWER(SUM(1,Variables!$C$2/100),C57-2017)</f>
        <v>16091.920200722032</v>
      </c>
      <c r="H57" s="134">
        <f t="shared" si="3"/>
        <v>362.36955985655823</v>
      </c>
      <c r="I57" s="135">
        <f>VLOOKUP(B57,'Waste per capita'!$B$2:$F$48,4,FALSE)*(H57/Variables!$C$6)</f>
        <v>141.1033841021133</v>
      </c>
      <c r="J57" s="134">
        <f t="shared" si="0"/>
        <v>91496.801563500208</v>
      </c>
      <c r="K57" s="136">
        <f>Variables!$C$15</f>
        <v>1</v>
      </c>
      <c r="L57" s="137">
        <f t="shared" si="1"/>
        <v>91496.801563500208</v>
      </c>
      <c r="N57" s="138">
        <f>Variables!$E$30*Variables!$C$19</f>
        <v>2.2291759999999998</v>
      </c>
      <c r="O57" s="87">
        <f t="shared" si="4"/>
        <v>203962.47412211713</v>
      </c>
      <c r="P57" s="145">
        <f>Variables!$E$29</f>
        <v>48.483938529092256</v>
      </c>
      <c r="Q57" s="146">
        <f t="shared" si="5"/>
        <v>4436125.3026132965</v>
      </c>
    </row>
    <row r="58" spans="1:24">
      <c r="A58" s="101">
        <v>8</v>
      </c>
      <c r="B58" s="132" t="s">
        <v>28</v>
      </c>
      <c r="C58" s="101">
        <v>2020</v>
      </c>
      <c r="D58" s="133">
        <f>Population!E9</f>
        <v>422052.27574999991</v>
      </c>
      <c r="E58" s="133" t="str">
        <f t="shared" si="2"/>
        <v>Medium</v>
      </c>
      <c r="F58" s="133"/>
      <c r="G58" s="134">
        <f>Variables!$C$3*POWER(SUM(1,Variables!$C$2/100),C58-2017)</f>
        <v>16091.920200722032</v>
      </c>
      <c r="H58" s="134">
        <f t="shared" si="3"/>
        <v>362.36955985655823</v>
      </c>
      <c r="I58" s="135">
        <f>VLOOKUP(B58,'Waste per capita'!$B$2:$F$48,4,FALSE)*(H58/Variables!$C$6)</f>
        <v>141.1033841021133</v>
      </c>
      <c r="J58" s="134">
        <f t="shared" si="0"/>
        <v>59553.004376323275</v>
      </c>
      <c r="K58" s="136">
        <f>Variables!$C$15</f>
        <v>1</v>
      </c>
      <c r="L58" s="137">
        <f t="shared" si="1"/>
        <v>59553.004376323275</v>
      </c>
      <c r="N58" s="138">
        <f>Variables!$E$30*Variables!$C$19</f>
        <v>2.2291759999999998</v>
      </c>
      <c r="O58" s="87">
        <f t="shared" si="4"/>
        <v>132754.12808359481</v>
      </c>
      <c r="P58" s="145">
        <f>Variables!$E$29</f>
        <v>48.483938529092256</v>
      </c>
      <c r="Q58" s="146">
        <f t="shared" si="5"/>
        <v>2887364.2034044196</v>
      </c>
    </row>
    <row r="59" spans="1:24">
      <c r="A59" s="101">
        <v>9</v>
      </c>
      <c r="B59" s="132" t="s">
        <v>29</v>
      </c>
      <c r="C59" s="101">
        <v>2020</v>
      </c>
      <c r="D59" s="133">
        <f>Population!E10</f>
        <v>494356.55692499987</v>
      </c>
      <c r="E59" s="133" t="str">
        <f t="shared" si="2"/>
        <v>Medium</v>
      </c>
      <c r="F59" s="133"/>
      <c r="G59" s="134">
        <f>Variables!$C$3*POWER(SUM(1,Variables!$C$2/100),C59-2017)</f>
        <v>16091.920200722032</v>
      </c>
      <c r="H59" s="134">
        <f t="shared" si="3"/>
        <v>362.36955985655823</v>
      </c>
      <c r="I59" s="135">
        <f>VLOOKUP(B59,'Waste per capita'!$B$2:$F$48,4,FALSE)*(H59/Variables!$C$6)</f>
        <v>141.1033841021133</v>
      </c>
      <c r="J59" s="134">
        <f t="shared" si="0"/>
        <v>69755.383135186494</v>
      </c>
      <c r="K59" s="136">
        <f>Variables!$C$15</f>
        <v>1</v>
      </c>
      <c r="L59" s="137">
        <f t="shared" si="1"/>
        <v>69755.383135186494</v>
      </c>
      <c r="N59" s="138">
        <f>Variables!$E$30*Variables!$C$19</f>
        <v>2.2291759999999998</v>
      </c>
      <c r="O59" s="87">
        <f t="shared" si="4"/>
        <v>155497.02595576248</v>
      </c>
      <c r="P59" s="145">
        <f>Variables!$E$29</f>
        <v>48.483938529092256</v>
      </c>
      <c r="Q59" s="146">
        <f t="shared" si="5"/>
        <v>3382015.7079996606</v>
      </c>
    </row>
    <row r="60" spans="1:24">
      <c r="A60" s="101">
        <v>10</v>
      </c>
      <c r="B60" s="132" t="s">
        <v>30</v>
      </c>
      <c r="C60" s="101">
        <v>2020</v>
      </c>
      <c r="D60" s="133">
        <f>Population!E11</f>
        <v>515819.23434999987</v>
      </c>
      <c r="E60" s="133" t="str">
        <f t="shared" si="2"/>
        <v>Medium</v>
      </c>
      <c r="F60" s="133"/>
      <c r="G60" s="134">
        <f>Variables!$C$3*POWER(SUM(1,Variables!$C$2/100),C60-2017)</f>
        <v>16091.920200722032</v>
      </c>
      <c r="H60" s="134">
        <f t="shared" ref="H60:H111" si="8">1647.41-417.73*LN(G60)+29.43*(LN(G60))^2</f>
        <v>362.36955985655823</v>
      </c>
      <c r="I60" s="135">
        <f>VLOOKUP(B60,'Waste per capita'!$B$2:$F$48,4,FALSE)*(H60/Variables!$C$6)</f>
        <v>141.1033841021133</v>
      </c>
      <c r="J60" s="134">
        <f t="shared" si="0"/>
        <v>72783.83955174603</v>
      </c>
      <c r="K60" s="136">
        <f>Variables!$C$15</f>
        <v>1</v>
      </c>
      <c r="L60" s="137">
        <f t="shared" si="1"/>
        <v>72783.83955174603</v>
      </c>
      <c r="N60" s="138">
        <f>Variables!$E$30*Variables!$C$19</f>
        <v>2.2291759999999998</v>
      </c>
      <c r="O60" s="87">
        <f t="shared" si="4"/>
        <v>162247.988316603</v>
      </c>
      <c r="P60" s="145">
        <f>Variables!$E$29</f>
        <v>48.483938529092256</v>
      </c>
      <c r="Q60" s="146">
        <f t="shared" si="5"/>
        <v>3528847.2027381682</v>
      </c>
    </row>
    <row r="61" spans="1:24">
      <c r="A61" s="101">
        <v>11</v>
      </c>
      <c r="B61" s="132" t="s">
        <v>31</v>
      </c>
      <c r="C61" s="101">
        <v>2020</v>
      </c>
      <c r="D61" s="133">
        <f>Population!E12</f>
        <v>362975.05334999989</v>
      </c>
      <c r="E61" s="133" t="str">
        <f t="shared" si="2"/>
        <v>Medium</v>
      </c>
      <c r="F61" s="133"/>
      <c r="G61" s="134">
        <f>Variables!$C$3*POWER(SUM(1,Variables!$C$2/100),C61-2017)</f>
        <v>16091.920200722032</v>
      </c>
      <c r="H61" s="134">
        <f t="shared" si="8"/>
        <v>362.36955985655823</v>
      </c>
      <c r="I61" s="135">
        <f>VLOOKUP(B61,'Waste per capita'!$B$2:$F$48,4,FALSE)*(H61/Variables!$C$6)</f>
        <v>141.1033841021133</v>
      </c>
      <c r="J61" s="134">
        <f t="shared" si="0"/>
        <v>51217.0083723301</v>
      </c>
      <c r="K61" s="136">
        <f>Variables!$C$15</f>
        <v>1</v>
      </c>
      <c r="L61" s="137">
        <f t="shared" si="1"/>
        <v>51217.0083723301</v>
      </c>
      <c r="N61" s="138">
        <f>Variables!$E$30*Variables!$C$19</f>
        <v>2.2291759999999998</v>
      </c>
      <c r="O61" s="87">
        <f t="shared" si="4"/>
        <v>114171.72585539731</v>
      </c>
      <c r="P61" s="145">
        <f>Variables!$E$29</f>
        <v>48.483938529092256</v>
      </c>
      <c r="Q61" s="146">
        <f t="shared" si="5"/>
        <v>2483202.2855680562</v>
      </c>
    </row>
    <row r="62" spans="1:24">
      <c r="A62" s="101">
        <v>12</v>
      </c>
      <c r="B62" s="132" t="s">
        <v>32</v>
      </c>
      <c r="C62" s="101">
        <v>2020</v>
      </c>
      <c r="D62" s="133">
        <f>Population!E13</f>
        <v>412539.1780999999</v>
      </c>
      <c r="E62" s="133" t="str">
        <f t="shared" si="2"/>
        <v>Medium</v>
      </c>
      <c r="F62" s="133"/>
      <c r="G62" s="134">
        <f>Variables!$C$3*POWER(SUM(1,Variables!$C$2/100),C62-2017)</f>
        <v>16091.920200722032</v>
      </c>
      <c r="H62" s="134">
        <f t="shared" si="8"/>
        <v>362.36955985655823</v>
      </c>
      <c r="I62" s="135">
        <f>VLOOKUP(B62,'Waste per capita'!$B$2:$F$48,4,FALSE)*(H62/Variables!$C$6)</f>
        <v>141.1033841021133</v>
      </c>
      <c r="J62" s="134">
        <f t="shared" si="0"/>
        <v>58210.674104614416</v>
      </c>
      <c r="K62" s="136">
        <f>Variables!$C$15</f>
        <v>1</v>
      </c>
      <c r="L62" s="137">
        <f t="shared" si="1"/>
        <v>58210.674104614416</v>
      </c>
      <c r="N62" s="138">
        <f>Variables!$E$30*Variables!$C$19</f>
        <v>2.2291759999999998</v>
      </c>
      <c r="O62" s="87">
        <f t="shared" si="4"/>
        <v>129761.83765782794</v>
      </c>
      <c r="P62" s="145">
        <f>Variables!$E$29</f>
        <v>48.483938529092256</v>
      </c>
      <c r="Q62" s="146">
        <f t="shared" si="5"/>
        <v>2822282.7450251477</v>
      </c>
    </row>
    <row r="63" spans="1:24">
      <c r="A63" s="101">
        <v>13</v>
      </c>
      <c r="B63" s="132" t="s">
        <v>33</v>
      </c>
      <c r="C63" s="101">
        <v>2020</v>
      </c>
      <c r="D63" s="133">
        <f>Population!E14</f>
        <v>464849.8826999999</v>
      </c>
      <c r="E63" s="133" t="str">
        <f t="shared" si="2"/>
        <v>Medium</v>
      </c>
      <c r="F63" s="133"/>
      <c r="G63" s="134">
        <f>Variables!$C$3*POWER(SUM(1,Variables!$C$2/100),C63-2017)</f>
        <v>16091.920200722032</v>
      </c>
      <c r="H63" s="134">
        <f t="shared" si="8"/>
        <v>362.36955985655823</v>
      </c>
      <c r="I63" s="135">
        <f>VLOOKUP(B63,'Waste per capita'!$B$2:$F$48,4,FALSE)*(H63/Variables!$C$6)</f>
        <v>141.1033841021133</v>
      </c>
      <c r="J63" s="134">
        <f t="shared" si="0"/>
        <v>65591.891548440399</v>
      </c>
      <c r="K63" s="136">
        <f>Variables!$C$15</f>
        <v>1</v>
      </c>
      <c r="L63" s="137">
        <f t="shared" si="1"/>
        <v>65591.891548440399</v>
      </c>
      <c r="N63" s="138">
        <f>Variables!$E$30*Variables!$C$19</f>
        <v>2.2291759999999998</v>
      </c>
      <c r="O63" s="87">
        <f t="shared" si="4"/>
        <v>146215.87043438616</v>
      </c>
      <c r="P63" s="145">
        <f>Variables!$E$29</f>
        <v>48.483938529092256</v>
      </c>
      <c r="Q63" s="146">
        <f t="shared" si="5"/>
        <v>3180153.2378414702</v>
      </c>
    </row>
    <row r="64" spans="1:24">
      <c r="A64" s="101">
        <v>14</v>
      </c>
      <c r="B64" s="132" t="s">
        <v>34</v>
      </c>
      <c r="C64" s="101">
        <v>2020</v>
      </c>
      <c r="D64" s="133">
        <f>Population!E15</f>
        <v>324032.54834999994</v>
      </c>
      <c r="E64" s="133" t="str">
        <f t="shared" si="2"/>
        <v>Medium</v>
      </c>
      <c r="F64" s="133"/>
      <c r="G64" s="134">
        <f>Variables!$C$3*POWER(SUM(1,Variables!$C$2/100),C64-2017)</f>
        <v>16091.920200722032</v>
      </c>
      <c r="H64" s="134">
        <f t="shared" si="8"/>
        <v>362.36955985655823</v>
      </c>
      <c r="I64" s="135">
        <f>VLOOKUP(B64,'Waste per capita'!$B$2:$F$48,4,FALSE)*(H64/Variables!$C$6)</f>
        <v>141.1033841021133</v>
      </c>
      <c r="J64" s="134">
        <f t="shared" si="0"/>
        <v>45722.089131416644</v>
      </c>
      <c r="K64" s="136">
        <f>Variables!$C$15</f>
        <v>1</v>
      </c>
      <c r="L64" s="137">
        <f t="shared" si="1"/>
        <v>45722.089131416644</v>
      </c>
      <c r="N64" s="138">
        <f>Variables!$E$30*Variables!$C$19</f>
        <v>2.2291759999999998</v>
      </c>
      <c r="O64" s="87">
        <f t="shared" si="4"/>
        <v>101922.58376161482</v>
      </c>
      <c r="P64" s="145">
        <f>Variables!$E$29</f>
        <v>48.483938529092256</v>
      </c>
      <c r="Q64" s="146">
        <f t="shared" si="5"/>
        <v>2216786.9588692817</v>
      </c>
    </row>
    <row r="65" spans="1:17">
      <c r="A65" s="101">
        <v>15</v>
      </c>
      <c r="B65" s="132" t="s">
        <v>35</v>
      </c>
      <c r="C65" s="101">
        <v>2020</v>
      </c>
      <c r="D65" s="133">
        <f>Population!E16</f>
        <v>283972.24922499992</v>
      </c>
      <c r="E65" s="133" t="str">
        <f t="shared" si="2"/>
        <v>Medium</v>
      </c>
      <c r="F65" s="133"/>
      <c r="G65" s="134">
        <f>Variables!$C$3*POWER(SUM(1,Variables!$C$2/100),C65-2017)</f>
        <v>16091.920200722032</v>
      </c>
      <c r="H65" s="134">
        <f t="shared" si="8"/>
        <v>362.36955985655823</v>
      </c>
      <c r="I65" s="135">
        <f>VLOOKUP(B65,'Waste per capita'!$B$2:$F$48,4,FALSE)*(H65/Variables!$C$6)</f>
        <v>87.444380520018342</v>
      </c>
      <c r="J65" s="134">
        <f t="shared" si="0"/>
        <v>24831.777418356378</v>
      </c>
      <c r="K65" s="136">
        <f>Variables!$C$15</f>
        <v>1</v>
      </c>
      <c r="L65" s="137">
        <f t="shared" si="1"/>
        <v>24831.777418356378</v>
      </c>
      <c r="N65" s="138">
        <f>Variables!$E$30*Variables!$C$19</f>
        <v>2.2291759999999998</v>
      </c>
      <c r="O65" s="87">
        <f t="shared" si="4"/>
        <v>55354.402258341994</v>
      </c>
      <c r="P65" s="145">
        <f>Variables!$E$29</f>
        <v>48.483938529092256</v>
      </c>
      <c r="Q65" s="146">
        <f t="shared" si="5"/>
        <v>1203942.3699196919</v>
      </c>
    </row>
    <row r="66" spans="1:17">
      <c r="A66" s="101">
        <v>16</v>
      </c>
      <c r="B66" s="132" t="s">
        <v>36</v>
      </c>
      <c r="C66" s="101">
        <v>2020</v>
      </c>
      <c r="D66" s="133">
        <f>Population!E17</f>
        <v>473232.8235249999</v>
      </c>
      <c r="E66" s="133" t="str">
        <f t="shared" si="2"/>
        <v>Medium</v>
      </c>
      <c r="F66" s="133"/>
      <c r="G66" s="134">
        <f>Variables!$C$3*POWER(SUM(1,Variables!$C$2/100),C66-2017)</f>
        <v>16091.920200722032</v>
      </c>
      <c r="H66" s="134">
        <f t="shared" si="8"/>
        <v>362.36955985655823</v>
      </c>
      <c r="I66" s="135">
        <f>VLOOKUP(B66,'Waste per capita'!$B$2:$F$48,4,FALSE)*(H66/Variables!$C$6)</f>
        <v>141.1033841021133</v>
      </c>
      <c r="J66" s="134">
        <f t="shared" si="0"/>
        <v>66774.752867575662</v>
      </c>
      <c r="K66" s="136">
        <f>Variables!$C$15</f>
        <v>1</v>
      </c>
      <c r="L66" s="137">
        <f t="shared" si="1"/>
        <v>66774.752867575662</v>
      </c>
      <c r="N66" s="138">
        <f>Variables!$E$30*Variables!$C$19</f>
        <v>2.2291759999999998</v>
      </c>
      <c r="O66" s="87">
        <f t="shared" si="4"/>
        <v>148852.67649833084</v>
      </c>
      <c r="P66" s="145">
        <f>Variables!$E$29</f>
        <v>48.483938529092256</v>
      </c>
      <c r="Q66" s="146">
        <f t="shared" si="5"/>
        <v>3237503.0133268652</v>
      </c>
    </row>
    <row r="67" spans="1:17">
      <c r="A67" s="101">
        <v>17</v>
      </c>
      <c r="B67" s="132" t="s">
        <v>37</v>
      </c>
      <c r="C67" s="101">
        <v>2020</v>
      </c>
      <c r="D67" s="133">
        <f>Population!E18</f>
        <v>446832.2776749999</v>
      </c>
      <c r="E67" s="133" t="str">
        <f t="shared" si="2"/>
        <v>Medium</v>
      </c>
      <c r="F67" s="133"/>
      <c r="G67" s="134">
        <f>Variables!$C$3*POWER(SUM(1,Variables!$C$2/100),C67-2017)</f>
        <v>16091.920200722032</v>
      </c>
      <c r="H67" s="134">
        <f t="shared" si="8"/>
        <v>362.36955985655823</v>
      </c>
      <c r="I67" s="135">
        <f>VLOOKUP(B67,'Waste per capita'!$B$2:$F$48,4,FALSE)*(H67/Variables!$C$6)</f>
        <v>141.1033841021133</v>
      </c>
      <c r="J67" s="134">
        <f t="shared" si="0"/>
        <v>63049.546505997656</v>
      </c>
      <c r="K67" s="136">
        <f>Variables!$C$15</f>
        <v>1</v>
      </c>
      <c r="L67" s="137">
        <f t="shared" si="1"/>
        <v>63049.546505997656</v>
      </c>
      <c r="N67" s="138">
        <f>Variables!$E$30*Variables!$C$19</f>
        <v>2.2291759999999998</v>
      </c>
      <c r="O67" s="87">
        <f t="shared" si="4"/>
        <v>140548.53588205381</v>
      </c>
      <c r="P67" s="145">
        <f>Variables!$E$29</f>
        <v>48.483938529092256</v>
      </c>
      <c r="Q67" s="146">
        <f t="shared" si="5"/>
        <v>3056890.3370839339</v>
      </c>
    </row>
    <row r="68" spans="1:17">
      <c r="A68" s="101">
        <v>18</v>
      </c>
      <c r="B68" s="132" t="s">
        <v>38</v>
      </c>
      <c r="C68" s="101">
        <v>2020</v>
      </c>
      <c r="D68" s="133">
        <f>Population!E19</f>
        <v>282922.44994999992</v>
      </c>
      <c r="E68" s="133" t="str">
        <f t="shared" si="2"/>
        <v>Medium</v>
      </c>
      <c r="F68" s="133"/>
      <c r="G68" s="134">
        <f>Variables!$C$3*POWER(SUM(1,Variables!$C$2/100),C68-2017)</f>
        <v>16091.920200722032</v>
      </c>
      <c r="H68" s="134">
        <f t="shared" si="8"/>
        <v>362.36955985655823</v>
      </c>
      <c r="I68" s="135">
        <f>VLOOKUP(B68,'Waste per capita'!$B$2:$F$48,4,FALSE)*(H68/Variables!$C$6)</f>
        <v>141.1033841021133</v>
      </c>
      <c r="J68" s="134">
        <f t="shared" ref="J68:J131" si="9">I68*D68/1000</f>
        <v>39921.31512640576</v>
      </c>
      <c r="K68" s="136">
        <f>Variables!$C$15</f>
        <v>1</v>
      </c>
      <c r="L68" s="137">
        <f t="shared" ref="L68:L131" si="10">J68*K68</f>
        <v>39921.31512640576</v>
      </c>
      <c r="N68" s="138">
        <f>Variables!$E$30*Variables!$C$19</f>
        <v>2.2291759999999998</v>
      </c>
      <c r="O68" s="87">
        <f t="shared" ref="O68:O131" si="11">N68*L68</f>
        <v>88991.637568220685</v>
      </c>
      <c r="P68" s="145">
        <f>Variables!$E$29</f>
        <v>48.483938529092256</v>
      </c>
      <c r="Q68" s="146">
        <f t="shared" ref="Q68:Q131" si="12">P68*J68</f>
        <v>1935542.5885891777</v>
      </c>
    </row>
    <row r="69" spans="1:17">
      <c r="A69" s="101">
        <v>19</v>
      </c>
      <c r="B69" s="132" t="s">
        <v>39</v>
      </c>
      <c r="C69" s="101">
        <v>2020</v>
      </c>
      <c r="D69" s="133">
        <f>Population!E20</f>
        <v>285650.48574999993</v>
      </c>
      <c r="E69" s="133" t="str">
        <f t="shared" ref="E69:E132" si="13">IF(D69&lt;100000,"Small",IF(D69&lt;1000000,"Medium","Large"))</f>
        <v>Medium</v>
      </c>
      <c r="F69" s="133"/>
      <c r="G69" s="134">
        <f>Variables!$C$3*POWER(SUM(1,Variables!$C$2/100),C69-2017)</f>
        <v>16091.920200722032</v>
      </c>
      <c r="H69" s="134">
        <f t="shared" si="8"/>
        <v>362.36955985655823</v>
      </c>
      <c r="I69" s="135">
        <f>VLOOKUP(B69,'Waste per capita'!$B$2:$F$48,4,FALSE)*(H69/Variables!$C$6)</f>
        <v>141.1033841021133</v>
      </c>
      <c r="J69" s="134">
        <f t="shared" si="9"/>
        <v>40306.250209737482</v>
      </c>
      <c r="K69" s="136">
        <f>Variables!$C$15</f>
        <v>1</v>
      </c>
      <c r="L69" s="137">
        <f t="shared" si="10"/>
        <v>40306.250209737482</v>
      </c>
      <c r="N69" s="138">
        <f>Variables!$E$30*Variables!$C$19</f>
        <v>2.2291759999999998</v>
      </c>
      <c r="O69" s="87">
        <f t="shared" si="11"/>
        <v>89849.725617541757</v>
      </c>
      <c r="P69" s="145">
        <f>Variables!$E$29</f>
        <v>48.483938529092256</v>
      </c>
      <c r="Q69" s="146">
        <f t="shared" si="12"/>
        <v>1954205.757507124</v>
      </c>
    </row>
    <row r="70" spans="1:17">
      <c r="A70" s="101">
        <v>20</v>
      </c>
      <c r="B70" s="132" t="s">
        <v>40</v>
      </c>
      <c r="C70" s="101">
        <v>2020</v>
      </c>
      <c r="D70" s="133">
        <f>Population!E21</f>
        <v>173068.52797499995</v>
      </c>
      <c r="E70" s="133" t="str">
        <f t="shared" si="13"/>
        <v>Medium</v>
      </c>
      <c r="F70" s="133"/>
      <c r="G70" s="134">
        <f>Variables!$C$3*POWER(SUM(1,Variables!$C$2/100),C70-2017)</f>
        <v>16091.920200722032</v>
      </c>
      <c r="H70" s="134">
        <f t="shared" si="8"/>
        <v>362.36955985655823</v>
      </c>
      <c r="I70" s="135">
        <f>VLOOKUP(B70,'Waste per capita'!$B$2:$F$48,4,FALSE)*(H70/Variables!$C$6)</f>
        <v>141.1033841021133</v>
      </c>
      <c r="J70" s="134">
        <f t="shared" si="9"/>
        <v>24420.554978843757</v>
      </c>
      <c r="K70" s="136">
        <f>Variables!$C$15</f>
        <v>1</v>
      </c>
      <c r="L70" s="137">
        <f t="shared" si="10"/>
        <v>24420.554978843757</v>
      </c>
      <c r="N70" s="138">
        <f>Variables!$E$30*Variables!$C$19</f>
        <v>2.2291759999999998</v>
      </c>
      <c r="O70" s="87">
        <f t="shared" si="11"/>
        <v>54437.715065519005</v>
      </c>
      <c r="P70" s="145">
        <f>Variables!$E$29</f>
        <v>48.483938529092256</v>
      </c>
      <c r="Q70" s="146">
        <f t="shared" si="12"/>
        <v>1184004.6864405784</v>
      </c>
    </row>
    <row r="71" spans="1:17">
      <c r="A71" s="101">
        <v>21</v>
      </c>
      <c r="B71" s="132" t="s">
        <v>41</v>
      </c>
      <c r="C71" s="101">
        <v>2020</v>
      </c>
      <c r="D71" s="133">
        <f>Population!E22</f>
        <v>182940.14392499995</v>
      </c>
      <c r="E71" s="133" t="str">
        <f t="shared" si="13"/>
        <v>Medium</v>
      </c>
      <c r="F71" s="133"/>
      <c r="G71" s="134">
        <f>Variables!$C$3*POWER(SUM(1,Variables!$C$2/100),C71-2017)</f>
        <v>16091.920200722032</v>
      </c>
      <c r="H71" s="134">
        <f t="shared" si="8"/>
        <v>362.36955985655823</v>
      </c>
      <c r="I71" s="135">
        <f>VLOOKUP(B71,'Waste per capita'!$B$2:$F$48,4,FALSE)*(H71/Variables!$C$6)</f>
        <v>141.1033841021133</v>
      </c>
      <c r="J71" s="134">
        <f t="shared" si="9"/>
        <v>25813.473395945159</v>
      </c>
      <c r="K71" s="136">
        <f>Variables!$C$15</f>
        <v>1</v>
      </c>
      <c r="L71" s="137">
        <f t="shared" si="10"/>
        <v>25813.473395945159</v>
      </c>
      <c r="N71" s="138">
        <f>Variables!$E$30*Variables!$C$19</f>
        <v>2.2291759999999998</v>
      </c>
      <c r="O71" s="87">
        <f t="shared" si="11"/>
        <v>57542.775370879441</v>
      </c>
      <c r="P71" s="145">
        <f>Variables!$E$29</f>
        <v>48.483938529092256</v>
      </c>
      <c r="Q71" s="146">
        <f t="shared" si="12"/>
        <v>1251538.8573513634</v>
      </c>
    </row>
    <row r="72" spans="1:17">
      <c r="A72" s="101">
        <v>22</v>
      </c>
      <c r="B72" s="132" t="s">
        <v>42</v>
      </c>
      <c r="C72" s="101">
        <v>2020</v>
      </c>
      <c r="D72" s="133">
        <f>Population!E23</f>
        <v>161527.94752499997</v>
      </c>
      <c r="E72" s="133" t="str">
        <f t="shared" si="13"/>
        <v>Medium</v>
      </c>
      <c r="F72" s="133"/>
      <c r="G72" s="134">
        <f>Variables!$C$3*POWER(SUM(1,Variables!$C$2/100),C72-2017)</f>
        <v>16091.920200722032</v>
      </c>
      <c r="H72" s="134">
        <f t="shared" si="8"/>
        <v>362.36955985655823</v>
      </c>
      <c r="I72" s="135">
        <f>VLOOKUP(B72,'Waste per capita'!$B$2:$F$48,4,FALSE)*(H72/Variables!$C$6)</f>
        <v>106.67443017438912</v>
      </c>
      <c r="J72" s="134">
        <f t="shared" si="9"/>
        <v>17230.901759467997</v>
      </c>
      <c r="K72" s="136">
        <f>Variables!$C$15</f>
        <v>1</v>
      </c>
      <c r="L72" s="137">
        <f t="shared" si="10"/>
        <v>17230.901759467997</v>
      </c>
      <c r="N72" s="138">
        <f>Variables!$E$30*Variables!$C$19</f>
        <v>2.2291759999999998</v>
      </c>
      <c r="O72" s="87">
        <f t="shared" si="11"/>
        <v>38410.712660563826</v>
      </c>
      <c r="P72" s="145">
        <f>Variables!$E$29</f>
        <v>48.483938529092256</v>
      </c>
      <c r="Q72" s="146">
        <f t="shared" si="12"/>
        <v>835421.98170687398</v>
      </c>
    </row>
    <row r="73" spans="1:17">
      <c r="A73" s="101">
        <v>23</v>
      </c>
      <c r="B73" s="132" t="s">
        <v>43</v>
      </c>
      <c r="C73" s="101">
        <v>2020</v>
      </c>
      <c r="D73" s="133">
        <f>Population!E24</f>
        <v>124326.52277499996</v>
      </c>
      <c r="E73" s="133" t="str">
        <f t="shared" si="13"/>
        <v>Medium</v>
      </c>
      <c r="F73" s="133"/>
      <c r="G73" s="134">
        <f>Variables!$C$3*POWER(SUM(1,Variables!$C$2/100),C73-2017)</f>
        <v>16091.920200722032</v>
      </c>
      <c r="H73" s="134">
        <f t="shared" si="8"/>
        <v>362.36955985655823</v>
      </c>
      <c r="I73" s="135">
        <f>VLOOKUP(B73,'Waste per capita'!$B$2:$F$48,4,FALSE)*(H73/Variables!$C$6)</f>
        <v>104.69081473726203</v>
      </c>
      <c r="J73" s="134">
        <f t="shared" si="9"/>
        <v>13015.84496276551</v>
      </c>
      <c r="K73" s="136">
        <f>Variables!$C$15</f>
        <v>1</v>
      </c>
      <c r="L73" s="137">
        <f t="shared" si="10"/>
        <v>13015.84496276551</v>
      </c>
      <c r="N73" s="138">
        <f>Variables!$E$30*Variables!$C$19</f>
        <v>2.2291759999999998</v>
      </c>
      <c r="O73" s="87">
        <f t="shared" si="11"/>
        <v>29014.609210717765</v>
      </c>
      <c r="P73" s="145">
        <f>Variables!$E$29</f>
        <v>48.483938529092256</v>
      </c>
      <c r="Q73" s="146">
        <f t="shared" si="12"/>
        <v>631059.42707891809</v>
      </c>
    </row>
    <row r="74" spans="1:17">
      <c r="A74" s="101">
        <v>24</v>
      </c>
      <c r="B74" s="132" t="s">
        <v>44</v>
      </c>
      <c r="C74" s="101">
        <v>2020</v>
      </c>
      <c r="D74" s="133">
        <f>Population!E25</f>
        <v>78024.090374999985</v>
      </c>
      <c r="E74" s="133" t="str">
        <f t="shared" si="13"/>
        <v>Small</v>
      </c>
      <c r="F74" s="133"/>
      <c r="G74" s="134">
        <f>Variables!$C$3*POWER(SUM(1,Variables!$C$2/100),C74-2017)</f>
        <v>16091.920200722032</v>
      </c>
      <c r="H74" s="134">
        <f t="shared" si="8"/>
        <v>362.36955985655823</v>
      </c>
      <c r="I74" s="135">
        <f>VLOOKUP(B74,'Waste per capita'!$B$2:$F$48,4,FALSE)*(H74/Variables!$C$6)</f>
        <v>106.07133010107965</v>
      </c>
      <c r="J74" s="134">
        <f t="shared" si="9"/>
        <v>8276.1190460030957</v>
      </c>
      <c r="K74" s="136">
        <f>Variables!$C$15</f>
        <v>1</v>
      </c>
      <c r="L74" s="137">
        <f t="shared" si="10"/>
        <v>8276.1190460030957</v>
      </c>
      <c r="N74" s="138">
        <f>Variables!$E$30*Variables!$C$19</f>
        <v>2.2291759999999998</v>
      </c>
      <c r="O74" s="87">
        <f t="shared" si="11"/>
        <v>18448.925950492994</v>
      </c>
      <c r="P74" s="145">
        <f>Variables!$E$29</f>
        <v>48.483938529092256</v>
      </c>
      <c r="Q74" s="146">
        <f t="shared" si="12"/>
        <v>401258.84708586376</v>
      </c>
    </row>
    <row r="75" spans="1:17">
      <c r="A75" s="101">
        <v>25</v>
      </c>
      <c r="B75" s="132" t="s">
        <v>45</v>
      </c>
      <c r="C75" s="101">
        <v>2020</v>
      </c>
      <c r="D75" s="133">
        <f>Population!E26</f>
        <v>161685.57194999995</v>
      </c>
      <c r="E75" s="133" t="str">
        <f t="shared" si="13"/>
        <v>Medium</v>
      </c>
      <c r="F75" s="133"/>
      <c r="G75" s="134">
        <f>Variables!$C$3*POWER(SUM(1,Variables!$C$2/100),C75-2017)</f>
        <v>16091.920200722032</v>
      </c>
      <c r="H75" s="134">
        <f t="shared" si="8"/>
        <v>362.36955985655823</v>
      </c>
      <c r="I75" s="135">
        <f>VLOOKUP(B75,'Waste per capita'!$B$2:$F$48,4,FALSE)*(H75/Variables!$C$6)</f>
        <v>105.74428591782863</v>
      </c>
      <c r="J75" s="134">
        <f t="shared" si="9"/>
        <v>17097.325349068447</v>
      </c>
      <c r="K75" s="136">
        <f>Variables!$C$15</f>
        <v>1</v>
      </c>
      <c r="L75" s="137">
        <f t="shared" si="10"/>
        <v>17097.325349068447</v>
      </c>
      <c r="N75" s="138">
        <f>Variables!$E$30*Variables!$C$19</f>
        <v>2.2291759999999998</v>
      </c>
      <c r="O75" s="87">
        <f t="shared" si="11"/>
        <v>38112.947332335003</v>
      </c>
      <c r="P75" s="145">
        <f>Variables!$E$29</f>
        <v>48.483938529092256</v>
      </c>
      <c r="Q75" s="146">
        <f t="shared" si="12"/>
        <v>828945.6712361254</v>
      </c>
    </row>
    <row r="76" spans="1:17">
      <c r="A76" s="101">
        <v>26</v>
      </c>
      <c r="B76" s="132" t="s">
        <v>46</v>
      </c>
      <c r="C76" s="101">
        <v>2020</v>
      </c>
      <c r="D76" s="133">
        <f>Population!E27</f>
        <v>44138.959899999987</v>
      </c>
      <c r="E76" s="133" t="str">
        <f t="shared" si="13"/>
        <v>Small</v>
      </c>
      <c r="F76" s="133"/>
      <c r="G76" s="134">
        <f>Variables!$C$3*POWER(SUM(1,Variables!$C$2/100),C76-2017)</f>
        <v>16091.920200722032</v>
      </c>
      <c r="H76" s="134">
        <f t="shared" si="8"/>
        <v>362.36955985655823</v>
      </c>
      <c r="I76" s="135">
        <f>VLOOKUP(B76,'Waste per capita'!$B$2:$F$48,4,FALSE)*(H76/Variables!$C$6)</f>
        <v>106.83443319533201</v>
      </c>
      <c r="J76" s="134">
        <f t="shared" si="9"/>
        <v>4715.5607627479876</v>
      </c>
      <c r="K76" s="136">
        <f>Variables!$C$15</f>
        <v>1</v>
      </c>
      <c r="L76" s="137">
        <f t="shared" si="10"/>
        <v>4715.5607627479876</v>
      </c>
      <c r="N76" s="138">
        <f>Variables!$E$30*Variables!$C$19</f>
        <v>2.2291759999999998</v>
      </c>
      <c r="O76" s="87">
        <f t="shared" si="11"/>
        <v>10511.814878859508</v>
      </c>
      <c r="P76" s="145">
        <f>Variables!$E$29</f>
        <v>48.483938529092256</v>
      </c>
      <c r="Q76" s="146">
        <f t="shared" si="12"/>
        <v>228628.95815127282</v>
      </c>
    </row>
    <row r="77" spans="1:17">
      <c r="A77" s="101">
        <v>27</v>
      </c>
      <c r="B77" s="132" t="s">
        <v>47</v>
      </c>
      <c r="C77" s="101">
        <v>2020</v>
      </c>
      <c r="D77" s="133">
        <f>Population!E28</f>
        <v>8277.8578749999979</v>
      </c>
      <c r="E77" s="133" t="str">
        <f t="shared" si="13"/>
        <v>Small</v>
      </c>
      <c r="F77" s="133"/>
      <c r="G77" s="134">
        <f>Variables!$C$3*POWER(SUM(1,Variables!$C$2/100),C77-2017)</f>
        <v>16091.920200722032</v>
      </c>
      <c r="H77" s="134">
        <f t="shared" si="8"/>
        <v>362.36955985655823</v>
      </c>
      <c r="I77" s="135">
        <f>VLOOKUP(B77,'Waste per capita'!$B$2:$F$48,4,FALSE)*(H77/Variables!$C$6)</f>
        <v>105.79282331344375</v>
      </c>
      <c r="J77" s="134">
        <f t="shared" si="9"/>
        <v>875.73795558367362</v>
      </c>
      <c r="K77" s="136">
        <f>Variables!$C$15</f>
        <v>1</v>
      </c>
      <c r="L77" s="137">
        <f t="shared" si="10"/>
        <v>875.73795558367362</v>
      </c>
      <c r="N77" s="138">
        <f>Variables!$E$30*Variables!$C$19</f>
        <v>2.2291759999999998</v>
      </c>
      <c r="O77" s="87">
        <f t="shared" si="11"/>
        <v>1952.1740328761912</v>
      </c>
      <c r="P77" s="145">
        <f>Variables!$E$29</f>
        <v>48.483938529092256</v>
      </c>
      <c r="Q77" s="146">
        <f t="shared" si="12"/>
        <v>42459.225206111754</v>
      </c>
    </row>
    <row r="78" spans="1:17">
      <c r="A78" s="101">
        <v>28</v>
      </c>
      <c r="B78" s="132" t="s">
        <v>48</v>
      </c>
      <c r="C78" s="101">
        <v>2020</v>
      </c>
      <c r="D78" s="133">
        <f>Population!E29</f>
        <v>49539.399349999985</v>
      </c>
      <c r="E78" s="133" t="str">
        <f t="shared" si="13"/>
        <v>Small</v>
      </c>
      <c r="F78" s="133"/>
      <c r="G78" s="134">
        <f>Variables!$C$3*POWER(SUM(1,Variables!$C$2/100),C78-2017)</f>
        <v>16091.920200722032</v>
      </c>
      <c r="H78" s="134">
        <f t="shared" si="8"/>
        <v>362.36955985655823</v>
      </c>
      <c r="I78" s="135">
        <f>VLOOKUP(B78,'Waste per capita'!$B$2:$F$48,4,FALSE)*(H78/Variables!$C$6)</f>
        <v>155.1109097520812</v>
      </c>
      <c r="J78" s="134">
        <f t="shared" si="9"/>
        <v>7684.1013017501582</v>
      </c>
      <c r="K78" s="136">
        <f>Variables!$C$15</f>
        <v>1</v>
      </c>
      <c r="L78" s="137">
        <f t="shared" si="10"/>
        <v>7684.1013017501582</v>
      </c>
      <c r="N78" s="138">
        <f>Variables!$E$30*Variables!$C$19</f>
        <v>2.2291759999999998</v>
      </c>
      <c r="O78" s="87">
        <f t="shared" si="11"/>
        <v>17129.214203430209</v>
      </c>
      <c r="P78" s="145">
        <f>Variables!$E$29</f>
        <v>48.483938529092256</v>
      </c>
      <c r="Q78" s="146">
        <f t="shared" si="12"/>
        <v>372555.49516537244</v>
      </c>
    </row>
    <row r="79" spans="1:17">
      <c r="A79" s="101">
        <v>29</v>
      </c>
      <c r="B79" s="132" t="s">
        <v>49</v>
      </c>
      <c r="C79" s="101">
        <v>2020</v>
      </c>
      <c r="D79" s="133">
        <f>Population!E30</f>
        <v>49885.554949999983</v>
      </c>
      <c r="E79" s="133" t="str">
        <f t="shared" si="13"/>
        <v>Small</v>
      </c>
      <c r="F79" s="133"/>
      <c r="G79" s="134">
        <f>Variables!$C$3*POWER(SUM(1,Variables!$C$2/100),C79-2017)</f>
        <v>16091.920200722032</v>
      </c>
      <c r="H79" s="134">
        <f t="shared" si="8"/>
        <v>362.36955985655823</v>
      </c>
      <c r="I79" s="135">
        <f>VLOOKUP(B79,'Waste per capita'!$B$2:$F$48,4,FALSE)*(H79/Variables!$C$6)</f>
        <v>155.1109097520812</v>
      </c>
      <c r="J79" s="134">
        <f t="shared" si="9"/>
        <v>7737.7938117819349</v>
      </c>
      <c r="K79" s="136">
        <f>Variables!$C$15</f>
        <v>1</v>
      </c>
      <c r="L79" s="137">
        <f t="shared" si="10"/>
        <v>7737.7938117819349</v>
      </c>
      <c r="N79" s="138">
        <f>Variables!$E$30*Variables!$C$19</f>
        <v>2.2291759999999998</v>
      </c>
      <c r="O79" s="87">
        <f t="shared" si="11"/>
        <v>17248.904258172806</v>
      </c>
      <c r="P79" s="145">
        <f>Variables!$E$29</f>
        <v>48.483938529092256</v>
      </c>
      <c r="Q79" s="146">
        <f t="shared" si="12"/>
        <v>375158.71952122578</v>
      </c>
    </row>
    <row r="80" spans="1:17">
      <c r="A80" s="101">
        <v>30</v>
      </c>
      <c r="B80" s="132" t="s">
        <v>50</v>
      </c>
      <c r="C80" s="101">
        <v>2020</v>
      </c>
      <c r="D80" s="133">
        <f>Population!E31</f>
        <v>20386.092299999993</v>
      </c>
      <c r="E80" s="133" t="str">
        <f t="shared" si="13"/>
        <v>Small</v>
      </c>
      <c r="F80" s="133"/>
      <c r="G80" s="134">
        <f>Variables!$C$3*POWER(SUM(1,Variables!$C$2/100),C80-2017)</f>
        <v>16091.920200722032</v>
      </c>
      <c r="H80" s="134">
        <f t="shared" si="8"/>
        <v>362.36955985655823</v>
      </c>
      <c r="I80" s="135">
        <f>VLOOKUP(B80,'Waste per capita'!$B$2:$F$48,4,FALSE)*(H80/Variables!$C$6)</f>
        <v>155.1109097520812</v>
      </c>
      <c r="J80" s="134">
        <f t="shared" si="9"/>
        <v>3162.1053229428962</v>
      </c>
      <c r="K80" s="136">
        <f>Variables!$C$15</f>
        <v>1</v>
      </c>
      <c r="L80" s="137">
        <f t="shared" si="10"/>
        <v>3162.1053229428962</v>
      </c>
      <c r="N80" s="138">
        <f>Variables!$E$30*Variables!$C$19</f>
        <v>2.2291759999999998</v>
      </c>
      <c r="O80" s="87">
        <f t="shared" si="11"/>
        <v>7048.8892953765535</v>
      </c>
      <c r="P80" s="145">
        <f>Variables!$E$29</f>
        <v>48.483938529092256</v>
      </c>
      <c r="Q80" s="146">
        <f t="shared" si="12"/>
        <v>153311.3201000788</v>
      </c>
    </row>
    <row r="81" spans="1:17">
      <c r="A81" s="101">
        <v>31</v>
      </c>
      <c r="B81" s="132" t="s">
        <v>51</v>
      </c>
      <c r="C81" s="101">
        <v>2020</v>
      </c>
      <c r="D81" s="133">
        <f>Population!E32</f>
        <v>31013.89339999999</v>
      </c>
      <c r="E81" s="133" t="str">
        <f t="shared" si="13"/>
        <v>Small</v>
      </c>
      <c r="F81" s="133"/>
      <c r="G81" s="134">
        <f>Variables!$C$3*POWER(SUM(1,Variables!$C$2/100),C81-2017)</f>
        <v>16091.920200722032</v>
      </c>
      <c r="H81" s="134">
        <f t="shared" si="8"/>
        <v>362.36955985655823</v>
      </c>
      <c r="I81" s="135">
        <f>VLOOKUP(B81,'Waste per capita'!$B$2:$F$48,4,FALSE)*(H81/Variables!$C$6)</f>
        <v>155.1109097520812</v>
      </c>
      <c r="J81" s="134">
        <f t="shared" si="9"/>
        <v>4810.5932202280646</v>
      </c>
      <c r="K81" s="136">
        <f>Variables!$C$15</f>
        <v>1</v>
      </c>
      <c r="L81" s="137">
        <f t="shared" si="10"/>
        <v>4810.5932202280646</v>
      </c>
      <c r="N81" s="138">
        <f>Variables!$E$30*Variables!$C$19</f>
        <v>2.2291759999999998</v>
      </c>
      <c r="O81" s="87">
        <f t="shared" si="11"/>
        <v>10723.658952295116</v>
      </c>
      <c r="P81" s="145">
        <f>Variables!$E$29</f>
        <v>48.483938529092256</v>
      </c>
      <c r="Q81" s="146">
        <f t="shared" si="12"/>
        <v>233236.50597800544</v>
      </c>
    </row>
    <row r="82" spans="1:17">
      <c r="A82" s="101">
        <v>32</v>
      </c>
      <c r="B82" s="132" t="s">
        <v>52</v>
      </c>
      <c r="C82" s="101">
        <v>2020</v>
      </c>
      <c r="D82" s="133">
        <f>Population!E33</f>
        <v>28546.504524999993</v>
      </c>
      <c r="E82" s="133" t="str">
        <f t="shared" si="13"/>
        <v>Small</v>
      </c>
      <c r="F82" s="133"/>
      <c r="G82" s="134">
        <f>Variables!$C$3*POWER(SUM(1,Variables!$C$2/100),C82-2017)</f>
        <v>16091.920200722032</v>
      </c>
      <c r="H82" s="134">
        <f t="shared" si="8"/>
        <v>362.36955985655823</v>
      </c>
      <c r="I82" s="135">
        <f>VLOOKUP(B82,'Waste per capita'!$B$2:$F$48,4,FALSE)*(H82/Variables!$C$6)</f>
        <v>155.1109097520812</v>
      </c>
      <c r="J82" s="134">
        <f t="shared" si="9"/>
        <v>4427.8742871146515</v>
      </c>
      <c r="K82" s="136">
        <f>Variables!$C$15</f>
        <v>1</v>
      </c>
      <c r="L82" s="137">
        <f t="shared" si="10"/>
        <v>4427.8742871146515</v>
      </c>
      <c r="N82" s="138">
        <f>Variables!$E$30*Variables!$C$19</f>
        <v>2.2291759999999998</v>
      </c>
      <c r="O82" s="87">
        <f t="shared" si="11"/>
        <v>9870.51109185309</v>
      </c>
      <c r="P82" s="145">
        <f>Variables!$E$29</f>
        <v>48.483938529092256</v>
      </c>
      <c r="Q82" s="146">
        <f t="shared" si="12"/>
        <v>214680.78475101496</v>
      </c>
    </row>
    <row r="83" spans="1:17">
      <c r="A83" s="101">
        <v>33</v>
      </c>
      <c r="B83" s="132" t="s">
        <v>53</v>
      </c>
      <c r="C83" s="101">
        <v>2020</v>
      </c>
      <c r="D83" s="133">
        <f>Population!E34</f>
        <v>122393.82067499997</v>
      </c>
      <c r="E83" s="133" t="str">
        <f t="shared" si="13"/>
        <v>Medium</v>
      </c>
      <c r="F83" s="133"/>
      <c r="G83" s="134">
        <f>Variables!$C$3*POWER(SUM(1,Variables!$C$2/100),C83-2017)</f>
        <v>16091.920200722032</v>
      </c>
      <c r="H83" s="134">
        <f t="shared" si="8"/>
        <v>362.36955985655823</v>
      </c>
      <c r="I83" s="135">
        <f>VLOOKUP(B83,'Waste per capita'!$B$2:$F$48,4,FALSE)*(H83/Variables!$C$6)</f>
        <v>202.93091570725568</v>
      </c>
      <c r="J83" s="134">
        <f t="shared" si="9"/>
        <v>24837.490106487385</v>
      </c>
      <c r="K83" s="136">
        <f>Variables!$C$15</f>
        <v>1</v>
      </c>
      <c r="L83" s="137">
        <f t="shared" si="10"/>
        <v>24837.490106487385</v>
      </c>
      <c r="N83" s="138">
        <f>Variables!$E$30*Variables!$C$19</f>
        <v>2.2291759999999998</v>
      </c>
      <c r="O83" s="87">
        <f t="shared" si="11"/>
        <v>55367.136845619119</v>
      </c>
      <c r="P83" s="145">
        <f>Variables!$E$29</f>
        <v>48.483938529092256</v>
      </c>
      <c r="Q83" s="146">
        <f t="shared" si="12"/>
        <v>1204219.3435398715</v>
      </c>
    </row>
    <row r="84" spans="1:17">
      <c r="A84" s="101">
        <v>34</v>
      </c>
      <c r="B84" s="132" t="s">
        <v>54</v>
      </c>
      <c r="C84" s="101">
        <v>2020</v>
      </c>
      <c r="D84" s="133">
        <f>Population!E35</f>
        <v>108706.25132499998</v>
      </c>
      <c r="E84" s="133" t="str">
        <f t="shared" si="13"/>
        <v>Medium</v>
      </c>
      <c r="F84" s="133"/>
      <c r="G84" s="134">
        <f>Variables!$C$3*POWER(SUM(1,Variables!$C$2/100),C84-2017)</f>
        <v>16091.920200722032</v>
      </c>
      <c r="H84" s="134">
        <f t="shared" si="8"/>
        <v>362.36955985655823</v>
      </c>
      <c r="I84" s="135">
        <f>VLOOKUP(B84,'Waste per capita'!$B$2:$F$48,4,FALSE)*(H84/Variables!$C$6)</f>
        <v>141.1033841021133</v>
      </c>
      <c r="J84" s="134">
        <f t="shared" si="9"/>
        <v>15338.819935012332</v>
      </c>
      <c r="K84" s="136">
        <f>Variables!$C$15</f>
        <v>1</v>
      </c>
      <c r="L84" s="137">
        <f t="shared" si="10"/>
        <v>15338.819935012332</v>
      </c>
      <c r="N84" s="138">
        <f>Variables!$E$30*Variables!$C$19</f>
        <v>2.2291759999999998</v>
      </c>
      <c r="O84" s="87">
        <f t="shared" si="11"/>
        <v>34192.929267451051</v>
      </c>
      <c r="P84" s="145">
        <f>Variables!$E$29</f>
        <v>48.483938529092256</v>
      </c>
      <c r="Q84" s="146">
        <f t="shared" si="12"/>
        <v>743686.40283795283</v>
      </c>
    </row>
    <row r="85" spans="1:17">
      <c r="A85" s="101">
        <v>35</v>
      </c>
      <c r="B85" s="132" t="s">
        <v>55</v>
      </c>
      <c r="C85" s="101">
        <v>2020</v>
      </c>
      <c r="D85" s="133">
        <f>Population!E36</f>
        <v>496466.45772499987</v>
      </c>
      <c r="E85" s="133" t="str">
        <f t="shared" si="13"/>
        <v>Medium</v>
      </c>
      <c r="F85" s="133"/>
      <c r="G85" s="134">
        <f>Variables!$C$3*POWER(SUM(1,Variables!$C$2/100),C85-2017)</f>
        <v>16091.920200722032</v>
      </c>
      <c r="H85" s="134">
        <f t="shared" si="8"/>
        <v>362.36955985655823</v>
      </c>
      <c r="I85" s="135">
        <f>VLOOKUP(B85,'Waste per capita'!$B$2:$F$48,4,FALSE)*(H85/Variables!$C$6)</f>
        <v>141.1033841021133</v>
      </c>
      <c r="J85" s="134">
        <f t="shared" si="9"/>
        <v>70053.097278186251</v>
      </c>
      <c r="K85" s="136">
        <f>Variables!$C$15</f>
        <v>1</v>
      </c>
      <c r="L85" s="137">
        <f t="shared" si="10"/>
        <v>70053.097278186251</v>
      </c>
      <c r="N85" s="138">
        <f>Variables!$E$30*Variables!$C$19</f>
        <v>2.2291759999999998</v>
      </c>
      <c r="O85" s="87">
        <f t="shared" si="11"/>
        <v>156160.68317819812</v>
      </c>
      <c r="P85" s="145">
        <f>Variables!$E$29</f>
        <v>48.483938529092256</v>
      </c>
      <c r="Q85" s="146">
        <f t="shared" si="12"/>
        <v>3396450.0622081021</v>
      </c>
    </row>
    <row r="86" spans="1:17">
      <c r="A86" s="101">
        <v>36</v>
      </c>
      <c r="B86" s="132" t="s">
        <v>56</v>
      </c>
      <c r="C86" s="101">
        <v>2020</v>
      </c>
      <c r="D86" s="133">
        <f>Population!E37</f>
        <v>266256.5001249999</v>
      </c>
      <c r="E86" s="133" t="str">
        <f t="shared" si="13"/>
        <v>Medium</v>
      </c>
      <c r="F86" s="133"/>
      <c r="G86" s="134">
        <f>Variables!$C$3*POWER(SUM(1,Variables!$C$2/100),C86-2017)</f>
        <v>16091.920200722032</v>
      </c>
      <c r="H86" s="134">
        <f t="shared" si="8"/>
        <v>362.36955985655823</v>
      </c>
      <c r="I86" s="135">
        <f>VLOOKUP(B86,'Waste per capita'!$B$2:$F$48,4,FALSE)*(H86/Variables!$C$6)</f>
        <v>229.27288427460385</v>
      </c>
      <c r="J86" s="134">
        <f t="shared" si="9"/>
        <v>61045.395740520151</v>
      </c>
      <c r="K86" s="136">
        <f>Variables!$C$15</f>
        <v>1</v>
      </c>
      <c r="L86" s="137">
        <f t="shared" si="10"/>
        <v>61045.395740520151</v>
      </c>
      <c r="N86" s="138">
        <f>Variables!$E$30*Variables!$C$19</f>
        <v>2.2291759999999998</v>
      </c>
      <c r="O86" s="87">
        <f t="shared" si="11"/>
        <v>136080.93109526974</v>
      </c>
      <c r="P86" s="145">
        <f>Variables!$E$29</f>
        <v>48.483938529092256</v>
      </c>
      <c r="Q86" s="146">
        <f t="shared" si="12"/>
        <v>2959721.2145674895</v>
      </c>
    </row>
    <row r="87" spans="1:17">
      <c r="A87" s="101">
        <v>37</v>
      </c>
      <c r="B87" s="132" t="s">
        <v>57</v>
      </c>
      <c r="C87" s="101">
        <v>2020</v>
      </c>
      <c r="D87" s="133">
        <f>Population!E38</f>
        <v>124102.96394999996</v>
      </c>
      <c r="E87" s="133" t="str">
        <f t="shared" si="13"/>
        <v>Medium</v>
      </c>
      <c r="F87" s="133"/>
      <c r="G87" s="134">
        <f>Variables!$C$3*POWER(SUM(1,Variables!$C$2/100),C87-2017)</f>
        <v>16091.920200722032</v>
      </c>
      <c r="H87" s="134">
        <f t="shared" si="8"/>
        <v>362.36955985655823</v>
      </c>
      <c r="I87" s="135">
        <f>VLOOKUP(B87,'Waste per capita'!$B$2:$F$48,4,FALSE)*(H87/Variables!$C$6)</f>
        <v>141.1033841021133</v>
      </c>
      <c r="J87" s="134">
        <f t="shared" si="9"/>
        <v>17511.348190447567</v>
      </c>
      <c r="K87" s="136">
        <f>Variables!$C$15</f>
        <v>1</v>
      </c>
      <c r="L87" s="137">
        <f t="shared" si="10"/>
        <v>17511.348190447567</v>
      </c>
      <c r="N87" s="138">
        <f>Variables!$E$30*Variables!$C$19</f>
        <v>2.2291759999999998</v>
      </c>
      <c r="O87" s="87">
        <f t="shared" si="11"/>
        <v>39035.877113789138</v>
      </c>
      <c r="P87" s="145">
        <f>Variables!$E$29</f>
        <v>48.483938529092256</v>
      </c>
      <c r="Q87" s="146">
        <f t="shared" si="12"/>
        <v>849019.12922719074</v>
      </c>
    </row>
    <row r="88" spans="1:17">
      <c r="A88" s="101">
        <v>38</v>
      </c>
      <c r="B88" s="132" t="s">
        <v>58</v>
      </c>
      <c r="C88" s="101">
        <v>2020</v>
      </c>
      <c r="D88" s="133">
        <f>Population!E39</f>
        <v>36630.68009999999</v>
      </c>
      <c r="E88" s="133" t="str">
        <f t="shared" si="13"/>
        <v>Small</v>
      </c>
      <c r="F88" s="133"/>
      <c r="G88" s="134">
        <f>Variables!$C$3*POWER(SUM(1,Variables!$C$2/100),C88-2017)</f>
        <v>16091.920200722032</v>
      </c>
      <c r="H88" s="134">
        <f t="shared" si="8"/>
        <v>362.36955985655823</v>
      </c>
      <c r="I88" s="135">
        <f>VLOOKUP(B88,'Waste per capita'!$B$2:$F$48,4,FALSE)*(H88/Variables!$C$6)</f>
        <v>309.71951033586839</v>
      </c>
      <c r="J88" s="134">
        <f t="shared" si="9"/>
        <v>11345.236303841835</v>
      </c>
      <c r="K88" s="136">
        <f>Variables!$C$15</f>
        <v>1</v>
      </c>
      <c r="L88" s="137">
        <f t="shared" si="10"/>
        <v>11345.236303841835</v>
      </c>
      <c r="N88" s="138">
        <f>Variables!$E$30*Variables!$C$19</f>
        <v>2.2291759999999998</v>
      </c>
      <c r="O88" s="87">
        <f t="shared" si="11"/>
        <v>25290.528482852926</v>
      </c>
      <c r="P88" s="145">
        <f>Variables!$E$29</f>
        <v>48.483938529092256</v>
      </c>
      <c r="Q88" s="146">
        <f t="shared" si="12"/>
        <v>550061.73955349333</v>
      </c>
    </row>
    <row r="89" spans="1:17">
      <c r="A89" s="101">
        <v>39</v>
      </c>
      <c r="B89" s="132" t="s">
        <v>59</v>
      </c>
      <c r="C89" s="101">
        <v>2020</v>
      </c>
      <c r="D89" s="133">
        <f>Population!E40</f>
        <v>69146.641549999986</v>
      </c>
      <c r="E89" s="133" t="str">
        <f t="shared" si="13"/>
        <v>Small</v>
      </c>
      <c r="F89" s="133"/>
      <c r="G89" s="134">
        <f>Variables!$C$3*POWER(SUM(1,Variables!$C$2/100),C89-2017)</f>
        <v>16091.920200722032</v>
      </c>
      <c r="H89" s="134">
        <f t="shared" si="8"/>
        <v>362.36955985655823</v>
      </c>
      <c r="I89" s="135">
        <f>VLOOKUP(B89,'Waste per capita'!$B$2:$F$48,4,FALSE)*(H89/Variables!$C$6)</f>
        <v>155.1109097520812</v>
      </c>
      <c r="J89" s="134">
        <f t="shared" si="9"/>
        <v>10725.398477121556</v>
      </c>
      <c r="K89" s="136">
        <f>Variables!$C$15</f>
        <v>1</v>
      </c>
      <c r="L89" s="137">
        <f t="shared" si="10"/>
        <v>10725.398477121556</v>
      </c>
      <c r="N89" s="138">
        <f>Variables!$E$30*Variables!$C$19</f>
        <v>2.2291759999999998</v>
      </c>
      <c r="O89" s="87">
        <f t="shared" si="11"/>
        <v>23908.80087563592</v>
      </c>
      <c r="P89" s="145">
        <f>Variables!$E$29</f>
        <v>48.483938529092256</v>
      </c>
      <c r="Q89" s="146">
        <f t="shared" si="12"/>
        <v>520009.56046478124</v>
      </c>
    </row>
    <row r="90" spans="1:17">
      <c r="A90" s="101">
        <v>40</v>
      </c>
      <c r="B90" s="132" t="s">
        <v>60</v>
      </c>
      <c r="C90" s="101">
        <v>2020</v>
      </c>
      <c r="D90" s="133">
        <f>Population!E41</f>
        <v>3127.7630999999992</v>
      </c>
      <c r="E90" s="133" t="str">
        <f t="shared" si="13"/>
        <v>Small</v>
      </c>
      <c r="F90" s="133"/>
      <c r="G90" s="134">
        <f>Variables!$C$3*POWER(SUM(1,Variables!$C$2/100),C90-2017)</f>
        <v>16091.920200722032</v>
      </c>
      <c r="H90" s="134">
        <f t="shared" si="8"/>
        <v>362.36955985655823</v>
      </c>
      <c r="I90" s="135">
        <f>VLOOKUP(B90,'Waste per capita'!$B$2:$F$48,4,FALSE)*(H90/Variables!$C$6)</f>
        <v>160.89325212252902</v>
      </c>
      <c r="J90" s="134">
        <f t="shared" si="9"/>
        <v>503.23597702784281</v>
      </c>
      <c r="K90" s="136">
        <f>Variables!$C$15</f>
        <v>1</v>
      </c>
      <c r="L90" s="137">
        <f t="shared" si="10"/>
        <v>503.23597702784281</v>
      </c>
      <c r="N90" s="138">
        <f>Variables!$E$30*Variables!$C$19</f>
        <v>2.2291759999999998</v>
      </c>
      <c r="O90" s="87">
        <f t="shared" si="11"/>
        <v>1121.8015623270185</v>
      </c>
      <c r="P90" s="145">
        <f>Variables!$E$29</f>
        <v>48.483938529092256</v>
      </c>
      <c r="Q90" s="146">
        <f t="shared" si="12"/>
        <v>24398.862175845614</v>
      </c>
    </row>
    <row r="91" spans="1:17">
      <c r="A91" s="101">
        <v>41</v>
      </c>
      <c r="B91" s="132" t="s">
        <v>61</v>
      </c>
      <c r="C91" s="101">
        <v>2020</v>
      </c>
      <c r="D91" s="133">
        <f>Population!E42</f>
        <v>53902.402224999983</v>
      </c>
      <c r="E91" s="133" t="str">
        <f t="shared" si="13"/>
        <v>Small</v>
      </c>
      <c r="F91" s="133"/>
      <c r="G91" s="134">
        <f>Variables!$C$3*POWER(SUM(1,Variables!$C$2/100),C91-2017)</f>
        <v>16091.920200722032</v>
      </c>
      <c r="H91" s="134">
        <f t="shared" si="8"/>
        <v>362.36955985655823</v>
      </c>
      <c r="I91" s="135">
        <f>VLOOKUP(B91,'Waste per capita'!$B$2:$F$48,4,FALSE)*(H91/Variables!$C$6)</f>
        <v>155.1109097520812</v>
      </c>
      <c r="J91" s="134">
        <f t="shared" si="9"/>
        <v>8360.8506469423537</v>
      </c>
      <c r="K91" s="136">
        <f>Variables!$C$15</f>
        <v>1</v>
      </c>
      <c r="L91" s="137">
        <f t="shared" si="10"/>
        <v>8360.8506469423537</v>
      </c>
      <c r="N91" s="138">
        <f>Variables!$E$30*Variables!$C$19</f>
        <v>2.2291759999999998</v>
      </c>
      <c r="O91" s="87">
        <f t="shared" si="11"/>
        <v>18637.807601748365</v>
      </c>
      <c r="P91" s="145">
        <f>Variables!$E$29</f>
        <v>48.483938529092256</v>
      </c>
      <c r="Q91" s="146">
        <f t="shared" si="12"/>
        <v>405366.96881727432</v>
      </c>
    </row>
    <row r="92" spans="1:17">
      <c r="A92" s="101">
        <v>42</v>
      </c>
      <c r="B92" s="139" t="s">
        <v>62</v>
      </c>
      <c r="C92" s="101">
        <v>2020</v>
      </c>
      <c r="D92" s="133">
        <f>Population!E43</f>
        <v>46896.872224999985</v>
      </c>
      <c r="E92" s="133" t="str">
        <f t="shared" si="13"/>
        <v>Small</v>
      </c>
      <c r="F92" s="133"/>
      <c r="G92" s="134">
        <f>Variables!$C$3*POWER(SUM(1,Variables!$C$2/100),C92-2017)</f>
        <v>16091.920200722032</v>
      </c>
      <c r="H92" s="134">
        <f t="shared" si="8"/>
        <v>362.36955985655823</v>
      </c>
      <c r="I92" s="135">
        <f>VLOOKUP(B92,'Waste per capita'!$B$2:$F$48,4,FALSE)*(H92/Variables!$C$6)</f>
        <v>155.1109097520812</v>
      </c>
      <c r="J92" s="134">
        <f t="shared" si="9"/>
        <v>7274.2165153468559</v>
      </c>
      <c r="K92" s="136">
        <f>Variables!$C$15</f>
        <v>1</v>
      </c>
      <c r="L92" s="137">
        <f t="shared" si="10"/>
        <v>7274.2165153468559</v>
      </c>
      <c r="N92" s="138">
        <f>Variables!$E$30*Variables!$C$19</f>
        <v>2.2291759999999998</v>
      </c>
      <c r="O92" s="87">
        <f t="shared" si="11"/>
        <v>16215.508874814841</v>
      </c>
      <c r="P92" s="145">
        <f>Variables!$E$29</f>
        <v>48.483938529092256</v>
      </c>
      <c r="Q92" s="146">
        <f t="shared" si="12"/>
        <v>352682.66637738462</v>
      </c>
    </row>
    <row r="93" spans="1:17">
      <c r="A93" s="101">
        <v>43</v>
      </c>
      <c r="B93" s="139" t="s">
        <v>63</v>
      </c>
      <c r="C93" s="101">
        <v>2020</v>
      </c>
      <c r="D93" s="133">
        <f>Population!E44</f>
        <v>24763.518324999994</v>
      </c>
      <c r="E93" s="133" t="str">
        <f t="shared" si="13"/>
        <v>Small</v>
      </c>
      <c r="F93" s="133"/>
      <c r="G93" s="134">
        <f>Variables!$C$3*POWER(SUM(1,Variables!$C$2/100),C93-2017)</f>
        <v>16091.920200722032</v>
      </c>
      <c r="H93" s="134">
        <f t="shared" si="8"/>
        <v>362.36955985655823</v>
      </c>
      <c r="I93" s="135">
        <f>VLOOKUP(B93,'Waste per capita'!$B$2:$F$48,4,FALSE)*(H93/Variables!$C$6)</f>
        <v>155.1109097520812</v>
      </c>
      <c r="J93" s="134">
        <f t="shared" si="9"/>
        <v>3841.0918560530831</v>
      </c>
      <c r="K93" s="136">
        <f>Variables!$C$15</f>
        <v>1</v>
      </c>
      <c r="L93" s="137">
        <f t="shared" si="10"/>
        <v>3841.0918560530831</v>
      </c>
      <c r="N93" s="138">
        <f>Variables!$E$30*Variables!$C$19</f>
        <v>2.2291759999999998</v>
      </c>
      <c r="O93" s="87">
        <f t="shared" si="11"/>
        <v>8562.4697793089872</v>
      </c>
      <c r="P93" s="145">
        <f>Variables!$E$29</f>
        <v>48.483938529092256</v>
      </c>
      <c r="Q93" s="146">
        <f t="shared" si="12"/>
        <v>186231.26143347457</v>
      </c>
    </row>
    <row r="94" spans="1:17">
      <c r="A94" s="101">
        <v>44</v>
      </c>
      <c r="B94" s="85" t="s">
        <v>108</v>
      </c>
      <c r="C94" s="101">
        <v>2020</v>
      </c>
      <c r="D94" s="133">
        <f>Population!E45</f>
        <v>68315.249974999984</v>
      </c>
      <c r="E94" s="133" t="str">
        <f t="shared" si="13"/>
        <v>Small</v>
      </c>
      <c r="F94" s="133"/>
      <c r="G94" s="134">
        <f>Variables!$C$3*POWER(SUM(1,Variables!$C$2/100),C94-2017)</f>
        <v>16091.920200722032</v>
      </c>
      <c r="H94" s="134">
        <f t="shared" si="8"/>
        <v>362.36955985655823</v>
      </c>
      <c r="I94" s="135">
        <f>VLOOKUP(B94,'Waste per capita'!$B$2:$F$48,4,FALSE)*(H94/Variables!$C$6)</f>
        <v>155.1109097520812</v>
      </c>
      <c r="J94" s="134">
        <f t="shared" si="9"/>
        <v>10596.44057356309</v>
      </c>
      <c r="K94" s="136">
        <f>Variables!$C$15</f>
        <v>1</v>
      </c>
      <c r="L94" s="137">
        <f t="shared" si="10"/>
        <v>10596.44057356309</v>
      </c>
      <c r="N94" s="138">
        <f>Variables!$E$30*Variables!$C$19</f>
        <v>2.2291759999999998</v>
      </c>
      <c r="O94" s="87">
        <f t="shared" si="11"/>
        <v>23621.331012013074</v>
      </c>
      <c r="P94" s="145">
        <f>Variables!$E$29</f>
        <v>48.483938529092256</v>
      </c>
      <c r="Q94" s="146">
        <f t="shared" si="12"/>
        <v>513757.17339581193</v>
      </c>
    </row>
    <row r="95" spans="1:17">
      <c r="A95" s="101">
        <v>45</v>
      </c>
      <c r="B95" s="139" t="s">
        <v>64</v>
      </c>
      <c r="C95" s="101">
        <v>2020</v>
      </c>
      <c r="D95" s="133">
        <f>Population!E46</f>
        <v>24329.793599999994</v>
      </c>
      <c r="E95" s="133" t="str">
        <f t="shared" si="13"/>
        <v>Small</v>
      </c>
      <c r="F95" s="133"/>
      <c r="G95" s="134">
        <f>Variables!$C$3*POWER(SUM(1,Variables!$C$2/100),C95-2017)</f>
        <v>16091.920200722032</v>
      </c>
      <c r="H95" s="134">
        <f t="shared" si="8"/>
        <v>362.36955985655823</v>
      </c>
      <c r="I95" s="135">
        <f>VLOOKUP(B95,'Waste per capita'!$B$2:$F$48,4,FALSE)*(H95/Variables!$C$6)</f>
        <v>155.1109097520812</v>
      </c>
      <c r="J95" s="134">
        <f t="shared" si="9"/>
        <v>3773.8164193763619</v>
      </c>
      <c r="K95" s="136">
        <f>Variables!$C$15</f>
        <v>1</v>
      </c>
      <c r="L95" s="137">
        <f t="shared" si="10"/>
        <v>3773.8164193763619</v>
      </c>
      <c r="N95" s="138">
        <f>Variables!$E$30*Variables!$C$19</f>
        <v>2.2291759999999998</v>
      </c>
      <c r="O95" s="87">
        <f t="shared" si="11"/>
        <v>8412.5009904797207</v>
      </c>
      <c r="P95" s="145">
        <f>Variables!$E$29</f>
        <v>48.483938529092256</v>
      </c>
      <c r="Q95" s="146">
        <f t="shared" si="12"/>
        <v>182969.48329712258</v>
      </c>
    </row>
    <row r="96" spans="1:17">
      <c r="A96" s="101">
        <v>46</v>
      </c>
      <c r="B96" s="139" t="s">
        <v>65</v>
      </c>
      <c r="C96" s="101">
        <v>2020</v>
      </c>
      <c r="D96" s="133">
        <f>Population!E47</f>
        <v>31095.281174999993</v>
      </c>
      <c r="E96" s="133" t="str">
        <f t="shared" si="13"/>
        <v>Small</v>
      </c>
      <c r="F96" s="133"/>
      <c r="G96" s="134">
        <f>Variables!$C$3*POWER(SUM(1,Variables!$C$2/100),C96-2017)</f>
        <v>16091.920200722032</v>
      </c>
      <c r="H96" s="134">
        <f t="shared" si="8"/>
        <v>362.36955985655823</v>
      </c>
      <c r="I96" s="135">
        <f>VLOOKUP(B96,'Waste per capita'!$B$2:$F$48,4,FALSE)*(H96/Variables!$C$6)</f>
        <v>171.58166366021436</v>
      </c>
      <c r="J96" s="134">
        <f t="shared" si="9"/>
        <v>5335.3800759886435</v>
      </c>
      <c r="K96" s="136">
        <f>Variables!$C$15</f>
        <v>1</v>
      </c>
      <c r="L96" s="137">
        <f t="shared" si="10"/>
        <v>5335.3800759886435</v>
      </c>
      <c r="N96" s="138">
        <f>Variables!$E$30*Variables!$C$19</f>
        <v>2.2291759999999998</v>
      </c>
      <c r="O96" s="87">
        <f t="shared" si="11"/>
        <v>11893.50121627206</v>
      </c>
      <c r="P96" s="145">
        <f>Variables!$E$29</f>
        <v>48.483938529092256</v>
      </c>
      <c r="Q96" s="146">
        <f t="shared" si="12"/>
        <v>258680.23963357697</v>
      </c>
    </row>
    <row r="97" spans="1:17">
      <c r="A97" s="101">
        <v>47</v>
      </c>
      <c r="B97" s="85" t="s">
        <v>107</v>
      </c>
      <c r="C97" s="101">
        <v>2020</v>
      </c>
      <c r="D97" s="133">
        <f>Population!E48</f>
        <v>69500.008724999978</v>
      </c>
      <c r="E97" s="133" t="str">
        <f t="shared" si="13"/>
        <v>Small</v>
      </c>
      <c r="F97" s="133"/>
      <c r="G97" s="134">
        <f>Variables!$C$3*POWER(SUM(1,Variables!$C$2/100),C97-2017)</f>
        <v>16091.920200722032</v>
      </c>
      <c r="H97" s="134">
        <f t="shared" si="8"/>
        <v>362.36955985655823</v>
      </c>
      <c r="I97" s="135">
        <f>VLOOKUP(B97,'Waste per capita'!$B$2:$F$48,4,FALSE)*(H97/Variables!$C$6)</f>
        <v>155.1109097520812</v>
      </c>
      <c r="J97" s="134">
        <f t="shared" si="9"/>
        <v>10780.209581112327</v>
      </c>
      <c r="K97" s="136">
        <f>Variables!$C$15</f>
        <v>1</v>
      </c>
      <c r="L97" s="137">
        <f t="shared" si="10"/>
        <v>10780.209581112327</v>
      </c>
      <c r="N97" s="138">
        <f>Variables!$E$30*Variables!$C$19</f>
        <v>2.2291759999999998</v>
      </c>
      <c r="O97" s="87">
        <f t="shared" si="11"/>
        <v>24030.98447318565</v>
      </c>
      <c r="P97" s="145">
        <f>Variables!$E$29</f>
        <v>48.483938529092256</v>
      </c>
      <c r="Q97" s="146">
        <f t="shared" si="12"/>
        <v>522667.01866138144</v>
      </c>
    </row>
    <row r="98" spans="1:17">
      <c r="A98" s="101">
        <v>1</v>
      </c>
      <c r="B98" s="132" t="s">
        <v>21</v>
      </c>
      <c r="C98" s="101">
        <v>2021</v>
      </c>
      <c r="D98" s="133">
        <f>Population!F2</f>
        <v>7509506.8340328718</v>
      </c>
      <c r="E98" s="133" t="str">
        <f t="shared" si="13"/>
        <v>Large</v>
      </c>
      <c r="F98" s="133"/>
      <c r="G98" s="134">
        <f>Variables!$C$3*POWER(SUM(1,Variables!$C$2/100),C98-2017)</f>
        <v>16657.712114979422</v>
      </c>
      <c r="H98" s="134">
        <f t="shared" si="8"/>
        <v>367.67076932249984</v>
      </c>
      <c r="I98" s="135">
        <f>VLOOKUP(B98,'Waste per capita'!$B$2:$F$48,4,FALSE)*(H98/Variables!$C$6)</f>
        <v>327.17202415535678</v>
      </c>
      <c r="J98" s="134">
        <f t="shared" si="9"/>
        <v>2456900.5512990193</v>
      </c>
      <c r="K98" s="136">
        <f>Variables!$C$15</f>
        <v>1</v>
      </c>
      <c r="L98" s="137">
        <f t="shared" si="10"/>
        <v>2456900.5512990193</v>
      </c>
      <c r="N98" s="138">
        <f>Variables!$E$30*Variables!$C$19</f>
        <v>2.2291759999999998</v>
      </c>
      <c r="O98" s="87">
        <f t="shared" si="11"/>
        <v>5476863.7433425421</v>
      </c>
      <c r="P98" s="145">
        <f>Variables!$E$29</f>
        <v>48.483938529092256</v>
      </c>
      <c r="Q98" s="146">
        <f t="shared" si="12"/>
        <v>119120215.30127452</v>
      </c>
    </row>
    <row r="99" spans="1:17">
      <c r="A99" s="101">
        <v>2</v>
      </c>
      <c r="B99" s="132" t="s">
        <v>22</v>
      </c>
      <c r="C99" s="101">
        <v>2021</v>
      </c>
      <c r="D99" s="133">
        <f>Population!F3</f>
        <v>2480694.179363749</v>
      </c>
      <c r="E99" s="133" t="str">
        <f t="shared" si="13"/>
        <v>Large</v>
      </c>
      <c r="F99" s="133"/>
      <c r="G99" s="134">
        <f>Variables!$C$3*POWER(SUM(1,Variables!$C$2/100),C99-2017)</f>
        <v>16657.712114979422</v>
      </c>
      <c r="H99" s="134">
        <f t="shared" si="8"/>
        <v>367.67076932249984</v>
      </c>
      <c r="I99" s="135">
        <f>VLOOKUP(B99,'Waste per capita'!$B$2:$F$48,4,FALSE)*(H99/Variables!$C$6)</f>
        <v>146.59942177382882</v>
      </c>
      <c r="J99" s="134">
        <f t="shared" si="9"/>
        <v>363668.33229242841</v>
      </c>
      <c r="K99" s="136">
        <f>Variables!$C$15</f>
        <v>1</v>
      </c>
      <c r="L99" s="137">
        <f t="shared" si="10"/>
        <v>363668.33229242841</v>
      </c>
      <c r="N99" s="138">
        <f>Variables!$E$30*Variables!$C$19</f>
        <v>2.2291759999999998</v>
      </c>
      <c r="O99" s="87">
        <f t="shared" si="11"/>
        <v>810680.71830630628</v>
      </c>
      <c r="P99" s="145">
        <f>Variables!$E$29</f>
        <v>48.483938529092256</v>
      </c>
      <c r="Q99" s="146">
        <f t="shared" si="12"/>
        <v>17632073.067843597</v>
      </c>
    </row>
    <row r="100" spans="1:17">
      <c r="A100" s="101">
        <v>3</v>
      </c>
      <c r="B100" s="132" t="s">
        <v>23</v>
      </c>
      <c r="C100" s="101">
        <v>2021</v>
      </c>
      <c r="D100" s="133">
        <f>Population!F4</f>
        <v>1906134.6937578742</v>
      </c>
      <c r="E100" s="133" t="str">
        <f t="shared" si="13"/>
        <v>Large</v>
      </c>
      <c r="F100" s="133"/>
      <c r="G100" s="134">
        <f>Variables!$C$3*POWER(SUM(1,Variables!$C$2/100),C100-2017)</f>
        <v>16657.712114979422</v>
      </c>
      <c r="H100" s="134">
        <f t="shared" si="8"/>
        <v>367.67076932249984</v>
      </c>
      <c r="I100" s="135">
        <f>VLOOKUP(B100,'Waste per capita'!$B$2:$F$48,4,FALSE)*(H100/Variables!$C$6)</f>
        <v>109.00569757350448</v>
      </c>
      <c r="J100" s="134">
        <f t="shared" si="9"/>
        <v>207779.54196213541</v>
      </c>
      <c r="K100" s="136">
        <f>Variables!$C$15</f>
        <v>1</v>
      </c>
      <c r="L100" s="137">
        <f t="shared" si="10"/>
        <v>207779.54196213541</v>
      </c>
      <c r="N100" s="138">
        <f>Variables!$E$30*Variables!$C$19</f>
        <v>2.2291759999999998</v>
      </c>
      <c r="O100" s="87">
        <f t="shared" si="11"/>
        <v>463177.16823298513</v>
      </c>
      <c r="P100" s="145">
        <f>Variables!$E$29</f>
        <v>48.483938529092256</v>
      </c>
      <c r="Q100" s="146">
        <f t="shared" si="12"/>
        <v>10073970.540095119</v>
      </c>
    </row>
    <row r="101" spans="1:17">
      <c r="A101" s="101">
        <v>4</v>
      </c>
      <c r="B101" s="132" t="s">
        <v>24</v>
      </c>
      <c r="C101" s="101">
        <v>2021</v>
      </c>
      <c r="D101" s="133">
        <f>Population!F5</f>
        <v>1171267.4848726245</v>
      </c>
      <c r="E101" s="133" t="str">
        <f t="shared" si="13"/>
        <v>Large</v>
      </c>
      <c r="F101" s="133"/>
      <c r="G101" s="134">
        <f>Variables!$C$3*POWER(SUM(1,Variables!$C$2/100),C101-2017)</f>
        <v>16657.712114979422</v>
      </c>
      <c r="H101" s="134">
        <f t="shared" si="8"/>
        <v>367.67076932249984</v>
      </c>
      <c r="I101" s="135">
        <f>VLOOKUP(B101,'Waste per capita'!$B$2:$F$48,4,FALSE)*(H101/Variables!$C$6)</f>
        <v>375.46406941984878</v>
      </c>
      <c r="J101" s="134">
        <f t="shared" si="9"/>
        <v>439768.85624942678</v>
      </c>
      <c r="K101" s="136">
        <f>Variables!$C$15</f>
        <v>1</v>
      </c>
      <c r="L101" s="137">
        <f t="shared" si="10"/>
        <v>439768.85624942678</v>
      </c>
      <c r="N101" s="138">
        <f>Variables!$E$30*Variables!$C$19</f>
        <v>2.2291759999999998</v>
      </c>
      <c r="O101" s="87">
        <f t="shared" si="11"/>
        <v>980322.17989867216</v>
      </c>
      <c r="P101" s="145">
        <f>Variables!$E$29</f>
        <v>48.483938529092256</v>
      </c>
      <c r="Q101" s="146">
        <f t="shared" si="12"/>
        <v>21321726.193406418</v>
      </c>
    </row>
    <row r="102" spans="1:17">
      <c r="A102" s="101">
        <v>5</v>
      </c>
      <c r="B102" s="132" t="s">
        <v>25</v>
      </c>
      <c r="C102" s="101">
        <v>2021</v>
      </c>
      <c r="D102" s="133">
        <f>Population!F6</f>
        <v>553012.23701062484</v>
      </c>
      <c r="E102" s="133" t="str">
        <f t="shared" si="13"/>
        <v>Medium</v>
      </c>
      <c r="F102" s="133"/>
      <c r="G102" s="134">
        <f>Variables!$C$3*POWER(SUM(1,Variables!$C$2/100),C102-2017)</f>
        <v>16657.712114979422</v>
      </c>
      <c r="H102" s="134">
        <f t="shared" si="8"/>
        <v>367.67076932249984</v>
      </c>
      <c r="I102" s="135">
        <f>VLOOKUP(B102,'Waste per capita'!$B$2:$F$48,4,FALSE)*(H102/Variables!$C$6)</f>
        <v>143.16762646224589</v>
      </c>
      <c r="J102" s="134">
        <f t="shared" si="9"/>
        <v>79173.44937738814</v>
      </c>
      <c r="K102" s="136">
        <f>Variables!$C$15</f>
        <v>1</v>
      </c>
      <c r="L102" s="137">
        <f t="shared" si="10"/>
        <v>79173.44937738814</v>
      </c>
      <c r="N102" s="138">
        <f>Variables!$E$30*Variables!$C$19</f>
        <v>2.2291759999999998</v>
      </c>
      <c r="O102" s="87">
        <f t="shared" si="11"/>
        <v>176491.55318928856</v>
      </c>
      <c r="P102" s="145">
        <f>Variables!$E$29</f>
        <v>48.483938529092256</v>
      </c>
      <c r="Q102" s="146">
        <f t="shared" si="12"/>
        <v>3838640.6527494844</v>
      </c>
    </row>
    <row r="103" spans="1:17">
      <c r="A103" s="101">
        <v>6</v>
      </c>
      <c r="B103" s="132" t="s">
        <v>26</v>
      </c>
      <c r="C103" s="101">
        <v>2021</v>
      </c>
      <c r="D103" s="133">
        <f>Population!F7</f>
        <v>928505.93036774965</v>
      </c>
      <c r="E103" s="133" t="str">
        <f t="shared" si="13"/>
        <v>Medium</v>
      </c>
      <c r="F103" s="133"/>
      <c r="G103" s="134">
        <f>Variables!$C$3*POWER(SUM(1,Variables!$C$2/100),C103-2017)</f>
        <v>16657.712114979422</v>
      </c>
      <c r="H103" s="134">
        <f t="shared" si="8"/>
        <v>367.67076932249984</v>
      </c>
      <c r="I103" s="135">
        <f>VLOOKUP(B103,'Waste per capita'!$B$2:$F$48,4,FALSE)*(H103/Variables!$C$6)</f>
        <v>143.16762646224589</v>
      </c>
      <c r="J103" s="134">
        <f t="shared" si="9"/>
        <v>132931.99020687008</v>
      </c>
      <c r="K103" s="136">
        <f>Variables!$C$15</f>
        <v>1</v>
      </c>
      <c r="L103" s="137">
        <f t="shared" si="10"/>
        <v>132931.99020687008</v>
      </c>
      <c r="N103" s="138">
        <f>Variables!$E$30*Variables!$C$19</f>
        <v>2.2291759999999998</v>
      </c>
      <c r="O103" s="87">
        <f t="shared" si="11"/>
        <v>296328.8022013898</v>
      </c>
      <c r="P103" s="145">
        <f>Variables!$E$29</f>
        <v>48.483938529092256</v>
      </c>
      <c r="Q103" s="146">
        <f t="shared" si="12"/>
        <v>6445066.4417397827</v>
      </c>
    </row>
    <row r="104" spans="1:17">
      <c r="A104" s="101">
        <v>7</v>
      </c>
      <c r="B104" s="132" t="s">
        <v>27</v>
      </c>
      <c r="C104" s="101">
        <v>2021</v>
      </c>
      <c r="D104" s="133">
        <f>Population!F8</f>
        <v>658164.60872224974</v>
      </c>
      <c r="E104" s="133" t="str">
        <f t="shared" si="13"/>
        <v>Medium</v>
      </c>
      <c r="F104" s="133"/>
      <c r="G104" s="134">
        <f>Variables!$C$3*POWER(SUM(1,Variables!$C$2/100),C104-2017)</f>
        <v>16657.712114979422</v>
      </c>
      <c r="H104" s="134">
        <f t="shared" si="8"/>
        <v>367.67076932249984</v>
      </c>
      <c r="I104" s="135">
        <f>VLOOKUP(B104,'Waste per capita'!$B$2:$F$48,4,FALSE)*(H104/Variables!$C$6)</f>
        <v>143.16762646224589</v>
      </c>
      <c r="J104" s="134">
        <f t="shared" si="9"/>
        <v>94227.864852217273</v>
      </c>
      <c r="K104" s="136">
        <f>Variables!$C$15</f>
        <v>1</v>
      </c>
      <c r="L104" s="137">
        <f t="shared" si="10"/>
        <v>94227.864852217273</v>
      </c>
      <c r="N104" s="138">
        <f>Variables!$E$30*Variables!$C$19</f>
        <v>2.2291759999999998</v>
      </c>
      <c r="O104" s="87">
        <f t="shared" si="11"/>
        <v>210050.49485980626</v>
      </c>
      <c r="P104" s="145">
        <f>Variables!$E$29</f>
        <v>48.483938529092256</v>
      </c>
      <c r="Q104" s="146">
        <f t="shared" si="12"/>
        <v>4568538.0072225155</v>
      </c>
    </row>
    <row r="105" spans="1:17">
      <c r="A105" s="101">
        <v>8</v>
      </c>
      <c r="B105" s="132" t="s">
        <v>28</v>
      </c>
      <c r="C105" s="101">
        <v>2021</v>
      </c>
      <c r="D105" s="133">
        <f>Population!F9</f>
        <v>428383.05988624983</v>
      </c>
      <c r="E105" s="133" t="str">
        <f t="shared" si="13"/>
        <v>Medium</v>
      </c>
      <c r="F105" s="133"/>
      <c r="G105" s="134">
        <f>Variables!$C$3*POWER(SUM(1,Variables!$C$2/100),C105-2017)</f>
        <v>16657.712114979422</v>
      </c>
      <c r="H105" s="134">
        <f t="shared" si="8"/>
        <v>367.67076932249984</v>
      </c>
      <c r="I105" s="135">
        <f>VLOOKUP(B105,'Waste per capita'!$B$2:$F$48,4,FALSE)*(H105/Variables!$C$6)</f>
        <v>143.16762646224589</v>
      </c>
      <c r="J105" s="134">
        <f t="shared" si="9"/>
        <v>61330.585900548525</v>
      </c>
      <c r="K105" s="136">
        <f>Variables!$C$15</f>
        <v>1</v>
      </c>
      <c r="L105" s="137">
        <f t="shared" si="10"/>
        <v>61330.585900548525</v>
      </c>
      <c r="N105" s="138">
        <f>Variables!$E$30*Variables!$C$19</f>
        <v>2.2291759999999998</v>
      </c>
      <c r="O105" s="87">
        <f t="shared" si="11"/>
        <v>136716.67015544116</v>
      </c>
      <c r="P105" s="145">
        <f>Variables!$E$29</f>
        <v>48.483938529092256</v>
      </c>
      <c r="Q105" s="146">
        <f t="shared" si="12"/>
        <v>2973548.3567554071</v>
      </c>
    </row>
    <row r="106" spans="1:17">
      <c r="A106" s="101">
        <v>9</v>
      </c>
      <c r="B106" s="132" t="s">
        <v>29</v>
      </c>
      <c r="C106" s="101">
        <v>2021</v>
      </c>
      <c r="D106" s="133">
        <f>Population!F10</f>
        <v>501771.90527887479</v>
      </c>
      <c r="E106" s="133" t="str">
        <f t="shared" si="13"/>
        <v>Medium</v>
      </c>
      <c r="F106" s="133"/>
      <c r="G106" s="134">
        <f>Variables!$C$3*POWER(SUM(1,Variables!$C$2/100),C106-2017)</f>
        <v>16657.712114979422</v>
      </c>
      <c r="H106" s="134">
        <f t="shared" si="8"/>
        <v>367.67076932249984</v>
      </c>
      <c r="I106" s="135">
        <f>VLOOKUP(B106,'Waste per capita'!$B$2:$F$48,4,FALSE)*(H106/Variables!$C$6)</f>
        <v>143.16762646224589</v>
      </c>
      <c r="J106" s="134">
        <f t="shared" si="9"/>
        <v>71837.492704215372</v>
      </c>
      <c r="K106" s="136">
        <f>Variables!$C$15</f>
        <v>1</v>
      </c>
      <c r="L106" s="137">
        <f t="shared" si="10"/>
        <v>71837.492704215372</v>
      </c>
      <c r="N106" s="138">
        <f>Variables!$E$30*Variables!$C$19</f>
        <v>2.2291759999999998</v>
      </c>
      <c r="O106" s="87">
        <f t="shared" si="11"/>
        <v>160138.414636412</v>
      </c>
      <c r="P106" s="145">
        <f>Variables!$E$29</f>
        <v>48.483938529092256</v>
      </c>
      <c r="Q106" s="146">
        <f t="shared" si="12"/>
        <v>3482964.5803552917</v>
      </c>
    </row>
    <row r="107" spans="1:17">
      <c r="A107" s="101">
        <v>10</v>
      </c>
      <c r="B107" s="132" t="s">
        <v>30</v>
      </c>
      <c r="C107" s="101">
        <v>2021</v>
      </c>
      <c r="D107" s="133">
        <f>Population!F11</f>
        <v>523556.52286524978</v>
      </c>
      <c r="E107" s="133" t="str">
        <f t="shared" si="13"/>
        <v>Medium</v>
      </c>
      <c r="F107" s="133"/>
      <c r="G107" s="134">
        <f>Variables!$C$3*POWER(SUM(1,Variables!$C$2/100),C107-2017)</f>
        <v>16657.712114979422</v>
      </c>
      <c r="H107" s="134">
        <f t="shared" si="8"/>
        <v>367.67076932249984</v>
      </c>
      <c r="I107" s="135">
        <f>VLOOKUP(B107,'Waste per capita'!$B$2:$F$48,4,FALSE)*(H107/Variables!$C$6)</f>
        <v>143.16762646224589</v>
      </c>
      <c r="J107" s="134">
        <f t="shared" si="9"/>
        <v>74956.34469744438</v>
      </c>
      <c r="K107" s="136">
        <f>Variables!$C$15</f>
        <v>1</v>
      </c>
      <c r="L107" s="137">
        <f t="shared" si="10"/>
        <v>74956.34469744438</v>
      </c>
      <c r="N107" s="138">
        <f>Variables!$E$30*Variables!$C$19</f>
        <v>2.2291759999999998</v>
      </c>
      <c r="O107" s="87">
        <f t="shared" si="11"/>
        <v>167090.88464727026</v>
      </c>
      <c r="P107" s="145">
        <f>Variables!$E$29</f>
        <v>48.483938529092256</v>
      </c>
      <c r="Q107" s="146">
        <f t="shared" si="12"/>
        <v>3634178.8086763434</v>
      </c>
    </row>
    <row r="108" spans="1:17">
      <c r="A108" s="101">
        <v>11</v>
      </c>
      <c r="B108" s="132" t="s">
        <v>31</v>
      </c>
      <c r="C108" s="101">
        <v>2021</v>
      </c>
      <c r="D108" s="133">
        <f>Population!F12</f>
        <v>368419.67915024987</v>
      </c>
      <c r="E108" s="133" t="str">
        <f t="shared" si="13"/>
        <v>Medium</v>
      </c>
      <c r="F108" s="133"/>
      <c r="G108" s="134">
        <f>Variables!$C$3*POWER(SUM(1,Variables!$C$2/100),C108-2017)</f>
        <v>16657.712114979422</v>
      </c>
      <c r="H108" s="134">
        <f t="shared" si="8"/>
        <v>367.67076932249984</v>
      </c>
      <c r="I108" s="135">
        <f>VLOOKUP(B108,'Waste per capita'!$B$2:$F$48,4,FALSE)*(H108/Variables!$C$6)</f>
        <v>143.16762646224589</v>
      </c>
      <c r="J108" s="134">
        <f t="shared" si="9"/>
        <v>52745.77100592346</v>
      </c>
      <c r="K108" s="136">
        <f>Variables!$C$15</f>
        <v>1</v>
      </c>
      <c r="L108" s="137">
        <f t="shared" si="10"/>
        <v>52745.77100592346</v>
      </c>
      <c r="N108" s="138">
        <f>Variables!$E$30*Variables!$C$19</f>
        <v>2.2291759999999998</v>
      </c>
      <c r="O108" s="87">
        <f t="shared" si="11"/>
        <v>117579.60682790042</v>
      </c>
      <c r="P108" s="145">
        <f>Variables!$E$29</f>
        <v>48.483938529092256</v>
      </c>
      <c r="Q108" s="146">
        <f t="shared" si="12"/>
        <v>2557322.7191207698</v>
      </c>
    </row>
    <row r="109" spans="1:17">
      <c r="A109" s="101">
        <v>12</v>
      </c>
      <c r="B109" s="132" t="s">
        <v>32</v>
      </c>
      <c r="C109" s="101">
        <v>2021</v>
      </c>
      <c r="D109" s="133">
        <f>Population!F13</f>
        <v>418727.26577149983</v>
      </c>
      <c r="E109" s="133" t="str">
        <f t="shared" si="13"/>
        <v>Medium</v>
      </c>
      <c r="F109" s="133"/>
      <c r="G109" s="134">
        <f>Variables!$C$3*POWER(SUM(1,Variables!$C$2/100),C109-2017)</f>
        <v>16657.712114979422</v>
      </c>
      <c r="H109" s="134">
        <f t="shared" si="8"/>
        <v>367.67076932249984</v>
      </c>
      <c r="I109" s="135">
        <f>VLOOKUP(B109,'Waste per capita'!$B$2:$F$48,4,FALSE)*(H109/Variables!$C$6)</f>
        <v>143.16762646224589</v>
      </c>
      <c r="J109" s="134">
        <f t="shared" si="9"/>
        <v>59948.188775531649</v>
      </c>
      <c r="K109" s="136">
        <f>Variables!$C$15</f>
        <v>1</v>
      </c>
      <c r="L109" s="137">
        <f t="shared" si="10"/>
        <v>59948.188775531649</v>
      </c>
      <c r="N109" s="138">
        <f>Variables!$E$30*Variables!$C$19</f>
        <v>2.2291759999999998</v>
      </c>
      <c r="O109" s="87">
        <f t="shared" si="11"/>
        <v>133635.06366188452</v>
      </c>
      <c r="P109" s="145">
        <f>Variables!$E$29</f>
        <v>48.483938529092256</v>
      </c>
      <c r="Q109" s="146">
        <f t="shared" si="12"/>
        <v>2906524.2995232949</v>
      </c>
    </row>
    <row r="110" spans="1:17">
      <c r="A110" s="101">
        <v>13</v>
      </c>
      <c r="B110" s="132" t="s">
        <v>33</v>
      </c>
      <c r="C110" s="101">
        <v>2021</v>
      </c>
      <c r="D110" s="133">
        <f>Population!F14</f>
        <v>471822.63094049983</v>
      </c>
      <c r="E110" s="133" t="str">
        <f t="shared" si="13"/>
        <v>Medium</v>
      </c>
      <c r="F110" s="133"/>
      <c r="G110" s="134">
        <f>Variables!$C$3*POWER(SUM(1,Variables!$C$2/100),C110-2017)</f>
        <v>16657.712114979422</v>
      </c>
      <c r="H110" s="134">
        <f t="shared" si="8"/>
        <v>367.67076932249984</v>
      </c>
      <c r="I110" s="135">
        <f>VLOOKUP(B110,'Waste per capita'!$B$2:$F$48,4,FALSE)*(H110/Variables!$C$6)</f>
        <v>143.16762646224589</v>
      </c>
      <c r="J110" s="134">
        <f t="shared" si="9"/>
        <v>67549.726182923579</v>
      </c>
      <c r="K110" s="136">
        <f>Variables!$C$15</f>
        <v>1</v>
      </c>
      <c r="L110" s="137">
        <f t="shared" si="10"/>
        <v>67549.726182923579</v>
      </c>
      <c r="N110" s="138">
        <f>Variables!$E$30*Variables!$C$19</f>
        <v>2.2291759999999998</v>
      </c>
      <c r="O110" s="87">
        <f t="shared" si="11"/>
        <v>150580.22841354483</v>
      </c>
      <c r="P110" s="145">
        <f>Variables!$E$29</f>
        <v>48.483938529092256</v>
      </c>
      <c r="Q110" s="146">
        <f t="shared" si="12"/>
        <v>3275076.7719098805</v>
      </c>
    </row>
    <row r="111" spans="1:17">
      <c r="A111" s="101">
        <v>14</v>
      </c>
      <c r="B111" s="132" t="s">
        <v>34</v>
      </c>
      <c r="C111" s="101">
        <v>2021</v>
      </c>
      <c r="D111" s="133">
        <f>Population!F15</f>
        <v>328893.03657524986</v>
      </c>
      <c r="E111" s="133" t="str">
        <f t="shared" si="13"/>
        <v>Medium</v>
      </c>
      <c r="F111" s="133"/>
      <c r="G111" s="134">
        <f>Variables!$C$3*POWER(SUM(1,Variables!$C$2/100),C111-2017)</f>
        <v>16657.712114979422</v>
      </c>
      <c r="H111" s="134">
        <f t="shared" si="8"/>
        <v>367.67076932249984</v>
      </c>
      <c r="I111" s="135">
        <f>VLOOKUP(B111,'Waste per capita'!$B$2:$F$48,4,FALSE)*(H111/Variables!$C$6)</f>
        <v>143.16762646224589</v>
      </c>
      <c r="J111" s="134">
        <f t="shared" si="9"/>
        <v>47086.835406439146</v>
      </c>
      <c r="K111" s="136">
        <f>Variables!$C$15</f>
        <v>1</v>
      </c>
      <c r="L111" s="137">
        <f t="shared" si="10"/>
        <v>47086.835406439146</v>
      </c>
      <c r="N111" s="138">
        <f>Variables!$E$30*Variables!$C$19</f>
        <v>2.2291759999999998</v>
      </c>
      <c r="O111" s="87">
        <f t="shared" si="11"/>
        <v>104964.84340398439</v>
      </c>
      <c r="P111" s="145">
        <f>Variables!$E$29</f>
        <v>48.483938529092256</v>
      </c>
      <c r="Q111" s="146">
        <f t="shared" si="12"/>
        <v>2282955.2333752802</v>
      </c>
    </row>
    <row r="112" spans="1:17">
      <c r="A112" s="101">
        <v>15</v>
      </c>
      <c r="B112" s="132" t="s">
        <v>35</v>
      </c>
      <c r="C112" s="101">
        <v>2021</v>
      </c>
      <c r="D112" s="133">
        <f>Population!F16</f>
        <v>288231.83296337491</v>
      </c>
      <c r="E112" s="133" t="str">
        <f t="shared" si="13"/>
        <v>Medium</v>
      </c>
      <c r="F112" s="133"/>
      <c r="G112" s="134">
        <f>Variables!$C$3*POWER(SUM(1,Variables!$C$2/100),C112-2017)</f>
        <v>16657.712114979422</v>
      </c>
      <c r="H112" s="134">
        <f t="shared" ref="H112:H175" si="14">1647.41-417.73*LN(G112)+29.43*(LN(G112))^2</f>
        <v>367.67076932249984</v>
      </c>
      <c r="I112" s="135">
        <f>VLOOKUP(B112,'Waste per capita'!$B$2:$F$48,4,FALSE)*(H112/Variables!$C$6)</f>
        <v>88.7236297426617</v>
      </c>
      <c r="J112" s="134">
        <f t="shared" si="9"/>
        <v>25572.974427891186</v>
      </c>
      <c r="K112" s="136">
        <f>Variables!$C$15</f>
        <v>1</v>
      </c>
      <c r="L112" s="137">
        <f t="shared" si="10"/>
        <v>25572.974427891186</v>
      </c>
      <c r="N112" s="138">
        <f>Variables!$E$30*Variables!$C$19</f>
        <v>2.2291759999999998</v>
      </c>
      <c r="O112" s="87">
        <f t="shared" si="11"/>
        <v>57006.660843268757</v>
      </c>
      <c r="P112" s="145">
        <f>Variables!$E$29</f>
        <v>48.483938529092256</v>
      </c>
      <c r="Q112" s="146">
        <f t="shared" si="12"/>
        <v>1239878.5201679245</v>
      </c>
    </row>
    <row r="113" spans="1:17">
      <c r="A113" s="101">
        <v>16</v>
      </c>
      <c r="B113" s="132" t="s">
        <v>36</v>
      </c>
      <c r="C113" s="101">
        <v>2021</v>
      </c>
      <c r="D113" s="133">
        <f>Population!F17</f>
        <v>480331.31587787485</v>
      </c>
      <c r="E113" s="133" t="str">
        <f t="shared" si="13"/>
        <v>Medium</v>
      </c>
      <c r="F113" s="133"/>
      <c r="G113" s="134">
        <f>Variables!$C$3*POWER(SUM(1,Variables!$C$2/100),C113-2017)</f>
        <v>16657.712114979422</v>
      </c>
      <c r="H113" s="134">
        <f t="shared" si="14"/>
        <v>367.67076932249984</v>
      </c>
      <c r="I113" s="135">
        <f>VLOOKUP(B113,'Waste per capita'!$B$2:$F$48,4,FALSE)*(H113/Variables!$C$6)</f>
        <v>143.16762646224589</v>
      </c>
      <c r="J113" s="134">
        <f t="shared" si="9"/>
        <v>68767.894409722619</v>
      </c>
      <c r="K113" s="136">
        <f>Variables!$C$15</f>
        <v>1</v>
      </c>
      <c r="L113" s="137">
        <f t="shared" si="10"/>
        <v>68767.894409722619</v>
      </c>
      <c r="N113" s="138">
        <f>Variables!$E$30*Variables!$C$19</f>
        <v>2.2291759999999998</v>
      </c>
      <c r="O113" s="87">
        <f t="shared" si="11"/>
        <v>153295.73978868782</v>
      </c>
      <c r="P113" s="145">
        <f>Variables!$E$29</f>
        <v>48.483938529092256</v>
      </c>
      <c r="Q113" s="146">
        <f t="shared" si="12"/>
        <v>3334138.3653360987</v>
      </c>
    </row>
    <row r="114" spans="1:17">
      <c r="A114" s="101">
        <v>17</v>
      </c>
      <c r="B114" s="132" t="s">
        <v>37</v>
      </c>
      <c r="C114" s="101">
        <v>2021</v>
      </c>
      <c r="D114" s="133">
        <f>Population!F18</f>
        <v>453534.76184012485</v>
      </c>
      <c r="E114" s="133" t="str">
        <f t="shared" si="13"/>
        <v>Medium</v>
      </c>
      <c r="F114" s="133"/>
      <c r="G114" s="134">
        <f>Variables!$C$3*POWER(SUM(1,Variables!$C$2/100),C114-2017)</f>
        <v>16657.712114979422</v>
      </c>
      <c r="H114" s="134">
        <f t="shared" si="14"/>
        <v>367.67076932249984</v>
      </c>
      <c r="I114" s="135">
        <f>VLOOKUP(B114,'Waste per capita'!$B$2:$F$48,4,FALSE)*(H114/Variables!$C$6)</f>
        <v>143.16762646224589</v>
      </c>
      <c r="J114" s="134">
        <f t="shared" si="9"/>
        <v>64931.495370770645</v>
      </c>
      <c r="K114" s="136">
        <f>Variables!$C$15</f>
        <v>1</v>
      </c>
      <c r="L114" s="137">
        <f t="shared" si="10"/>
        <v>64931.495370770645</v>
      </c>
      <c r="N114" s="138">
        <f>Variables!$E$30*Variables!$C$19</f>
        <v>2.2291759999999998</v>
      </c>
      <c r="O114" s="87">
        <f t="shared" si="11"/>
        <v>144743.73112463302</v>
      </c>
      <c r="P114" s="145">
        <f>Variables!$E$29</f>
        <v>48.483938529092256</v>
      </c>
      <c r="Q114" s="146">
        <f t="shared" si="12"/>
        <v>3148134.6301584821</v>
      </c>
    </row>
    <row r="115" spans="1:17">
      <c r="A115" s="101">
        <v>18</v>
      </c>
      <c r="B115" s="132" t="s">
        <v>38</v>
      </c>
      <c r="C115" s="101">
        <v>2021</v>
      </c>
      <c r="D115" s="133">
        <f>Population!F19</f>
        <v>287166.28669924987</v>
      </c>
      <c r="E115" s="133" t="str">
        <f t="shared" si="13"/>
        <v>Medium</v>
      </c>
      <c r="F115" s="133"/>
      <c r="G115" s="134">
        <f>Variables!$C$3*POWER(SUM(1,Variables!$C$2/100),C115-2017)</f>
        <v>16657.712114979422</v>
      </c>
      <c r="H115" s="134">
        <f t="shared" si="14"/>
        <v>367.67076932249984</v>
      </c>
      <c r="I115" s="135">
        <f>VLOOKUP(B115,'Waste per capita'!$B$2:$F$48,4,FALSE)*(H115/Variables!$C$6)</f>
        <v>143.16762646224589</v>
      </c>
      <c r="J115" s="134">
        <f t="shared" si="9"/>
        <v>41112.915666708417</v>
      </c>
      <c r="K115" s="136">
        <f>Variables!$C$15</f>
        <v>1</v>
      </c>
      <c r="L115" s="137">
        <f t="shared" si="10"/>
        <v>41112.915666708417</v>
      </c>
      <c r="N115" s="138">
        <f>Variables!$E$30*Variables!$C$19</f>
        <v>2.2291759999999998</v>
      </c>
      <c r="O115" s="87">
        <f t="shared" si="11"/>
        <v>91647.924894250391</v>
      </c>
      <c r="P115" s="145">
        <f>Variables!$E$29</f>
        <v>48.483938529092256</v>
      </c>
      <c r="Q115" s="146">
        <f t="shared" si="12"/>
        <v>1993316.0759364448</v>
      </c>
    </row>
    <row r="116" spans="1:17">
      <c r="A116" s="101">
        <v>19</v>
      </c>
      <c r="B116" s="132" t="s">
        <v>39</v>
      </c>
      <c r="C116" s="101">
        <v>2021</v>
      </c>
      <c r="D116" s="133">
        <f>Population!F20</f>
        <v>289935.24303624989</v>
      </c>
      <c r="E116" s="133" t="str">
        <f t="shared" si="13"/>
        <v>Medium</v>
      </c>
      <c r="F116" s="133"/>
      <c r="G116" s="134">
        <f>Variables!$C$3*POWER(SUM(1,Variables!$C$2/100),C116-2017)</f>
        <v>16657.712114979422</v>
      </c>
      <c r="H116" s="134">
        <f t="shared" si="14"/>
        <v>367.67076932249984</v>
      </c>
      <c r="I116" s="135">
        <f>VLOOKUP(B116,'Waste per capita'!$B$2:$F$48,4,FALSE)*(H116/Variables!$C$6)</f>
        <v>143.16762646224589</v>
      </c>
      <c r="J116" s="134">
        <f t="shared" si="9"/>
        <v>41509.340573254303</v>
      </c>
      <c r="K116" s="136">
        <f>Variables!$C$15</f>
        <v>1</v>
      </c>
      <c r="L116" s="137">
        <f t="shared" si="10"/>
        <v>41509.340573254303</v>
      </c>
      <c r="N116" s="138">
        <f>Variables!$E$30*Variables!$C$19</f>
        <v>2.2291759999999998</v>
      </c>
      <c r="O116" s="87">
        <f t="shared" si="11"/>
        <v>92531.625781724724</v>
      </c>
      <c r="P116" s="145">
        <f>Variables!$E$29</f>
        <v>48.483938529092256</v>
      </c>
      <c r="Q116" s="146">
        <f t="shared" si="12"/>
        <v>2012536.3167368167</v>
      </c>
    </row>
    <row r="117" spans="1:17">
      <c r="A117" s="101">
        <v>20</v>
      </c>
      <c r="B117" s="132" t="s">
        <v>40</v>
      </c>
      <c r="C117" s="101">
        <v>2021</v>
      </c>
      <c r="D117" s="133">
        <f>Population!F21</f>
        <v>175664.55589462494</v>
      </c>
      <c r="E117" s="133" t="str">
        <f t="shared" si="13"/>
        <v>Medium</v>
      </c>
      <c r="F117" s="133"/>
      <c r="G117" s="134">
        <f>Variables!$C$3*POWER(SUM(1,Variables!$C$2/100),C117-2017)</f>
        <v>16657.712114979422</v>
      </c>
      <c r="H117" s="134">
        <f t="shared" si="14"/>
        <v>367.67076932249984</v>
      </c>
      <c r="I117" s="135">
        <f>VLOOKUP(B117,'Waste per capita'!$B$2:$F$48,4,FALSE)*(H117/Variables!$C$6)</f>
        <v>143.16762646224589</v>
      </c>
      <c r="J117" s="134">
        <f t="shared" si="9"/>
        <v>25149.477520977976</v>
      </c>
      <c r="K117" s="136">
        <f>Variables!$C$15</f>
        <v>1</v>
      </c>
      <c r="L117" s="137">
        <f t="shared" si="10"/>
        <v>25149.477520977976</v>
      </c>
      <c r="N117" s="138">
        <f>Variables!$E$30*Variables!$C$19</f>
        <v>2.2291759999999998</v>
      </c>
      <c r="O117" s="87">
        <f t="shared" si="11"/>
        <v>56062.611702303599</v>
      </c>
      <c r="P117" s="145">
        <f>Variables!$E$29</f>
        <v>48.483938529092256</v>
      </c>
      <c r="Q117" s="146">
        <f t="shared" si="12"/>
        <v>1219345.7221658838</v>
      </c>
    </row>
    <row r="118" spans="1:17">
      <c r="A118" s="101">
        <v>21</v>
      </c>
      <c r="B118" s="132" t="s">
        <v>41</v>
      </c>
      <c r="C118" s="101">
        <v>2021</v>
      </c>
      <c r="D118" s="133">
        <f>Population!F22</f>
        <v>185684.24608387492</v>
      </c>
      <c r="E118" s="133" t="str">
        <f t="shared" si="13"/>
        <v>Medium</v>
      </c>
      <c r="F118" s="133"/>
      <c r="G118" s="134">
        <f>Variables!$C$3*POWER(SUM(1,Variables!$C$2/100),C118-2017)</f>
        <v>16657.712114979422</v>
      </c>
      <c r="H118" s="134">
        <f t="shared" si="14"/>
        <v>367.67076932249984</v>
      </c>
      <c r="I118" s="135">
        <f>VLOOKUP(B118,'Waste per capita'!$B$2:$F$48,4,FALSE)*(H118/Variables!$C$6)</f>
        <v>143.16762646224589</v>
      </c>
      <c r="J118" s="134">
        <f t="shared" si="9"/>
        <v>26583.972783259949</v>
      </c>
      <c r="K118" s="136">
        <f>Variables!$C$15</f>
        <v>1</v>
      </c>
      <c r="L118" s="137">
        <f t="shared" si="10"/>
        <v>26583.972783259949</v>
      </c>
      <c r="N118" s="138">
        <f>Variables!$E$30*Variables!$C$19</f>
        <v>2.2291759999999998</v>
      </c>
      <c r="O118" s="87">
        <f t="shared" si="11"/>
        <v>59260.354113096277</v>
      </c>
      <c r="P118" s="145">
        <f>Variables!$E$29</f>
        <v>48.483938529092256</v>
      </c>
      <c r="Q118" s="146">
        <f t="shared" si="12"/>
        <v>1288895.7022826369</v>
      </c>
    </row>
    <row r="119" spans="1:17">
      <c r="A119" s="101">
        <v>22</v>
      </c>
      <c r="B119" s="132" t="s">
        <v>42</v>
      </c>
      <c r="C119" s="101">
        <v>2021</v>
      </c>
      <c r="D119" s="133">
        <f>Population!F23</f>
        <v>163950.86673787495</v>
      </c>
      <c r="E119" s="133" t="str">
        <f t="shared" si="13"/>
        <v>Medium</v>
      </c>
      <c r="F119" s="133"/>
      <c r="G119" s="134">
        <f>Variables!$C$3*POWER(SUM(1,Variables!$C$2/100),C119-2017)</f>
        <v>16657.712114979422</v>
      </c>
      <c r="H119" s="134">
        <f t="shared" si="14"/>
        <v>367.67076932249984</v>
      </c>
      <c r="I119" s="135">
        <f>VLOOKUP(B119,'Waste per capita'!$B$2:$F$48,4,FALSE)*(H119/Variables!$C$6)</f>
        <v>108.23500137479084</v>
      </c>
      <c r="J119" s="134">
        <f t="shared" si="9"/>
        <v>17745.222286772045</v>
      </c>
      <c r="K119" s="136">
        <f>Variables!$C$15</f>
        <v>1</v>
      </c>
      <c r="L119" s="137">
        <f t="shared" si="10"/>
        <v>17745.222286772045</v>
      </c>
      <c r="N119" s="138">
        <f>Variables!$E$30*Variables!$C$19</f>
        <v>2.2291759999999998</v>
      </c>
      <c r="O119" s="87">
        <f t="shared" si="11"/>
        <v>39557.223636337359</v>
      </c>
      <c r="P119" s="145">
        <f>Variables!$E$29</f>
        <v>48.483938529092256</v>
      </c>
      <c r="Q119" s="146">
        <f t="shared" si="12"/>
        <v>860358.26653693372</v>
      </c>
    </row>
    <row r="120" spans="1:17">
      <c r="A120" s="101">
        <v>23</v>
      </c>
      <c r="B120" s="132" t="s">
        <v>43</v>
      </c>
      <c r="C120" s="101">
        <v>2021</v>
      </c>
      <c r="D120" s="133">
        <f>Population!F24</f>
        <v>126191.42061662495</v>
      </c>
      <c r="E120" s="133" t="str">
        <f t="shared" si="13"/>
        <v>Medium</v>
      </c>
      <c r="F120" s="133"/>
      <c r="G120" s="134">
        <f>Variables!$C$3*POWER(SUM(1,Variables!$C$2/100),C120-2017)</f>
        <v>16657.712114979422</v>
      </c>
      <c r="H120" s="134">
        <f t="shared" si="14"/>
        <v>367.67076932249984</v>
      </c>
      <c r="I120" s="135">
        <f>VLOOKUP(B120,'Waste per capita'!$B$2:$F$48,4,FALSE)*(H120/Variables!$C$6)</f>
        <v>106.22236705170589</v>
      </c>
      <c r="J120" s="134">
        <f t="shared" si="9"/>
        <v>13404.351399515343</v>
      </c>
      <c r="K120" s="136">
        <f>Variables!$C$15</f>
        <v>1</v>
      </c>
      <c r="L120" s="137">
        <f t="shared" si="10"/>
        <v>13404.351399515343</v>
      </c>
      <c r="N120" s="138">
        <f>Variables!$E$30*Variables!$C$19</f>
        <v>2.2291759999999998</v>
      </c>
      <c r="O120" s="87">
        <f t="shared" si="11"/>
        <v>29880.658435366011</v>
      </c>
      <c r="P120" s="145">
        <f>Variables!$E$29</f>
        <v>48.483938529092256</v>
      </c>
      <c r="Q120" s="146">
        <f t="shared" si="12"/>
        <v>649895.74927645363</v>
      </c>
    </row>
    <row r="121" spans="1:17">
      <c r="A121" s="101">
        <v>24</v>
      </c>
      <c r="B121" s="132" t="s">
        <v>44</v>
      </c>
      <c r="C121" s="101">
        <v>2021</v>
      </c>
      <c r="D121" s="133">
        <f>Population!F25</f>
        <v>79194.451730624976</v>
      </c>
      <c r="E121" s="133" t="str">
        <f t="shared" si="13"/>
        <v>Small</v>
      </c>
      <c r="F121" s="133"/>
      <c r="G121" s="134">
        <f>Variables!$C$3*POWER(SUM(1,Variables!$C$2/100),C121-2017)</f>
        <v>16657.712114979422</v>
      </c>
      <c r="H121" s="134">
        <f t="shared" si="14"/>
        <v>367.67076932249984</v>
      </c>
      <c r="I121" s="135">
        <f>VLOOKUP(B121,'Waste per capita'!$B$2:$F$48,4,FALSE)*(H121/Variables!$C$6)</f>
        <v>107.62307837546408</v>
      </c>
      <c r="J121" s="134">
        <f t="shared" si="9"/>
        <v>8523.1506855069583</v>
      </c>
      <c r="K121" s="136">
        <f>Variables!$C$15</f>
        <v>1</v>
      </c>
      <c r="L121" s="137">
        <f t="shared" si="10"/>
        <v>8523.1506855069583</v>
      </c>
      <c r="N121" s="138">
        <f>Variables!$E$30*Variables!$C$19</f>
        <v>2.2291759999999998</v>
      </c>
      <c r="O121" s="87">
        <f t="shared" si="11"/>
        <v>18999.602952515659</v>
      </c>
      <c r="P121" s="145">
        <f>Variables!$E$29</f>
        <v>48.483938529092256</v>
      </c>
      <c r="Q121" s="146">
        <f t="shared" si="12"/>
        <v>413235.9139103099</v>
      </c>
    </row>
    <row r="122" spans="1:17">
      <c r="A122" s="101">
        <v>25</v>
      </c>
      <c r="B122" s="132" t="s">
        <v>45</v>
      </c>
      <c r="C122" s="101">
        <v>2021</v>
      </c>
      <c r="D122" s="133">
        <f>Population!F26</f>
        <v>164110.85552924994</v>
      </c>
      <c r="E122" s="133" t="str">
        <f t="shared" si="13"/>
        <v>Medium</v>
      </c>
      <c r="F122" s="133"/>
      <c r="G122" s="134">
        <f>Variables!$C$3*POWER(SUM(1,Variables!$C$2/100),C122-2017)</f>
        <v>16657.712114979422</v>
      </c>
      <c r="H122" s="134">
        <f t="shared" si="14"/>
        <v>367.67076932249984</v>
      </c>
      <c r="I122" s="135">
        <f>VLOOKUP(B122,'Waste per capita'!$B$2:$F$48,4,FALSE)*(H122/Variables!$C$6)</f>
        <v>107.29124976793439</v>
      </c>
      <c r="J122" s="134">
        <f t="shared" si="9"/>
        <v>17607.658790218153</v>
      </c>
      <c r="K122" s="136">
        <f>Variables!$C$15</f>
        <v>1</v>
      </c>
      <c r="L122" s="137">
        <f t="shared" si="10"/>
        <v>17607.658790218153</v>
      </c>
      <c r="N122" s="138">
        <f>Variables!$E$30*Variables!$C$19</f>
        <v>2.2291759999999998</v>
      </c>
      <c r="O122" s="87">
        <f t="shared" si="11"/>
        <v>39250.570391343339</v>
      </c>
      <c r="P122" s="145">
        <f>Variables!$E$29</f>
        <v>48.483938529092256</v>
      </c>
      <c r="Q122" s="146">
        <f t="shared" si="12"/>
        <v>853688.6464261678</v>
      </c>
    </row>
    <row r="123" spans="1:17">
      <c r="A123" s="101">
        <v>26</v>
      </c>
      <c r="B123" s="132" t="s">
        <v>46</v>
      </c>
      <c r="C123" s="101">
        <v>2021</v>
      </c>
      <c r="D123" s="133">
        <f>Population!F27</f>
        <v>44801.044298499983</v>
      </c>
      <c r="E123" s="133" t="str">
        <f t="shared" si="13"/>
        <v>Small</v>
      </c>
      <c r="F123" s="133"/>
      <c r="G123" s="134">
        <f>Variables!$C$3*POWER(SUM(1,Variables!$C$2/100),C123-2017)</f>
        <v>16657.712114979422</v>
      </c>
      <c r="H123" s="134">
        <f t="shared" si="14"/>
        <v>367.67076932249984</v>
      </c>
      <c r="I123" s="135">
        <f>VLOOKUP(B123,'Waste per capita'!$B$2:$F$48,4,FALSE)*(H123/Variables!$C$6)</f>
        <v>108.39734512636669</v>
      </c>
      <c r="J123" s="134">
        <f t="shared" si="9"/>
        <v>4856.3142608461458</v>
      </c>
      <c r="K123" s="136">
        <f>Variables!$C$15</f>
        <v>1</v>
      </c>
      <c r="L123" s="137">
        <f t="shared" si="10"/>
        <v>4856.3142608461458</v>
      </c>
      <c r="N123" s="138">
        <f>Variables!$E$30*Variables!$C$19</f>
        <v>2.2291759999999998</v>
      </c>
      <c r="O123" s="87">
        <f t="shared" si="11"/>
        <v>10825.579198735966</v>
      </c>
      <c r="P123" s="145">
        <f>Variables!$E$29</f>
        <v>48.483938529092256</v>
      </c>
      <c r="Q123" s="146">
        <f t="shared" si="12"/>
        <v>235453.24210081864</v>
      </c>
    </row>
    <row r="124" spans="1:17">
      <c r="A124" s="101">
        <v>27</v>
      </c>
      <c r="B124" s="132" t="s">
        <v>47</v>
      </c>
      <c r="C124" s="101">
        <v>2021</v>
      </c>
      <c r="D124" s="133">
        <f>Population!F28</f>
        <v>8402.0257431249975</v>
      </c>
      <c r="E124" s="133" t="str">
        <f t="shared" si="13"/>
        <v>Small</v>
      </c>
      <c r="F124" s="133"/>
      <c r="G124" s="134">
        <f>Variables!$C$3*POWER(SUM(1,Variables!$C$2/100),C124-2017)</f>
        <v>16657.712114979422</v>
      </c>
      <c r="H124" s="134">
        <f t="shared" si="14"/>
        <v>367.67076932249984</v>
      </c>
      <c r="I124" s="135">
        <f>VLOOKUP(B124,'Waste per capita'!$B$2:$F$48,4,FALSE)*(H124/Variables!$C$6)</f>
        <v>107.34049723119753</v>
      </c>
      <c r="J124" s="134">
        <f t="shared" si="9"/>
        <v>901.87762101635917</v>
      </c>
      <c r="K124" s="136">
        <f>Variables!$C$15</f>
        <v>1</v>
      </c>
      <c r="L124" s="137">
        <f t="shared" si="10"/>
        <v>901.87762101635917</v>
      </c>
      <c r="N124" s="138">
        <f>Variables!$E$30*Variables!$C$19</f>
        <v>2.2291759999999998</v>
      </c>
      <c r="O124" s="87">
        <f t="shared" si="11"/>
        <v>2010.4439477067633</v>
      </c>
      <c r="P124" s="145">
        <f>Variables!$E$29</f>
        <v>48.483938529092256</v>
      </c>
      <c r="Q124" s="146">
        <f t="shared" si="12"/>
        <v>43726.579138121124</v>
      </c>
    </row>
    <row r="125" spans="1:17">
      <c r="A125" s="101">
        <v>28</v>
      </c>
      <c r="B125" s="132" t="s">
        <v>48</v>
      </c>
      <c r="C125" s="101">
        <v>2021</v>
      </c>
      <c r="D125" s="133">
        <f>Population!F29</f>
        <v>50282.490340249984</v>
      </c>
      <c r="E125" s="133" t="str">
        <f t="shared" si="13"/>
        <v>Small</v>
      </c>
      <c r="F125" s="133"/>
      <c r="G125" s="134">
        <f>Variables!$C$3*POWER(SUM(1,Variables!$C$2/100),C125-2017)</f>
        <v>16657.712114979422</v>
      </c>
      <c r="H125" s="134">
        <f t="shared" si="14"/>
        <v>367.67076932249984</v>
      </c>
      <c r="I125" s="135">
        <f>VLOOKUP(B125,'Waste per capita'!$B$2:$F$48,4,FALSE)*(H125/Variables!$C$6)</f>
        <v>157.38007227051691</v>
      </c>
      <c r="J125" s="134">
        <f t="shared" si="9"/>
        <v>7913.4619636901107</v>
      </c>
      <c r="K125" s="136">
        <f>Variables!$C$15</f>
        <v>1</v>
      </c>
      <c r="L125" s="137">
        <f t="shared" si="10"/>
        <v>7913.4619636901107</v>
      </c>
      <c r="N125" s="138">
        <f>Variables!$E$30*Variables!$C$19</f>
        <v>2.2291759999999998</v>
      </c>
      <c r="O125" s="87">
        <f t="shared" si="11"/>
        <v>17640.499486370863</v>
      </c>
      <c r="P125" s="145">
        <f>Variables!$E$29</f>
        <v>48.483938529092256</v>
      </c>
      <c r="Q125" s="146">
        <f t="shared" si="12"/>
        <v>383675.80339986103</v>
      </c>
    </row>
    <row r="126" spans="1:17">
      <c r="A126" s="101">
        <v>29</v>
      </c>
      <c r="B126" s="132" t="s">
        <v>49</v>
      </c>
      <c r="C126" s="101">
        <v>2021</v>
      </c>
      <c r="D126" s="133">
        <f>Population!F30</f>
        <v>50633.838274249982</v>
      </c>
      <c r="E126" s="133" t="str">
        <f t="shared" si="13"/>
        <v>Small</v>
      </c>
      <c r="F126" s="133"/>
      <c r="G126" s="134">
        <f>Variables!$C$3*POWER(SUM(1,Variables!$C$2/100),C126-2017)</f>
        <v>16657.712114979422</v>
      </c>
      <c r="H126" s="134">
        <f t="shared" si="14"/>
        <v>367.67076932249984</v>
      </c>
      <c r="I126" s="135">
        <f>VLOOKUP(B126,'Waste per capita'!$B$2:$F$48,4,FALSE)*(H126/Variables!$C$6)</f>
        <v>157.38007227051691</v>
      </c>
      <c r="J126" s="134">
        <f t="shared" si="9"/>
        <v>7968.7571269351274</v>
      </c>
      <c r="K126" s="136">
        <f>Variables!$C$15</f>
        <v>1</v>
      </c>
      <c r="L126" s="137">
        <f t="shared" si="10"/>
        <v>7968.7571269351274</v>
      </c>
      <c r="N126" s="138">
        <f>Variables!$E$30*Variables!$C$19</f>
        <v>2.2291759999999998</v>
      </c>
      <c r="O126" s="87">
        <f t="shared" si="11"/>
        <v>17763.762137192738</v>
      </c>
      <c r="P126" s="145">
        <f>Variables!$E$29</f>
        <v>48.483938529092256</v>
      </c>
      <c r="Q126" s="146">
        <f t="shared" si="12"/>
        <v>386356.73069558851</v>
      </c>
    </row>
    <row r="127" spans="1:17">
      <c r="A127" s="101">
        <v>30</v>
      </c>
      <c r="B127" s="132" t="s">
        <v>50</v>
      </c>
      <c r="C127" s="101">
        <v>2021</v>
      </c>
      <c r="D127" s="133">
        <f>Population!F31</f>
        <v>20691.883684499993</v>
      </c>
      <c r="E127" s="133" t="str">
        <f t="shared" si="13"/>
        <v>Small</v>
      </c>
      <c r="F127" s="133"/>
      <c r="G127" s="134">
        <f>Variables!$C$3*POWER(SUM(1,Variables!$C$2/100),C127-2017)</f>
        <v>16657.712114979422</v>
      </c>
      <c r="H127" s="134">
        <f t="shared" si="14"/>
        <v>367.67076932249984</v>
      </c>
      <c r="I127" s="135">
        <f>VLOOKUP(B127,'Waste per capita'!$B$2:$F$48,4,FALSE)*(H127/Variables!$C$6)</f>
        <v>157.38007227051691</v>
      </c>
      <c r="J127" s="134">
        <f t="shared" si="9"/>
        <v>3256.4901496797384</v>
      </c>
      <c r="K127" s="136">
        <f>Variables!$C$15</f>
        <v>1</v>
      </c>
      <c r="L127" s="137">
        <f t="shared" si="10"/>
        <v>3256.4901496797384</v>
      </c>
      <c r="N127" s="138">
        <f>Variables!$E$30*Variables!$C$19</f>
        <v>2.2291759999999998</v>
      </c>
      <c r="O127" s="87">
        <f t="shared" si="11"/>
        <v>7259.2896859024795</v>
      </c>
      <c r="P127" s="145">
        <f>Variables!$E$29</f>
        <v>48.483938529092256</v>
      </c>
      <c r="Q127" s="146">
        <f t="shared" si="12"/>
        <v>157887.46823766688</v>
      </c>
    </row>
    <row r="128" spans="1:17">
      <c r="A128" s="101">
        <v>31</v>
      </c>
      <c r="B128" s="132" t="s">
        <v>51</v>
      </c>
      <c r="C128" s="101">
        <v>2021</v>
      </c>
      <c r="D128" s="133">
        <f>Population!F32</f>
        <v>31479.10180099999</v>
      </c>
      <c r="E128" s="133" t="str">
        <f t="shared" si="13"/>
        <v>Small</v>
      </c>
      <c r="F128" s="133"/>
      <c r="G128" s="134">
        <f>Variables!$C$3*POWER(SUM(1,Variables!$C$2/100),C128-2017)</f>
        <v>16657.712114979422</v>
      </c>
      <c r="H128" s="134">
        <f t="shared" si="14"/>
        <v>367.67076932249984</v>
      </c>
      <c r="I128" s="135">
        <f>VLOOKUP(B128,'Waste per capita'!$B$2:$F$48,4,FALSE)*(H128/Variables!$C$6)</f>
        <v>157.38007227051691</v>
      </c>
      <c r="J128" s="134">
        <f t="shared" si="9"/>
        <v>4954.1833164523377</v>
      </c>
      <c r="K128" s="136">
        <f>Variables!$C$15</f>
        <v>1</v>
      </c>
      <c r="L128" s="137">
        <f t="shared" si="10"/>
        <v>4954.1833164523377</v>
      </c>
      <c r="N128" s="138">
        <f>Variables!$E$30*Variables!$C$19</f>
        <v>2.2291759999999998</v>
      </c>
      <c r="O128" s="87">
        <f t="shared" si="11"/>
        <v>11043.746548635956</v>
      </c>
      <c r="P128" s="145">
        <f>Variables!$E$29</f>
        <v>48.483938529092256</v>
      </c>
      <c r="Q128" s="146">
        <f t="shared" si="12"/>
        <v>240198.31937672955</v>
      </c>
    </row>
    <row r="129" spans="1:17">
      <c r="A129" s="101">
        <v>32</v>
      </c>
      <c r="B129" s="132" t="s">
        <v>52</v>
      </c>
      <c r="C129" s="101">
        <v>2021</v>
      </c>
      <c r="D129" s="133">
        <f>Population!F33</f>
        <v>28974.702092874988</v>
      </c>
      <c r="E129" s="133" t="str">
        <f t="shared" si="13"/>
        <v>Small</v>
      </c>
      <c r="F129" s="133"/>
      <c r="G129" s="134">
        <f>Variables!$C$3*POWER(SUM(1,Variables!$C$2/100),C129-2017)</f>
        <v>16657.712114979422</v>
      </c>
      <c r="H129" s="134">
        <f t="shared" si="14"/>
        <v>367.67076932249984</v>
      </c>
      <c r="I129" s="135">
        <f>VLOOKUP(B129,'Waste per capita'!$B$2:$F$48,4,FALSE)*(H129/Variables!$C$6)</f>
        <v>157.38007227051691</v>
      </c>
      <c r="J129" s="134">
        <f t="shared" si="9"/>
        <v>4560.0407093933636</v>
      </c>
      <c r="K129" s="136">
        <f>Variables!$C$15</f>
        <v>1</v>
      </c>
      <c r="L129" s="137">
        <f t="shared" si="10"/>
        <v>4560.0407093933636</v>
      </c>
      <c r="N129" s="138">
        <f>Variables!$E$30*Variables!$C$19</f>
        <v>2.2291759999999998</v>
      </c>
      <c r="O129" s="87">
        <f t="shared" si="11"/>
        <v>10165.133308402659</v>
      </c>
      <c r="P129" s="145">
        <f>Variables!$E$29</f>
        <v>48.483938529092256</v>
      </c>
      <c r="Q129" s="146">
        <f t="shared" si="12"/>
        <v>221088.73344438607</v>
      </c>
    </row>
    <row r="130" spans="1:17">
      <c r="A130" s="101">
        <v>33</v>
      </c>
      <c r="B130" s="132" t="s">
        <v>53</v>
      </c>
      <c r="C130" s="101">
        <v>2021</v>
      </c>
      <c r="D130" s="133">
        <f>Population!F34</f>
        <v>124229.72798512495</v>
      </c>
      <c r="E130" s="133" t="str">
        <f t="shared" si="13"/>
        <v>Medium</v>
      </c>
      <c r="F130" s="133"/>
      <c r="G130" s="134">
        <f>Variables!$C$3*POWER(SUM(1,Variables!$C$2/100),C130-2017)</f>
        <v>16657.712114979422</v>
      </c>
      <c r="H130" s="134">
        <f t="shared" si="14"/>
        <v>367.67076932249984</v>
      </c>
      <c r="I130" s="135">
        <f>VLOOKUP(B130,'Waste per capita'!$B$2:$F$48,4,FALSE)*(H130/Variables!$C$6)</f>
        <v>205.8996509721751</v>
      </c>
      <c r="J130" s="134">
        <f t="shared" si="9"/>
        <v>25578.857632505482</v>
      </c>
      <c r="K130" s="136">
        <f>Variables!$C$15</f>
        <v>1</v>
      </c>
      <c r="L130" s="137">
        <f t="shared" si="10"/>
        <v>25578.857632505482</v>
      </c>
      <c r="N130" s="138">
        <f>Variables!$E$30*Variables!$C$19</f>
        <v>2.2291759999999998</v>
      </c>
      <c r="O130" s="87">
        <f t="shared" si="11"/>
        <v>57019.775541798037</v>
      </c>
      <c r="P130" s="145">
        <f>Variables!$E$29</f>
        <v>48.483938529092256</v>
      </c>
      <c r="Q130" s="146">
        <f t="shared" si="12"/>
        <v>1240163.7610987981</v>
      </c>
    </row>
    <row r="131" spans="1:17">
      <c r="A131" s="101">
        <v>34</v>
      </c>
      <c r="B131" s="132" t="s">
        <v>54</v>
      </c>
      <c r="C131" s="101">
        <v>2021</v>
      </c>
      <c r="D131" s="133">
        <f>Population!F35</f>
        <v>110336.84509487495</v>
      </c>
      <c r="E131" s="133" t="str">
        <f t="shared" si="13"/>
        <v>Medium</v>
      </c>
      <c r="F131" s="133"/>
      <c r="G131" s="134">
        <f>Variables!$C$3*POWER(SUM(1,Variables!$C$2/100),C131-2017)</f>
        <v>16657.712114979422</v>
      </c>
      <c r="H131" s="134">
        <f t="shared" si="14"/>
        <v>367.67076932249984</v>
      </c>
      <c r="I131" s="135">
        <f>VLOOKUP(B131,'Waste per capita'!$B$2:$F$48,4,FALSE)*(H131/Variables!$C$6)</f>
        <v>143.16762646224589</v>
      </c>
      <c r="J131" s="134">
        <f t="shared" si="9"/>
        <v>15796.664223565744</v>
      </c>
      <c r="K131" s="136">
        <f>Variables!$C$15</f>
        <v>1</v>
      </c>
      <c r="L131" s="137">
        <f t="shared" si="10"/>
        <v>15796.664223565744</v>
      </c>
      <c r="N131" s="138">
        <f>Variables!$E$30*Variables!$C$19</f>
        <v>2.2291759999999998</v>
      </c>
      <c r="O131" s="87">
        <f t="shared" si="11"/>
        <v>35213.544767231389</v>
      </c>
      <c r="P131" s="145">
        <f>Variables!$E$29</f>
        <v>48.483938529092256</v>
      </c>
      <c r="Q131" s="146">
        <f t="shared" si="12"/>
        <v>765884.49718007236</v>
      </c>
    </row>
    <row r="132" spans="1:17">
      <c r="A132" s="101">
        <v>35</v>
      </c>
      <c r="B132" s="132" t="s">
        <v>55</v>
      </c>
      <c r="C132" s="101">
        <v>2021</v>
      </c>
      <c r="D132" s="133">
        <f>Population!F36</f>
        <v>503913.45459087478</v>
      </c>
      <c r="E132" s="133" t="str">
        <f t="shared" si="13"/>
        <v>Medium</v>
      </c>
      <c r="F132" s="133"/>
      <c r="G132" s="134">
        <f>Variables!$C$3*POWER(SUM(1,Variables!$C$2/100),C132-2017)</f>
        <v>16657.712114979422</v>
      </c>
      <c r="H132" s="134">
        <f t="shared" si="14"/>
        <v>367.67076932249984</v>
      </c>
      <c r="I132" s="135">
        <f>VLOOKUP(B132,'Waste per capita'!$B$2:$F$48,4,FALSE)*(H132/Variables!$C$6)</f>
        <v>143.16762646224589</v>
      </c>
      <c r="J132" s="134">
        <f t="shared" ref="J132:J195" si="15">I132*D132/1000</f>
        <v>72144.093236166271</v>
      </c>
      <c r="K132" s="136">
        <f>Variables!$C$15</f>
        <v>1</v>
      </c>
      <c r="L132" s="137">
        <f t="shared" ref="L132:L195" si="16">J132*K132</f>
        <v>72144.093236166271</v>
      </c>
      <c r="N132" s="138">
        <f>Variables!$E$30*Variables!$C$19</f>
        <v>2.2291759999999998</v>
      </c>
      <c r="O132" s="87">
        <f t="shared" ref="O132:O195" si="17">N132*L132</f>
        <v>160821.88118382418</v>
      </c>
      <c r="P132" s="145">
        <f>Variables!$E$29</f>
        <v>48.483938529092256</v>
      </c>
      <c r="Q132" s="146">
        <f t="shared" ref="Q132:Q195" si="18">P132*J132</f>
        <v>3497829.781699386</v>
      </c>
    </row>
    <row r="133" spans="1:17">
      <c r="A133" s="101">
        <v>36</v>
      </c>
      <c r="B133" s="132" t="s">
        <v>56</v>
      </c>
      <c r="C133" s="101">
        <v>2021</v>
      </c>
      <c r="D133" s="133">
        <f>Population!F37</f>
        <v>270250.34762687492</v>
      </c>
      <c r="E133" s="133" t="str">
        <f t="shared" ref="E133:E196" si="19">IF(D133&lt;100000,"Small",IF(D133&lt;1000000,"Medium","Large"))</f>
        <v>Medium</v>
      </c>
      <c r="F133" s="133"/>
      <c r="G133" s="134">
        <f>Variables!$C$3*POWER(SUM(1,Variables!$C$2/100),C133-2017)</f>
        <v>16657.712114979422</v>
      </c>
      <c r="H133" s="134">
        <f t="shared" si="14"/>
        <v>367.67076932249984</v>
      </c>
      <c r="I133" s="135">
        <f>VLOOKUP(B133,'Waste per capita'!$B$2:$F$48,4,FALSE)*(H133/Variables!$C$6)</f>
        <v>232.62698384323591</v>
      </c>
      <c r="J133" s="134">
        <f t="shared" si="15"/>
        <v>62867.523251025923</v>
      </c>
      <c r="K133" s="136">
        <f>Variables!$C$15</f>
        <v>1</v>
      </c>
      <c r="L133" s="137">
        <f t="shared" si="16"/>
        <v>62867.523251025923</v>
      </c>
      <c r="N133" s="138">
        <f>Variables!$E$30*Variables!$C$19</f>
        <v>2.2291759999999998</v>
      </c>
      <c r="O133" s="87">
        <f t="shared" si="17"/>
        <v>140142.77401062896</v>
      </c>
      <c r="P133" s="145">
        <f>Variables!$E$29</f>
        <v>48.483938529092256</v>
      </c>
      <c r="Q133" s="146">
        <f t="shared" si="18"/>
        <v>3048065.132779019</v>
      </c>
    </row>
    <row r="134" spans="1:17">
      <c r="A134" s="101">
        <v>37</v>
      </c>
      <c r="B134" s="132" t="s">
        <v>57</v>
      </c>
      <c r="C134" s="101">
        <v>2021</v>
      </c>
      <c r="D134" s="133">
        <f>Population!F38</f>
        <v>125964.50840924995</v>
      </c>
      <c r="E134" s="133" t="str">
        <f t="shared" si="19"/>
        <v>Medium</v>
      </c>
      <c r="F134" s="133"/>
      <c r="G134" s="134">
        <f>Variables!$C$3*POWER(SUM(1,Variables!$C$2/100),C134-2017)</f>
        <v>16657.712114979422</v>
      </c>
      <c r="H134" s="134">
        <f t="shared" si="14"/>
        <v>367.67076932249984</v>
      </c>
      <c r="I134" s="135">
        <f>VLOOKUP(B134,'Waste per capita'!$B$2:$F$48,4,FALSE)*(H134/Variables!$C$6)</f>
        <v>143.16762646224589</v>
      </c>
      <c r="J134" s="134">
        <f t="shared" si="15"/>
        <v>18034.039687435928</v>
      </c>
      <c r="K134" s="136">
        <f>Variables!$C$15</f>
        <v>1</v>
      </c>
      <c r="L134" s="137">
        <f t="shared" si="16"/>
        <v>18034.039687435928</v>
      </c>
      <c r="N134" s="138">
        <f>Variables!$E$30*Variables!$C$19</f>
        <v>2.2291759999999998</v>
      </c>
      <c r="O134" s="87">
        <f t="shared" si="17"/>
        <v>40201.048454279669</v>
      </c>
      <c r="P134" s="145">
        <f>Variables!$E$29</f>
        <v>48.483938529092256</v>
      </c>
      <c r="Q134" s="146">
        <f t="shared" si="18"/>
        <v>874361.27163685369</v>
      </c>
    </row>
    <row r="135" spans="1:17">
      <c r="A135" s="101">
        <v>38</v>
      </c>
      <c r="B135" s="132" t="s">
        <v>58</v>
      </c>
      <c r="C135" s="101">
        <v>2021</v>
      </c>
      <c r="D135" s="133">
        <f>Population!F39</f>
        <v>37180.140301499989</v>
      </c>
      <c r="E135" s="133" t="str">
        <f t="shared" si="19"/>
        <v>Small</v>
      </c>
      <c r="F135" s="133"/>
      <c r="G135" s="134">
        <f>Variables!$C$3*POWER(SUM(1,Variables!$C$2/100),C135-2017)</f>
        <v>16657.712114979422</v>
      </c>
      <c r="H135" s="134">
        <f t="shared" si="14"/>
        <v>367.67076932249984</v>
      </c>
      <c r="I135" s="135">
        <f>VLOOKUP(B135,'Waste per capita'!$B$2:$F$48,4,FALSE)*(H135/Variables!$C$6)</f>
        <v>314.2504869461257</v>
      </c>
      <c r="J135" s="134">
        <f t="shared" si="15"/>
        <v>11683.877194471645</v>
      </c>
      <c r="K135" s="136">
        <f>Variables!$C$15</f>
        <v>1</v>
      </c>
      <c r="L135" s="137">
        <f t="shared" si="16"/>
        <v>11683.877194471645</v>
      </c>
      <c r="N135" s="138">
        <f>Variables!$E$30*Variables!$C$19</f>
        <v>2.2291759999999998</v>
      </c>
      <c r="O135" s="87">
        <f t="shared" si="17"/>
        <v>26045.418628863521</v>
      </c>
      <c r="P135" s="145">
        <f>Variables!$E$29</f>
        <v>48.483938529092256</v>
      </c>
      <c r="Q135" s="146">
        <f t="shared" si="18"/>
        <v>566480.38367822615</v>
      </c>
    </row>
    <row r="136" spans="1:17">
      <c r="A136" s="101">
        <v>39</v>
      </c>
      <c r="B136" s="132" t="s">
        <v>59</v>
      </c>
      <c r="C136" s="101">
        <v>2021</v>
      </c>
      <c r="D136" s="133">
        <f>Population!F40</f>
        <v>70183.841173249966</v>
      </c>
      <c r="E136" s="133" t="str">
        <f t="shared" si="19"/>
        <v>Small</v>
      </c>
      <c r="F136" s="133"/>
      <c r="G136" s="134">
        <f>Variables!$C$3*POWER(SUM(1,Variables!$C$2/100),C136-2017)</f>
        <v>16657.712114979422</v>
      </c>
      <c r="H136" s="134">
        <f t="shared" si="14"/>
        <v>367.67076932249984</v>
      </c>
      <c r="I136" s="135">
        <f>VLOOKUP(B136,'Waste per capita'!$B$2:$F$48,4,FALSE)*(H136/Variables!$C$6)</f>
        <v>157.38007227051691</v>
      </c>
      <c r="J136" s="134">
        <f t="shared" si="15"/>
        <v>11045.53799606856</v>
      </c>
      <c r="K136" s="136">
        <f>Variables!$C$15</f>
        <v>1</v>
      </c>
      <c r="L136" s="137">
        <f t="shared" si="16"/>
        <v>11045.53799606856</v>
      </c>
      <c r="N136" s="138">
        <f>Variables!$E$30*Variables!$C$19</f>
        <v>2.2291759999999998</v>
      </c>
      <c r="O136" s="87">
        <f t="shared" si="17"/>
        <v>24622.448207924128</v>
      </c>
      <c r="P136" s="145">
        <f>Variables!$E$29</f>
        <v>48.483938529092256</v>
      </c>
      <c r="Q136" s="146">
        <f t="shared" si="18"/>
        <v>535531.18522214098</v>
      </c>
    </row>
    <row r="137" spans="1:17">
      <c r="A137" s="101">
        <v>40</v>
      </c>
      <c r="B137" s="132" t="s">
        <v>60</v>
      </c>
      <c r="C137" s="101">
        <v>2021</v>
      </c>
      <c r="D137" s="133">
        <f>Population!F41</f>
        <v>3174.6795464999987</v>
      </c>
      <c r="E137" s="133" t="str">
        <f t="shared" si="19"/>
        <v>Small</v>
      </c>
      <c r="F137" s="133"/>
      <c r="G137" s="134">
        <f>Variables!$C$3*POWER(SUM(1,Variables!$C$2/100),C137-2017)</f>
        <v>16657.712114979422</v>
      </c>
      <c r="H137" s="134">
        <f t="shared" si="14"/>
        <v>367.67076932249984</v>
      </c>
      <c r="I137" s="135">
        <f>VLOOKUP(B137,'Waste per capita'!$B$2:$F$48,4,FALSE)*(H137/Variables!$C$6)</f>
        <v>163.2470062057796</v>
      </c>
      <c r="J137" s="134">
        <f t="shared" si="15"/>
        <v>518.25693162884681</v>
      </c>
      <c r="K137" s="136">
        <f>Variables!$C$15</f>
        <v>1</v>
      </c>
      <c r="L137" s="137">
        <f t="shared" si="16"/>
        <v>518.25693162884681</v>
      </c>
      <c r="N137" s="138">
        <f>Variables!$E$30*Variables!$C$19</f>
        <v>2.2291759999999998</v>
      </c>
      <c r="O137" s="87">
        <f t="shared" si="17"/>
        <v>1155.2859138206661</v>
      </c>
      <c r="P137" s="145">
        <f>Variables!$E$29</f>
        <v>48.483938529092256</v>
      </c>
      <c r="Q137" s="146">
        <f t="shared" si="18"/>
        <v>25127.137215368977</v>
      </c>
    </row>
    <row r="138" spans="1:17">
      <c r="A138" s="101">
        <v>41</v>
      </c>
      <c r="B138" s="132" t="s">
        <v>61</v>
      </c>
      <c r="C138" s="101">
        <v>2021</v>
      </c>
      <c r="D138" s="133">
        <f>Population!F42</f>
        <v>54710.938258374976</v>
      </c>
      <c r="E138" s="133" t="str">
        <f t="shared" si="19"/>
        <v>Small</v>
      </c>
      <c r="F138" s="133"/>
      <c r="G138" s="134">
        <f>Variables!$C$3*POWER(SUM(1,Variables!$C$2/100),C138-2017)</f>
        <v>16657.712114979422</v>
      </c>
      <c r="H138" s="134">
        <f t="shared" si="14"/>
        <v>367.67076932249984</v>
      </c>
      <c r="I138" s="135">
        <f>VLOOKUP(B138,'Waste per capita'!$B$2:$F$48,4,FALSE)*(H138/Variables!$C$6)</f>
        <v>157.38007227051691</v>
      </c>
      <c r="J138" s="134">
        <f t="shared" si="15"/>
        <v>8610.4114170908433</v>
      </c>
      <c r="K138" s="136">
        <f>Variables!$C$15</f>
        <v>1</v>
      </c>
      <c r="L138" s="137">
        <f t="shared" si="16"/>
        <v>8610.4114170908433</v>
      </c>
      <c r="N138" s="138">
        <f>Variables!$E$30*Variables!$C$19</f>
        <v>2.2291759999999998</v>
      </c>
      <c r="O138" s="87">
        <f t="shared" si="17"/>
        <v>19194.122481104896</v>
      </c>
      <c r="P138" s="145">
        <f>Variables!$E$29</f>
        <v>48.483938529092256</v>
      </c>
      <c r="Q138" s="146">
        <f t="shared" si="18"/>
        <v>417466.65785642661</v>
      </c>
    </row>
    <row r="139" spans="1:17">
      <c r="A139" s="101">
        <v>42</v>
      </c>
      <c r="B139" s="139" t="s">
        <v>62</v>
      </c>
      <c r="C139" s="101">
        <v>2021</v>
      </c>
      <c r="D139" s="133">
        <f>Population!F43</f>
        <v>47600.325308374981</v>
      </c>
      <c r="E139" s="133" t="str">
        <f t="shared" si="19"/>
        <v>Small</v>
      </c>
      <c r="F139" s="133"/>
      <c r="G139" s="134">
        <f>Variables!$C$3*POWER(SUM(1,Variables!$C$2/100),C139-2017)</f>
        <v>16657.712114979422</v>
      </c>
      <c r="H139" s="134">
        <f t="shared" si="14"/>
        <v>367.67076932249984</v>
      </c>
      <c r="I139" s="135">
        <f>VLOOKUP(B139,'Waste per capita'!$B$2:$F$48,4,FALSE)*(H139/Variables!$C$6)</f>
        <v>157.38007227051691</v>
      </c>
      <c r="J139" s="134">
        <f t="shared" si="15"/>
        <v>7491.3426371321693</v>
      </c>
      <c r="K139" s="136">
        <f>Variables!$C$15</f>
        <v>1</v>
      </c>
      <c r="L139" s="137">
        <f t="shared" si="16"/>
        <v>7491.3426371321693</v>
      </c>
      <c r="N139" s="138">
        <f>Variables!$E$30*Variables!$C$19</f>
        <v>2.2291759999999998</v>
      </c>
      <c r="O139" s="87">
        <f t="shared" si="17"/>
        <v>16699.521214471741</v>
      </c>
      <c r="P139" s="145">
        <f>Variables!$E$29</f>
        <v>48.483938529092256</v>
      </c>
      <c r="Q139" s="146">
        <f t="shared" si="18"/>
        <v>363209.79591908399</v>
      </c>
    </row>
    <row r="140" spans="1:17">
      <c r="A140" s="101">
        <v>43</v>
      </c>
      <c r="B140" s="139" t="s">
        <v>63</v>
      </c>
      <c r="C140" s="101">
        <v>2021</v>
      </c>
      <c r="D140" s="133">
        <f>Population!F44</f>
        <v>25134.971099874991</v>
      </c>
      <c r="E140" s="133" t="str">
        <f t="shared" si="19"/>
        <v>Small</v>
      </c>
      <c r="F140" s="133"/>
      <c r="G140" s="134">
        <f>Variables!$C$3*POWER(SUM(1,Variables!$C$2/100),C140-2017)</f>
        <v>16657.712114979422</v>
      </c>
      <c r="H140" s="134">
        <f t="shared" si="14"/>
        <v>367.67076932249984</v>
      </c>
      <c r="I140" s="135">
        <f>VLOOKUP(B140,'Waste per capita'!$B$2:$F$48,4,FALSE)*(H140/Variables!$C$6)</f>
        <v>157.38007227051691</v>
      </c>
      <c r="J140" s="134">
        <f t="shared" si="15"/>
        <v>3955.7435682156797</v>
      </c>
      <c r="K140" s="136">
        <f>Variables!$C$15</f>
        <v>1</v>
      </c>
      <c r="L140" s="137">
        <f t="shared" si="16"/>
        <v>3955.7435682156797</v>
      </c>
      <c r="N140" s="138">
        <f>Variables!$E$30*Variables!$C$19</f>
        <v>2.2291759999999998</v>
      </c>
      <c r="O140" s="87">
        <f t="shared" si="17"/>
        <v>8818.048624420755</v>
      </c>
      <c r="P140" s="145">
        <f>Variables!$E$29</f>
        <v>48.483938529092256</v>
      </c>
      <c r="Q140" s="146">
        <f t="shared" si="18"/>
        <v>191790.02799822108</v>
      </c>
    </row>
    <row r="141" spans="1:17">
      <c r="A141" s="101">
        <v>44</v>
      </c>
      <c r="B141" s="85" t="s">
        <v>108</v>
      </c>
      <c r="C141" s="101">
        <v>2021</v>
      </c>
      <c r="D141" s="133">
        <f>Population!F45</f>
        <v>69339.978724624976</v>
      </c>
      <c r="E141" s="133" t="str">
        <f t="shared" si="19"/>
        <v>Small</v>
      </c>
      <c r="F141" s="133"/>
      <c r="G141" s="134">
        <f>Variables!$C$3*POWER(SUM(1,Variables!$C$2/100),C141-2017)</f>
        <v>16657.712114979422</v>
      </c>
      <c r="H141" s="134">
        <f t="shared" si="14"/>
        <v>367.67076932249984</v>
      </c>
      <c r="I141" s="135">
        <f>VLOOKUP(B141,'Waste per capita'!$B$2:$F$48,4,FALSE)*(H141/Variables!$C$6)</f>
        <v>157.38007227051691</v>
      </c>
      <c r="J141" s="134">
        <f t="shared" si="15"/>
        <v>10912.730862917584</v>
      </c>
      <c r="K141" s="136">
        <f>Variables!$C$15</f>
        <v>1</v>
      </c>
      <c r="L141" s="137">
        <f t="shared" si="16"/>
        <v>10912.730862917584</v>
      </c>
      <c r="N141" s="138">
        <f>Variables!$E$30*Variables!$C$19</f>
        <v>2.2291759999999998</v>
      </c>
      <c r="O141" s="87">
        <f t="shared" si="17"/>
        <v>24326.397734075166</v>
      </c>
      <c r="P141" s="145">
        <f>Variables!$E$29</f>
        <v>48.483938529092256</v>
      </c>
      <c r="Q141" s="146">
        <f t="shared" si="18"/>
        <v>529092.17234222405</v>
      </c>
    </row>
    <row r="142" spans="1:17">
      <c r="A142" s="101">
        <v>45</v>
      </c>
      <c r="B142" s="139" t="s">
        <v>64</v>
      </c>
      <c r="C142" s="101">
        <v>2021</v>
      </c>
      <c r="D142" s="133">
        <f>Population!F46</f>
        <v>24694.74050399999</v>
      </c>
      <c r="E142" s="133" t="str">
        <f t="shared" si="19"/>
        <v>Small</v>
      </c>
      <c r="F142" s="133"/>
      <c r="G142" s="134">
        <f>Variables!$C$3*POWER(SUM(1,Variables!$C$2/100),C142-2017)</f>
        <v>16657.712114979422</v>
      </c>
      <c r="H142" s="134">
        <f t="shared" si="14"/>
        <v>367.67076932249984</v>
      </c>
      <c r="I142" s="135">
        <f>VLOOKUP(B142,'Waste per capita'!$B$2:$F$48,4,FALSE)*(H142/Variables!$C$6)</f>
        <v>157.38007227051691</v>
      </c>
      <c r="J142" s="134">
        <f t="shared" si="15"/>
        <v>3886.4600452211798</v>
      </c>
      <c r="K142" s="136">
        <f>Variables!$C$15</f>
        <v>1</v>
      </c>
      <c r="L142" s="137">
        <f t="shared" si="16"/>
        <v>3886.4600452211798</v>
      </c>
      <c r="N142" s="138">
        <f>Variables!$E$30*Variables!$C$19</f>
        <v>2.2291759999999998</v>
      </c>
      <c r="O142" s="87">
        <f t="shared" si="17"/>
        <v>8663.6034577659684</v>
      </c>
      <c r="P142" s="145">
        <f>Variables!$E$29</f>
        <v>48.483938529092256</v>
      </c>
      <c r="Q142" s="146">
        <f t="shared" si="18"/>
        <v>188430.8899282768</v>
      </c>
    </row>
    <row r="143" spans="1:17">
      <c r="A143" s="101">
        <v>46</v>
      </c>
      <c r="B143" s="139" t="s">
        <v>65</v>
      </c>
      <c r="C143" s="101">
        <v>2021</v>
      </c>
      <c r="D143" s="133">
        <f>Population!F47</f>
        <v>31561.710392624987</v>
      </c>
      <c r="E143" s="133" t="str">
        <f t="shared" si="19"/>
        <v>Small</v>
      </c>
      <c r="F143" s="133"/>
      <c r="G143" s="134">
        <f>Variables!$C$3*POWER(SUM(1,Variables!$C$2/100),C143-2017)</f>
        <v>16657.712114979422</v>
      </c>
      <c r="H143" s="134">
        <f t="shared" si="14"/>
        <v>367.67076932249984</v>
      </c>
      <c r="I143" s="135">
        <f>VLOOKUP(B143,'Waste per capita'!$B$2:$F$48,4,FALSE)*(H143/Variables!$C$6)</f>
        <v>174.0917816180737</v>
      </c>
      <c r="J143" s="134">
        <f t="shared" si="15"/>
        <v>5494.6343931657557</v>
      </c>
      <c r="K143" s="136">
        <f>Variables!$C$15</f>
        <v>1</v>
      </c>
      <c r="L143" s="137">
        <f t="shared" si="16"/>
        <v>5494.6343931657557</v>
      </c>
      <c r="N143" s="138">
        <f>Variables!$E$30*Variables!$C$19</f>
        <v>2.2291759999999998</v>
      </c>
      <c r="O143" s="87">
        <f t="shared" si="17"/>
        <v>12248.507118019666</v>
      </c>
      <c r="P143" s="145">
        <f>Variables!$E$29</f>
        <v>48.483938529092256</v>
      </c>
      <c r="Q143" s="146">
        <f t="shared" si="18"/>
        <v>266401.51615808462</v>
      </c>
    </row>
    <row r="144" spans="1:17">
      <c r="A144" s="101">
        <v>47</v>
      </c>
      <c r="B144" s="85" t="s">
        <v>107</v>
      </c>
      <c r="C144" s="101">
        <v>2021</v>
      </c>
      <c r="D144" s="133">
        <f>Population!F48</f>
        <v>70542.50885587497</v>
      </c>
      <c r="E144" s="133" t="str">
        <f t="shared" si="19"/>
        <v>Small</v>
      </c>
      <c r="F144" s="133"/>
      <c r="G144" s="134">
        <f>Variables!$C$3*POWER(SUM(1,Variables!$C$2/100),C144-2017)</f>
        <v>16657.712114979422</v>
      </c>
      <c r="H144" s="134">
        <f t="shared" si="14"/>
        <v>367.67076932249984</v>
      </c>
      <c r="I144" s="135">
        <f>VLOOKUP(B144,'Waste per capita'!$B$2:$F$48,4,FALSE)*(H144/Variables!$C$6)</f>
        <v>157.38007227051691</v>
      </c>
      <c r="J144" s="134">
        <f t="shared" si="15"/>
        <v>11101.985141881181</v>
      </c>
      <c r="K144" s="136">
        <f>Variables!$C$15</f>
        <v>1</v>
      </c>
      <c r="L144" s="137">
        <f t="shared" si="16"/>
        <v>11101.985141881181</v>
      </c>
      <c r="N144" s="138">
        <f>Variables!$E$30*Variables!$C$19</f>
        <v>2.2291759999999998</v>
      </c>
      <c r="O144" s="87">
        <f t="shared" si="17"/>
        <v>24748.278830638123</v>
      </c>
      <c r="P144" s="145">
        <f>Variables!$E$29</f>
        <v>48.483938529092256</v>
      </c>
      <c r="Q144" s="146">
        <f t="shared" si="18"/>
        <v>538267.96516986273</v>
      </c>
    </row>
    <row r="145" spans="1:17">
      <c r="A145" s="101">
        <v>1</v>
      </c>
      <c r="B145" s="132" t="s">
        <v>21</v>
      </c>
      <c r="C145" s="101">
        <v>2022</v>
      </c>
      <c r="D145" s="133">
        <f>Population!G2</f>
        <v>7622149.4365433641</v>
      </c>
      <c r="E145" s="133" t="str">
        <f t="shared" si="19"/>
        <v>Large</v>
      </c>
      <c r="F145" s="133"/>
      <c r="G145" s="134">
        <f>Variables!$C$3*POWER(SUM(1,Variables!$C$2/100),C145-2017)</f>
        <v>17243.3972729421</v>
      </c>
      <c r="H145" s="134">
        <f t="shared" si="14"/>
        <v>373.04226453991487</v>
      </c>
      <c r="I145" s="135">
        <f>VLOOKUP(B145,'Waste per capita'!$B$2:$F$48,4,FALSE)*(H145/Variables!$C$6)</f>
        <v>331.95185195146036</v>
      </c>
      <c r="J145" s="134">
        <f t="shared" si="15"/>
        <v>2530186.6213113498</v>
      </c>
      <c r="K145" s="136">
        <f>Variables!$C$15</f>
        <v>1</v>
      </c>
      <c r="L145" s="137">
        <f t="shared" si="16"/>
        <v>2530186.6213113498</v>
      </c>
      <c r="N145" s="138">
        <f>Variables!$E$30*Variables!$C$19</f>
        <v>2.2291759999999998</v>
      </c>
      <c r="O145" s="87">
        <f t="shared" si="17"/>
        <v>5640231.2917483486</v>
      </c>
      <c r="P145" s="145">
        <f>Variables!$E$29</f>
        <v>48.483938529092256</v>
      </c>
      <c r="Q145" s="146">
        <f t="shared" si="18"/>
        <v>122673412.61479111</v>
      </c>
    </row>
    <row r="146" spans="1:17">
      <c r="A146" s="101">
        <v>2</v>
      </c>
      <c r="B146" s="132" t="s">
        <v>22</v>
      </c>
      <c r="C146" s="101">
        <v>2022</v>
      </c>
      <c r="D146" s="133">
        <f>Population!G3</f>
        <v>2517904.592054205</v>
      </c>
      <c r="E146" s="133" t="str">
        <f t="shared" si="19"/>
        <v>Large</v>
      </c>
      <c r="F146" s="133"/>
      <c r="G146" s="134">
        <f>Variables!$C$3*POWER(SUM(1,Variables!$C$2/100),C146-2017)</f>
        <v>17243.3972729421</v>
      </c>
      <c r="H146" s="134">
        <f t="shared" si="14"/>
        <v>373.04226453991487</v>
      </c>
      <c r="I146" s="135">
        <f>VLOOKUP(B146,'Waste per capita'!$B$2:$F$48,4,FALSE)*(H146/Variables!$C$6)</f>
        <v>148.74116965981108</v>
      </c>
      <c r="J146" s="134">
        <f t="shared" si="15"/>
        <v>374516.07411395194</v>
      </c>
      <c r="K146" s="136">
        <f>Variables!$C$15</f>
        <v>1</v>
      </c>
      <c r="L146" s="137">
        <f t="shared" si="16"/>
        <v>374516.07411395194</v>
      </c>
      <c r="N146" s="138">
        <f>Variables!$E$30*Variables!$C$19</f>
        <v>2.2291759999999998</v>
      </c>
      <c r="O146" s="87">
        <f t="shared" si="17"/>
        <v>834862.24402904289</v>
      </c>
      <c r="P146" s="145">
        <f>Variables!$E$29</f>
        <v>48.483938529092256</v>
      </c>
      <c r="Q146" s="146">
        <f t="shared" si="18"/>
        <v>18158014.315497804</v>
      </c>
    </row>
    <row r="147" spans="1:17">
      <c r="A147" s="101">
        <v>3</v>
      </c>
      <c r="B147" s="132" t="s">
        <v>23</v>
      </c>
      <c r="C147" s="101">
        <v>2022</v>
      </c>
      <c r="D147" s="133">
        <f>Population!G4</f>
        <v>1934726.7141642421</v>
      </c>
      <c r="E147" s="133" t="str">
        <f t="shared" si="19"/>
        <v>Large</v>
      </c>
      <c r="F147" s="133"/>
      <c r="G147" s="134">
        <f>Variables!$C$3*POWER(SUM(1,Variables!$C$2/100),C147-2017)</f>
        <v>17243.3972729421</v>
      </c>
      <c r="H147" s="134">
        <f t="shared" si="14"/>
        <v>373.04226453991487</v>
      </c>
      <c r="I147" s="135">
        <f>VLOOKUP(B147,'Waste per capita'!$B$2:$F$48,4,FALSE)*(H147/Variables!$C$6)</f>
        <v>110.59821901399319</v>
      </c>
      <c r="J147" s="134">
        <f t="shared" si="15"/>
        <v>213977.32886536026</v>
      </c>
      <c r="K147" s="136">
        <f>Variables!$C$15</f>
        <v>1</v>
      </c>
      <c r="L147" s="137">
        <f t="shared" si="16"/>
        <v>213977.32886536026</v>
      </c>
      <c r="N147" s="138">
        <f>Variables!$E$30*Variables!$C$19</f>
        <v>2.2291759999999998</v>
      </c>
      <c r="O147" s="87">
        <f t="shared" si="17"/>
        <v>476993.1260507683</v>
      </c>
      <c r="P147" s="145">
        <f>Variables!$E$29</f>
        <v>48.483938529092256</v>
      </c>
      <c r="Q147" s="146">
        <f t="shared" si="18"/>
        <v>10374463.659327485</v>
      </c>
    </row>
    <row r="148" spans="1:17">
      <c r="A148" s="101">
        <v>4</v>
      </c>
      <c r="B148" s="132" t="s">
        <v>24</v>
      </c>
      <c r="C148" s="101">
        <v>2022</v>
      </c>
      <c r="D148" s="133">
        <f>Population!G5</f>
        <v>1188836.4971457138</v>
      </c>
      <c r="E148" s="133" t="str">
        <f t="shared" si="19"/>
        <v>Large</v>
      </c>
      <c r="F148" s="133"/>
      <c r="G148" s="134">
        <f>Variables!$C$3*POWER(SUM(1,Variables!$C$2/100),C148-2017)</f>
        <v>17243.3972729421</v>
      </c>
      <c r="H148" s="134">
        <f t="shared" si="14"/>
        <v>373.04226453991487</v>
      </c>
      <c r="I148" s="135">
        <f>VLOOKUP(B148,'Waste per capita'!$B$2:$F$48,4,FALSE)*(H148/Variables!$C$6)</f>
        <v>380.94942104819881</v>
      </c>
      <c r="J148" s="134">
        <f t="shared" si="15"/>
        <v>452886.57530862832</v>
      </c>
      <c r="K148" s="136">
        <f>Variables!$C$15</f>
        <v>1</v>
      </c>
      <c r="L148" s="137">
        <f t="shared" si="16"/>
        <v>452886.57530862832</v>
      </c>
      <c r="N148" s="138">
        <f>Variables!$E$30*Variables!$C$19</f>
        <v>2.2291759999999998</v>
      </c>
      <c r="O148" s="87">
        <f t="shared" si="17"/>
        <v>1009563.8844001867</v>
      </c>
      <c r="P148" s="145">
        <f>Variables!$E$29</f>
        <v>48.483938529092256</v>
      </c>
      <c r="Q148" s="146">
        <f t="shared" si="18"/>
        <v>21957724.877914645</v>
      </c>
    </row>
    <row r="149" spans="1:17">
      <c r="A149" s="101">
        <v>5</v>
      </c>
      <c r="B149" s="132" t="s">
        <v>25</v>
      </c>
      <c r="C149" s="101">
        <v>2022</v>
      </c>
      <c r="D149" s="133">
        <f>Population!G6</f>
        <v>561307.42056578409</v>
      </c>
      <c r="E149" s="133" t="str">
        <f t="shared" si="19"/>
        <v>Medium</v>
      </c>
      <c r="F149" s="133"/>
      <c r="G149" s="134">
        <f>Variables!$C$3*POWER(SUM(1,Variables!$C$2/100),C149-2017)</f>
        <v>17243.3972729421</v>
      </c>
      <c r="H149" s="134">
        <f t="shared" si="14"/>
        <v>373.04226453991487</v>
      </c>
      <c r="I149" s="135">
        <f>VLOOKUP(B149,'Waste per capita'!$B$2:$F$48,4,FALSE)*(H149/Variables!$C$6)</f>
        <v>145.2592374495639</v>
      </c>
      <c r="J149" s="134">
        <f t="shared" si="15"/>
        <v>81535.087886167457</v>
      </c>
      <c r="K149" s="136">
        <f>Variables!$C$15</f>
        <v>1</v>
      </c>
      <c r="L149" s="137">
        <f t="shared" si="16"/>
        <v>81535.087886167457</v>
      </c>
      <c r="N149" s="138">
        <f>Variables!$E$30*Variables!$C$19</f>
        <v>2.2291759999999998</v>
      </c>
      <c r="O149" s="87">
        <f t="shared" si="17"/>
        <v>181756.06107373521</v>
      </c>
      <c r="P149" s="145">
        <f>Variables!$E$29</f>
        <v>48.483938529092256</v>
      </c>
      <c r="Q149" s="146">
        <f t="shared" si="18"/>
        <v>3953142.1890370776</v>
      </c>
    </row>
    <row r="150" spans="1:17">
      <c r="A150" s="101">
        <v>6</v>
      </c>
      <c r="B150" s="132" t="s">
        <v>26</v>
      </c>
      <c r="C150" s="101">
        <v>2022</v>
      </c>
      <c r="D150" s="133">
        <f>Population!G7</f>
        <v>942433.51932326576</v>
      </c>
      <c r="E150" s="133" t="str">
        <f t="shared" si="19"/>
        <v>Medium</v>
      </c>
      <c r="F150" s="133"/>
      <c r="G150" s="134">
        <f>Variables!$C$3*POWER(SUM(1,Variables!$C$2/100),C150-2017)</f>
        <v>17243.3972729421</v>
      </c>
      <c r="H150" s="134">
        <f t="shared" si="14"/>
        <v>373.04226453991487</v>
      </c>
      <c r="I150" s="135">
        <f>VLOOKUP(B150,'Waste per capita'!$B$2:$F$48,4,FALSE)*(H150/Variables!$C$6)</f>
        <v>145.2592374495639</v>
      </c>
      <c r="J150" s="134">
        <f t="shared" si="15"/>
        <v>136897.17436380644</v>
      </c>
      <c r="K150" s="136">
        <f>Variables!$C$15</f>
        <v>1</v>
      </c>
      <c r="L150" s="137">
        <f t="shared" si="16"/>
        <v>136897.17436380644</v>
      </c>
      <c r="N150" s="138">
        <f>Variables!$E$30*Variables!$C$19</f>
        <v>2.2291759999999998</v>
      </c>
      <c r="O150" s="87">
        <f t="shared" si="17"/>
        <v>305167.89555961255</v>
      </c>
      <c r="P150" s="145">
        <f>Variables!$E$29</f>
        <v>48.483938529092256</v>
      </c>
      <c r="Q150" s="146">
        <f t="shared" si="18"/>
        <v>6637314.1866612155</v>
      </c>
    </row>
    <row r="151" spans="1:17">
      <c r="A151" s="101">
        <v>7</v>
      </c>
      <c r="B151" s="132" t="s">
        <v>27</v>
      </c>
      <c r="C151" s="101">
        <v>2022</v>
      </c>
      <c r="D151" s="133">
        <f>Population!G8</f>
        <v>668037.07785308338</v>
      </c>
      <c r="E151" s="133" t="str">
        <f t="shared" si="19"/>
        <v>Medium</v>
      </c>
      <c r="F151" s="133"/>
      <c r="G151" s="134">
        <f>Variables!$C$3*POWER(SUM(1,Variables!$C$2/100),C151-2017)</f>
        <v>17243.3972729421</v>
      </c>
      <c r="H151" s="134">
        <f t="shared" si="14"/>
        <v>373.04226453991487</v>
      </c>
      <c r="I151" s="135">
        <f>VLOOKUP(B151,'Waste per capita'!$B$2:$F$48,4,FALSE)*(H151/Variables!$C$6)</f>
        <v>145.2592374495639</v>
      </c>
      <c r="J151" s="134">
        <f t="shared" si="15"/>
        <v>97038.55651697384</v>
      </c>
      <c r="K151" s="136">
        <f>Variables!$C$15</f>
        <v>1</v>
      </c>
      <c r="L151" s="137">
        <f t="shared" si="16"/>
        <v>97038.55651697384</v>
      </c>
      <c r="N151" s="138">
        <f>Variables!$E$30*Variables!$C$19</f>
        <v>2.2291759999999998</v>
      </c>
      <c r="O151" s="87">
        <f t="shared" si="17"/>
        <v>216316.02126228166</v>
      </c>
      <c r="P151" s="145">
        <f>Variables!$E$29</f>
        <v>48.483938529092256</v>
      </c>
      <c r="Q151" s="146">
        <f t="shared" si="18"/>
        <v>4704811.4091208046</v>
      </c>
    </row>
    <row r="152" spans="1:17">
      <c r="A152" s="101">
        <v>8</v>
      </c>
      <c r="B152" s="132" t="s">
        <v>28</v>
      </c>
      <c r="C152" s="101">
        <v>2022</v>
      </c>
      <c r="D152" s="133">
        <f>Population!G9</f>
        <v>434808.80578454351</v>
      </c>
      <c r="E152" s="133" t="str">
        <f t="shared" si="19"/>
        <v>Medium</v>
      </c>
      <c r="F152" s="133"/>
      <c r="G152" s="134">
        <f>Variables!$C$3*POWER(SUM(1,Variables!$C$2/100),C152-2017)</f>
        <v>17243.3972729421</v>
      </c>
      <c r="H152" s="134">
        <f t="shared" si="14"/>
        <v>373.04226453991487</v>
      </c>
      <c r="I152" s="135">
        <f>VLOOKUP(B152,'Waste per capita'!$B$2:$F$48,4,FALSE)*(H152/Variables!$C$6)</f>
        <v>145.2592374495639</v>
      </c>
      <c r="J152" s="134">
        <f t="shared" si="15"/>
        <v>63159.995564618323</v>
      </c>
      <c r="K152" s="136">
        <f>Variables!$C$15</f>
        <v>1</v>
      </c>
      <c r="L152" s="137">
        <f t="shared" si="16"/>
        <v>63159.995564618323</v>
      </c>
      <c r="N152" s="138">
        <f>Variables!$E$30*Variables!$C$19</f>
        <v>2.2291759999999998</v>
      </c>
      <c r="O152" s="87">
        <f t="shared" si="17"/>
        <v>140794.7462727536</v>
      </c>
      <c r="P152" s="145">
        <f>Variables!$E$29</f>
        <v>48.483938529092256</v>
      </c>
      <c r="Q152" s="146">
        <f t="shared" si="18"/>
        <v>3062245.3424526942</v>
      </c>
    </row>
    <row r="153" spans="1:17">
      <c r="A153" s="101">
        <v>9</v>
      </c>
      <c r="B153" s="132" t="s">
        <v>29</v>
      </c>
      <c r="C153" s="101">
        <v>2022</v>
      </c>
      <c r="D153" s="133">
        <f>Population!G10</f>
        <v>509298.48385805788</v>
      </c>
      <c r="E153" s="133" t="str">
        <f t="shared" si="19"/>
        <v>Medium</v>
      </c>
      <c r="F153" s="133"/>
      <c r="G153" s="134">
        <f>Variables!$C$3*POWER(SUM(1,Variables!$C$2/100),C153-2017)</f>
        <v>17243.3972729421</v>
      </c>
      <c r="H153" s="134">
        <f t="shared" si="14"/>
        <v>373.04226453991487</v>
      </c>
      <c r="I153" s="135">
        <f>VLOOKUP(B153,'Waste per capita'!$B$2:$F$48,4,FALSE)*(H153/Variables!$C$6)</f>
        <v>145.2592374495639</v>
      </c>
      <c r="J153" s="134">
        <f t="shared" si="15"/>
        <v>73980.309399440506</v>
      </c>
      <c r="K153" s="136">
        <f>Variables!$C$15</f>
        <v>1</v>
      </c>
      <c r="L153" s="137">
        <f t="shared" si="16"/>
        <v>73980.309399440506</v>
      </c>
      <c r="N153" s="138">
        <f>Variables!$E$30*Variables!$C$19</f>
        <v>2.2291759999999998</v>
      </c>
      <c r="O153" s="87">
        <f t="shared" si="17"/>
        <v>164915.13018580718</v>
      </c>
      <c r="P153" s="145">
        <f>Variables!$E$29</f>
        <v>48.483938529092256</v>
      </c>
      <c r="Q153" s="146">
        <f t="shared" si="18"/>
        <v>3586856.7732856995</v>
      </c>
    </row>
    <row r="154" spans="1:17">
      <c r="A154" s="101">
        <v>10</v>
      </c>
      <c r="B154" s="132" t="s">
        <v>30</v>
      </c>
      <c r="C154" s="101">
        <v>2022</v>
      </c>
      <c r="D154" s="133">
        <f>Population!G11</f>
        <v>531409.87070822844</v>
      </c>
      <c r="E154" s="133" t="str">
        <f t="shared" si="19"/>
        <v>Medium</v>
      </c>
      <c r="F154" s="133"/>
      <c r="G154" s="134">
        <f>Variables!$C$3*POWER(SUM(1,Variables!$C$2/100),C154-2017)</f>
        <v>17243.3972729421</v>
      </c>
      <c r="H154" s="134">
        <f t="shared" si="14"/>
        <v>373.04226453991487</v>
      </c>
      <c r="I154" s="135">
        <f>VLOOKUP(B154,'Waste per capita'!$B$2:$F$48,4,FALSE)*(H154/Variables!$C$6)</f>
        <v>145.2592374495639</v>
      </c>
      <c r="J154" s="134">
        <f t="shared" si="15"/>
        <v>77192.192592248597</v>
      </c>
      <c r="K154" s="136">
        <f>Variables!$C$15</f>
        <v>1</v>
      </c>
      <c r="L154" s="137">
        <f t="shared" si="16"/>
        <v>77192.192592248597</v>
      </c>
      <c r="N154" s="138">
        <f>Variables!$E$30*Variables!$C$19</f>
        <v>2.2291759999999998</v>
      </c>
      <c r="O154" s="87">
        <f t="shared" si="17"/>
        <v>172074.98311401834</v>
      </c>
      <c r="P154" s="145">
        <f>Variables!$E$29</f>
        <v>48.483938529092256</v>
      </c>
      <c r="Q154" s="146">
        <f t="shared" si="18"/>
        <v>3742581.5205684318</v>
      </c>
    </row>
    <row r="155" spans="1:17">
      <c r="A155" s="101">
        <v>11</v>
      </c>
      <c r="B155" s="132" t="s">
        <v>31</v>
      </c>
      <c r="C155" s="101">
        <v>2022</v>
      </c>
      <c r="D155" s="133">
        <f>Population!G12</f>
        <v>373945.97433750355</v>
      </c>
      <c r="E155" s="133" t="str">
        <f t="shared" si="19"/>
        <v>Medium</v>
      </c>
      <c r="F155" s="133"/>
      <c r="G155" s="134">
        <f>Variables!$C$3*POWER(SUM(1,Variables!$C$2/100),C155-2017)</f>
        <v>17243.3972729421</v>
      </c>
      <c r="H155" s="134">
        <f t="shared" si="14"/>
        <v>373.04226453991487</v>
      </c>
      <c r="I155" s="135">
        <f>VLOOKUP(B155,'Waste per capita'!$B$2:$F$48,4,FALSE)*(H155/Variables!$C$6)</f>
        <v>145.2592374495639</v>
      </c>
      <c r="J155" s="134">
        <f t="shared" si="15"/>
        <v>54319.107079599955</v>
      </c>
      <c r="K155" s="136">
        <f>Variables!$C$15</f>
        <v>1</v>
      </c>
      <c r="L155" s="137">
        <f t="shared" si="16"/>
        <v>54319.107079599955</v>
      </c>
      <c r="N155" s="138">
        <f>Variables!$E$30*Variables!$C$19</f>
        <v>2.2291759999999998</v>
      </c>
      <c r="O155" s="87">
        <f t="shared" si="17"/>
        <v>121086.84984327429</v>
      </c>
      <c r="P155" s="145">
        <f>Variables!$E$29</f>
        <v>48.483938529092256</v>
      </c>
      <c r="Q155" s="146">
        <f t="shared" si="18"/>
        <v>2633604.2486025044</v>
      </c>
    </row>
    <row r="156" spans="1:17">
      <c r="A156" s="101">
        <v>12</v>
      </c>
      <c r="B156" s="132" t="s">
        <v>32</v>
      </c>
      <c r="C156" s="101">
        <v>2022</v>
      </c>
      <c r="D156" s="133">
        <f>Population!G13</f>
        <v>425008.17475807224</v>
      </c>
      <c r="E156" s="133" t="str">
        <f t="shared" si="19"/>
        <v>Medium</v>
      </c>
      <c r="F156" s="133"/>
      <c r="G156" s="134">
        <f>Variables!$C$3*POWER(SUM(1,Variables!$C$2/100),C156-2017)</f>
        <v>17243.3972729421</v>
      </c>
      <c r="H156" s="134">
        <f t="shared" si="14"/>
        <v>373.04226453991487</v>
      </c>
      <c r="I156" s="135">
        <f>VLOOKUP(B156,'Waste per capita'!$B$2:$F$48,4,FALSE)*(H156/Variables!$C$6)</f>
        <v>145.2592374495639</v>
      </c>
      <c r="J156" s="134">
        <f t="shared" si="15"/>
        <v>61736.363375188565</v>
      </c>
      <c r="K156" s="136">
        <f>Variables!$C$15</f>
        <v>1</v>
      </c>
      <c r="L156" s="137">
        <f t="shared" si="16"/>
        <v>61736.363375188565</v>
      </c>
      <c r="N156" s="138">
        <f>Variables!$E$30*Variables!$C$19</f>
        <v>2.2291759999999998</v>
      </c>
      <c r="O156" s="87">
        <f t="shared" si="17"/>
        <v>137621.21956324932</v>
      </c>
      <c r="P156" s="145">
        <f>Variables!$E$29</f>
        <v>48.483938529092256</v>
      </c>
      <c r="Q156" s="146">
        <f t="shared" si="18"/>
        <v>2993222.046892345</v>
      </c>
    </row>
    <row r="157" spans="1:17">
      <c r="A157" s="101">
        <v>13</v>
      </c>
      <c r="B157" s="132" t="s">
        <v>33</v>
      </c>
      <c r="C157" s="101">
        <v>2022</v>
      </c>
      <c r="D157" s="133">
        <f>Population!G14</f>
        <v>478899.97040460724</v>
      </c>
      <c r="E157" s="133" t="str">
        <f t="shared" si="19"/>
        <v>Medium</v>
      </c>
      <c r="F157" s="133"/>
      <c r="G157" s="134">
        <f>Variables!$C$3*POWER(SUM(1,Variables!$C$2/100),C157-2017)</f>
        <v>17243.3972729421</v>
      </c>
      <c r="H157" s="134">
        <f t="shared" si="14"/>
        <v>373.04226453991487</v>
      </c>
      <c r="I157" s="135">
        <f>VLOOKUP(B157,'Waste per capita'!$B$2:$F$48,4,FALSE)*(H157/Variables!$C$6)</f>
        <v>145.2592374495639</v>
      </c>
      <c r="J157" s="134">
        <f t="shared" si="15"/>
        <v>69564.644515591965</v>
      </c>
      <c r="K157" s="136">
        <f>Variables!$C$15</f>
        <v>1</v>
      </c>
      <c r="L157" s="137">
        <f t="shared" si="16"/>
        <v>69564.644515591965</v>
      </c>
      <c r="N157" s="138">
        <f>Variables!$E$30*Variables!$C$19</f>
        <v>2.2291759999999998</v>
      </c>
      <c r="O157" s="87">
        <f t="shared" si="17"/>
        <v>155071.83600268923</v>
      </c>
      <c r="P157" s="145">
        <f>Variables!$E$29</f>
        <v>48.483938529092256</v>
      </c>
      <c r="Q157" s="146">
        <f t="shared" si="18"/>
        <v>3372767.9484921154</v>
      </c>
    </row>
    <row r="158" spans="1:17">
      <c r="A158" s="101">
        <v>14</v>
      </c>
      <c r="B158" s="132" t="s">
        <v>34</v>
      </c>
      <c r="C158" s="101">
        <v>2022</v>
      </c>
      <c r="D158" s="133">
        <f>Population!G15</f>
        <v>333826.43212387856</v>
      </c>
      <c r="E158" s="133" t="str">
        <f t="shared" si="19"/>
        <v>Medium</v>
      </c>
      <c r="F158" s="133"/>
      <c r="G158" s="134">
        <f>Variables!$C$3*POWER(SUM(1,Variables!$C$2/100),C158-2017)</f>
        <v>17243.3972729421</v>
      </c>
      <c r="H158" s="134">
        <f t="shared" si="14"/>
        <v>373.04226453991487</v>
      </c>
      <c r="I158" s="135">
        <f>VLOOKUP(B158,'Waste per capita'!$B$2:$F$48,4,FALSE)*(H158/Variables!$C$6)</f>
        <v>145.2592374495639</v>
      </c>
      <c r="J158" s="134">
        <f t="shared" si="15"/>
        <v>48491.372970823199</v>
      </c>
      <c r="K158" s="136">
        <f>Variables!$C$15</f>
        <v>1</v>
      </c>
      <c r="L158" s="137">
        <f t="shared" si="16"/>
        <v>48491.372970823199</v>
      </c>
      <c r="N158" s="138">
        <f>Variables!$E$30*Variables!$C$19</f>
        <v>2.2291759999999998</v>
      </c>
      <c r="O158" s="87">
        <f t="shared" si="17"/>
        <v>108095.80483360776</v>
      </c>
      <c r="P158" s="145">
        <f>Variables!$E$29</f>
        <v>48.483938529092256</v>
      </c>
      <c r="Q158" s="146">
        <f t="shared" si="18"/>
        <v>2351052.7463086778</v>
      </c>
    </row>
    <row r="159" spans="1:17">
      <c r="A159" s="101">
        <v>15</v>
      </c>
      <c r="B159" s="132" t="s">
        <v>35</v>
      </c>
      <c r="C159" s="101">
        <v>2022</v>
      </c>
      <c r="D159" s="133">
        <f>Population!G16</f>
        <v>292555.31045782549</v>
      </c>
      <c r="E159" s="133" t="str">
        <f t="shared" si="19"/>
        <v>Medium</v>
      </c>
      <c r="F159" s="133"/>
      <c r="G159" s="134">
        <f>Variables!$C$3*POWER(SUM(1,Variables!$C$2/100),C159-2017)</f>
        <v>17243.3972729421</v>
      </c>
      <c r="H159" s="134">
        <f t="shared" si="14"/>
        <v>373.04226453991487</v>
      </c>
      <c r="I159" s="135">
        <f>VLOOKUP(B159,'Waste per capita'!$B$2:$F$48,4,FALSE)*(H159/Variables!$C$6)</f>
        <v>90.019839810469335</v>
      </c>
      <c r="J159" s="134">
        <f t="shared" si="15"/>
        <v>26335.782183115574</v>
      </c>
      <c r="K159" s="136">
        <f>Variables!$C$15</f>
        <v>1</v>
      </c>
      <c r="L159" s="137">
        <f t="shared" si="16"/>
        <v>26335.782183115574</v>
      </c>
      <c r="N159" s="138">
        <f>Variables!$E$30*Variables!$C$19</f>
        <v>2.2291759999999998</v>
      </c>
      <c r="O159" s="87">
        <f t="shared" si="17"/>
        <v>58707.093583828842</v>
      </c>
      <c r="P159" s="145">
        <f>Variables!$E$29</f>
        <v>48.483938529092256</v>
      </c>
      <c r="Q159" s="146">
        <f t="shared" si="18"/>
        <v>1276862.4444817386</v>
      </c>
    </row>
    <row r="160" spans="1:17">
      <c r="A160" s="101">
        <v>16</v>
      </c>
      <c r="B160" s="132" t="s">
        <v>36</v>
      </c>
      <c r="C160" s="101">
        <v>2022</v>
      </c>
      <c r="D160" s="133">
        <f>Population!G17</f>
        <v>487536.28561604285</v>
      </c>
      <c r="E160" s="133" t="str">
        <f t="shared" si="19"/>
        <v>Medium</v>
      </c>
      <c r="F160" s="133"/>
      <c r="G160" s="134">
        <f>Variables!$C$3*POWER(SUM(1,Variables!$C$2/100),C160-2017)</f>
        <v>17243.3972729421</v>
      </c>
      <c r="H160" s="134">
        <f t="shared" si="14"/>
        <v>373.04226453991487</v>
      </c>
      <c r="I160" s="135">
        <f>VLOOKUP(B160,'Waste per capita'!$B$2:$F$48,4,FALSE)*(H160/Variables!$C$6)</f>
        <v>145.2592374495639</v>
      </c>
      <c r="J160" s="134">
        <f t="shared" si="15"/>
        <v>70819.149077579175</v>
      </c>
      <c r="K160" s="136">
        <f>Variables!$C$15</f>
        <v>1</v>
      </c>
      <c r="L160" s="137">
        <f t="shared" si="16"/>
        <v>70819.149077579175</v>
      </c>
      <c r="N160" s="138">
        <f>Variables!$E$30*Variables!$C$19</f>
        <v>2.2291759999999998</v>
      </c>
      <c r="O160" s="87">
        <f t="shared" si="17"/>
        <v>157868.34746416163</v>
      </c>
      <c r="P160" s="145">
        <f>Variables!$E$29</f>
        <v>48.483938529092256</v>
      </c>
      <c r="Q160" s="146">
        <f t="shared" si="18"/>
        <v>3433591.2705599694</v>
      </c>
    </row>
    <row r="161" spans="1:17">
      <c r="A161" s="101">
        <v>17</v>
      </c>
      <c r="B161" s="132" t="s">
        <v>37</v>
      </c>
      <c r="C161" s="101">
        <v>2022</v>
      </c>
      <c r="D161" s="133">
        <f>Population!G18</f>
        <v>460337.78326772666</v>
      </c>
      <c r="E161" s="133" t="str">
        <f t="shared" si="19"/>
        <v>Medium</v>
      </c>
      <c r="F161" s="133"/>
      <c r="G161" s="134">
        <f>Variables!$C$3*POWER(SUM(1,Variables!$C$2/100),C161-2017)</f>
        <v>17243.3972729421</v>
      </c>
      <c r="H161" s="134">
        <f t="shared" si="14"/>
        <v>373.04226453991487</v>
      </c>
      <c r="I161" s="135">
        <f>VLOOKUP(B161,'Waste per capita'!$B$2:$F$48,4,FALSE)*(H161/Variables!$C$6)</f>
        <v>145.2592374495639</v>
      </c>
      <c r="J161" s="134">
        <f t="shared" si="15"/>
        <v>66868.315366692594</v>
      </c>
      <c r="K161" s="136">
        <f>Variables!$C$15</f>
        <v>1</v>
      </c>
      <c r="L161" s="137">
        <f t="shared" si="16"/>
        <v>66868.315366692594</v>
      </c>
      <c r="N161" s="138">
        <f>Variables!$E$30*Variables!$C$19</f>
        <v>2.2291759999999998</v>
      </c>
      <c r="O161" s="87">
        <f t="shared" si="17"/>
        <v>149061.24377586233</v>
      </c>
      <c r="P161" s="145">
        <f>Variables!$E$29</f>
        <v>48.483938529092256</v>
      </c>
      <c r="Q161" s="146">
        <f t="shared" si="18"/>
        <v>3242039.291782679</v>
      </c>
    </row>
    <row r="162" spans="1:17">
      <c r="A162" s="101">
        <v>18</v>
      </c>
      <c r="B162" s="132" t="s">
        <v>38</v>
      </c>
      <c r="C162" s="101">
        <v>2022</v>
      </c>
      <c r="D162" s="133">
        <f>Population!G19</f>
        <v>291473.78099973861</v>
      </c>
      <c r="E162" s="133" t="str">
        <f t="shared" si="19"/>
        <v>Medium</v>
      </c>
      <c r="F162" s="133"/>
      <c r="G162" s="134">
        <f>Variables!$C$3*POWER(SUM(1,Variables!$C$2/100),C162-2017)</f>
        <v>17243.3972729421</v>
      </c>
      <c r="H162" s="134">
        <f t="shared" si="14"/>
        <v>373.04226453991487</v>
      </c>
      <c r="I162" s="135">
        <f>VLOOKUP(B162,'Waste per capita'!$B$2:$F$48,4,FALSE)*(H162/Variables!$C$6)</f>
        <v>145.2592374495639</v>
      </c>
      <c r="J162" s="134">
        <f t="shared" si="15"/>
        <v>42339.259164563213</v>
      </c>
      <c r="K162" s="136">
        <f>Variables!$C$15</f>
        <v>1</v>
      </c>
      <c r="L162" s="137">
        <f t="shared" si="16"/>
        <v>42339.259164563213</v>
      </c>
      <c r="N162" s="138">
        <f>Variables!$E$30*Variables!$C$19</f>
        <v>2.2291759999999998</v>
      </c>
      <c r="O162" s="87">
        <f t="shared" si="17"/>
        <v>94381.660387424359</v>
      </c>
      <c r="P162" s="145">
        <f>Variables!$E$29</f>
        <v>48.483938529092256</v>
      </c>
      <c r="Q162" s="146">
        <f t="shared" si="18"/>
        <v>2052774.0387019888</v>
      </c>
    </row>
    <row r="163" spans="1:17">
      <c r="A163" s="101">
        <v>19</v>
      </c>
      <c r="B163" s="132" t="s">
        <v>39</v>
      </c>
      <c r="C163" s="101">
        <v>2022</v>
      </c>
      <c r="D163" s="133">
        <f>Population!G20</f>
        <v>294284.27168179362</v>
      </c>
      <c r="E163" s="133" t="str">
        <f t="shared" si="19"/>
        <v>Medium</v>
      </c>
      <c r="F163" s="133"/>
      <c r="G163" s="134">
        <f>Variables!$C$3*POWER(SUM(1,Variables!$C$2/100),C163-2017)</f>
        <v>17243.3972729421</v>
      </c>
      <c r="H163" s="134">
        <f t="shared" si="14"/>
        <v>373.04226453991487</v>
      </c>
      <c r="I163" s="135">
        <f>VLOOKUP(B163,'Waste per capita'!$B$2:$F$48,4,FALSE)*(H163/Variables!$C$6)</f>
        <v>145.2592374495639</v>
      </c>
      <c r="J163" s="134">
        <f t="shared" si="15"/>
        <v>42747.508897897627</v>
      </c>
      <c r="K163" s="136">
        <f>Variables!$C$15</f>
        <v>1</v>
      </c>
      <c r="L163" s="137">
        <f t="shared" si="16"/>
        <v>42747.508897897627</v>
      </c>
      <c r="N163" s="138">
        <f>Variables!$E$30*Variables!$C$19</f>
        <v>2.2291759999999998</v>
      </c>
      <c r="O163" s="87">
        <f t="shared" si="17"/>
        <v>95291.720894979837</v>
      </c>
      <c r="P163" s="145">
        <f>Variables!$E$29</f>
        <v>48.483938529092256</v>
      </c>
      <c r="Q163" s="146">
        <f t="shared" si="18"/>
        <v>2072567.5936774928</v>
      </c>
    </row>
    <row r="164" spans="1:17">
      <c r="A164" s="101">
        <v>20</v>
      </c>
      <c r="B164" s="132" t="s">
        <v>40</v>
      </c>
      <c r="C164" s="101">
        <v>2022</v>
      </c>
      <c r="D164" s="133">
        <f>Population!G21</f>
        <v>178299.52423304427</v>
      </c>
      <c r="E164" s="133" t="str">
        <f t="shared" si="19"/>
        <v>Medium</v>
      </c>
      <c r="F164" s="133"/>
      <c r="G164" s="134">
        <f>Variables!$C$3*POWER(SUM(1,Variables!$C$2/100),C164-2017)</f>
        <v>17243.3972729421</v>
      </c>
      <c r="H164" s="134">
        <f t="shared" si="14"/>
        <v>373.04226453991487</v>
      </c>
      <c r="I164" s="135">
        <f>VLOOKUP(B164,'Waste per capita'!$B$2:$F$48,4,FALSE)*(H164/Variables!$C$6)</f>
        <v>145.2592374495639</v>
      </c>
      <c r="J164" s="134">
        <f t="shared" si="15"/>
        <v>25899.65292771205</v>
      </c>
      <c r="K164" s="136">
        <f>Variables!$C$15</f>
        <v>1</v>
      </c>
      <c r="L164" s="137">
        <f t="shared" si="16"/>
        <v>25899.65292771205</v>
      </c>
      <c r="N164" s="138">
        <f>Variables!$E$30*Variables!$C$19</f>
        <v>2.2291759999999998</v>
      </c>
      <c r="O164" s="87">
        <f t="shared" si="17"/>
        <v>57734.884714785432</v>
      </c>
      <c r="P164" s="145">
        <f>Variables!$E$29</f>
        <v>48.483938529092256</v>
      </c>
      <c r="Q164" s="146">
        <f t="shared" si="18"/>
        <v>1255717.1804720154</v>
      </c>
    </row>
    <row r="165" spans="1:17">
      <c r="A165" s="101">
        <v>21</v>
      </c>
      <c r="B165" s="132" t="s">
        <v>41</v>
      </c>
      <c r="C165" s="101">
        <v>2022</v>
      </c>
      <c r="D165" s="133">
        <f>Population!G22</f>
        <v>188469.50977513302</v>
      </c>
      <c r="E165" s="133" t="str">
        <f t="shared" si="19"/>
        <v>Medium</v>
      </c>
      <c r="F165" s="133"/>
      <c r="G165" s="134">
        <f>Variables!$C$3*POWER(SUM(1,Variables!$C$2/100),C165-2017)</f>
        <v>17243.3972729421</v>
      </c>
      <c r="H165" s="134">
        <f t="shared" si="14"/>
        <v>373.04226453991487</v>
      </c>
      <c r="I165" s="135">
        <f>VLOOKUP(B165,'Waste per capita'!$B$2:$F$48,4,FALSE)*(H165/Variables!$C$6)</f>
        <v>145.2592374495639</v>
      </c>
      <c r="J165" s="134">
        <f t="shared" si="15"/>
        <v>27376.937272428953</v>
      </c>
      <c r="K165" s="136">
        <f>Variables!$C$15</f>
        <v>1</v>
      </c>
      <c r="L165" s="137">
        <f t="shared" si="16"/>
        <v>27376.937272428953</v>
      </c>
      <c r="N165" s="138">
        <f>Variables!$E$30*Variables!$C$19</f>
        <v>2.2291759999999998</v>
      </c>
      <c r="O165" s="87">
        <f t="shared" si="17"/>
        <v>61028.011521204076</v>
      </c>
      <c r="P165" s="145">
        <f>Variables!$E$29</f>
        <v>48.483938529092256</v>
      </c>
      <c r="Q165" s="146">
        <f t="shared" si="18"/>
        <v>1327341.7438312599</v>
      </c>
    </row>
    <row r="166" spans="1:17">
      <c r="A166" s="101">
        <v>22</v>
      </c>
      <c r="B166" s="132" t="s">
        <v>42</v>
      </c>
      <c r="C166" s="101">
        <v>2022</v>
      </c>
      <c r="D166" s="133">
        <f>Population!G23</f>
        <v>166410.12973894304</v>
      </c>
      <c r="E166" s="133" t="str">
        <f t="shared" si="19"/>
        <v>Medium</v>
      </c>
      <c r="F166" s="133"/>
      <c r="G166" s="134">
        <f>Variables!$C$3*POWER(SUM(1,Variables!$C$2/100),C166-2017)</f>
        <v>17243.3972729421</v>
      </c>
      <c r="H166" s="134">
        <f t="shared" si="14"/>
        <v>373.04226453991487</v>
      </c>
      <c r="I166" s="135">
        <f>VLOOKUP(B166,'Waste per capita'!$B$2:$F$48,4,FALSE)*(H166/Variables!$C$6)</f>
        <v>109.81626331006217</v>
      </c>
      <c r="J166" s="134">
        <f t="shared" si="15"/>
        <v>18274.538624873378</v>
      </c>
      <c r="K166" s="136">
        <f>Variables!$C$15</f>
        <v>1</v>
      </c>
      <c r="L166" s="137">
        <f t="shared" si="16"/>
        <v>18274.538624873378</v>
      </c>
      <c r="N166" s="138">
        <f>Variables!$E$30*Variables!$C$19</f>
        <v>2.2291759999999998</v>
      </c>
      <c r="O166" s="87">
        <f t="shared" si="17"/>
        <v>40737.162913640735</v>
      </c>
      <c r="P166" s="145">
        <f>Variables!$E$29</f>
        <v>48.483938529092256</v>
      </c>
      <c r="Q166" s="146">
        <f t="shared" si="18"/>
        <v>886021.60733588296</v>
      </c>
    </row>
    <row r="167" spans="1:17">
      <c r="A167" s="101">
        <v>23</v>
      </c>
      <c r="B167" s="132" t="s">
        <v>43</v>
      </c>
      <c r="C167" s="101">
        <v>2022</v>
      </c>
      <c r="D167" s="133">
        <f>Population!G24</f>
        <v>128084.29192587431</v>
      </c>
      <c r="E167" s="133" t="str">
        <f t="shared" si="19"/>
        <v>Medium</v>
      </c>
      <c r="F167" s="133"/>
      <c r="G167" s="134">
        <f>Variables!$C$3*POWER(SUM(1,Variables!$C$2/100),C167-2017)</f>
        <v>17243.3972729421</v>
      </c>
      <c r="H167" s="134">
        <f t="shared" si="14"/>
        <v>373.04226453991487</v>
      </c>
      <c r="I167" s="135">
        <f>VLOOKUP(B167,'Waste per capita'!$B$2:$F$48,4,FALSE)*(H167/Variables!$C$6)</f>
        <v>107.77422535594944</v>
      </c>
      <c r="J167" s="134">
        <f t="shared" si="15"/>
        <v>13804.185342576391</v>
      </c>
      <c r="K167" s="136">
        <f>Variables!$C$15</f>
        <v>1</v>
      </c>
      <c r="L167" s="137">
        <f t="shared" si="16"/>
        <v>13804.185342576391</v>
      </c>
      <c r="N167" s="138">
        <f>Variables!$E$30*Variables!$C$19</f>
        <v>2.2291759999999998</v>
      </c>
      <c r="O167" s="87">
        <f t="shared" si="17"/>
        <v>30771.958665223068</v>
      </c>
      <c r="P167" s="145">
        <f>Variables!$E$29</f>
        <v>48.483938529092256</v>
      </c>
      <c r="Q167" s="146">
        <f t="shared" si="18"/>
        <v>669281.27359367011</v>
      </c>
    </row>
    <row r="168" spans="1:17">
      <c r="A168" s="101">
        <v>24</v>
      </c>
      <c r="B168" s="132" t="s">
        <v>44</v>
      </c>
      <c r="C168" s="101">
        <v>2022</v>
      </c>
      <c r="D168" s="133">
        <f>Population!G25</f>
        <v>80382.368506584331</v>
      </c>
      <c r="E168" s="133" t="str">
        <f t="shared" si="19"/>
        <v>Small</v>
      </c>
      <c r="F168" s="133"/>
      <c r="G168" s="134">
        <f>Variables!$C$3*POWER(SUM(1,Variables!$C$2/100),C168-2017)</f>
        <v>17243.3972729421</v>
      </c>
      <c r="H168" s="134">
        <f t="shared" si="14"/>
        <v>373.04226453991487</v>
      </c>
      <c r="I168" s="135">
        <f>VLOOKUP(B168,'Waste per capita'!$B$2:$F$48,4,FALSE)*(H168/Variables!$C$6)</f>
        <v>109.19540040650976</v>
      </c>
      <c r="J168" s="134">
        <f t="shared" si="15"/>
        <v>8777.3849147000965</v>
      </c>
      <c r="K168" s="136">
        <f>Variables!$C$15</f>
        <v>1</v>
      </c>
      <c r="L168" s="137">
        <f t="shared" si="16"/>
        <v>8777.3849147000965</v>
      </c>
      <c r="N168" s="138">
        <f>Variables!$E$30*Variables!$C$19</f>
        <v>2.2291759999999998</v>
      </c>
      <c r="O168" s="87">
        <f t="shared" si="17"/>
        <v>19566.335794611499</v>
      </c>
      <c r="P168" s="145">
        <f>Variables!$E$29</f>
        <v>48.483938529092256</v>
      </c>
      <c r="Q168" s="146">
        <f t="shared" si="18"/>
        <v>425562.19065050117</v>
      </c>
    </row>
    <row r="169" spans="1:17">
      <c r="A169" s="101">
        <v>25</v>
      </c>
      <c r="B169" s="132" t="s">
        <v>45</v>
      </c>
      <c r="C169" s="101">
        <v>2022</v>
      </c>
      <c r="D169" s="133">
        <f>Population!G26</f>
        <v>166572.51836218865</v>
      </c>
      <c r="E169" s="133" t="str">
        <f t="shared" si="19"/>
        <v>Medium</v>
      </c>
      <c r="F169" s="133"/>
      <c r="G169" s="134">
        <f>Variables!$C$3*POWER(SUM(1,Variables!$C$2/100),C169-2017)</f>
        <v>17243.3972729421</v>
      </c>
      <c r="H169" s="134">
        <f t="shared" si="14"/>
        <v>373.04226453991487</v>
      </c>
      <c r="I169" s="135">
        <f>VLOOKUP(B169,'Waste per capita'!$B$2:$F$48,4,FALSE)*(H169/Variables!$C$6)</f>
        <v>108.85872394071374</v>
      </c>
      <c r="J169" s="134">
        <f t="shared" si="15"/>
        <v>18132.871792498965</v>
      </c>
      <c r="K169" s="136">
        <f>Variables!$C$15</f>
        <v>1</v>
      </c>
      <c r="L169" s="137">
        <f t="shared" si="16"/>
        <v>18132.871792498965</v>
      </c>
      <c r="N169" s="138">
        <f>Variables!$E$30*Variables!$C$19</f>
        <v>2.2291759999999998</v>
      </c>
      <c r="O169" s="87">
        <f t="shared" si="17"/>
        <v>40421.362610915668</v>
      </c>
      <c r="P169" s="145">
        <f>Variables!$E$29</f>
        <v>48.483938529092256</v>
      </c>
      <c r="Q169" s="146">
        <f t="shared" si="18"/>
        <v>879153.04134343076</v>
      </c>
    </row>
    <row r="170" spans="1:17">
      <c r="A170" s="101">
        <v>26</v>
      </c>
      <c r="B170" s="132" t="s">
        <v>46</v>
      </c>
      <c r="C170" s="101">
        <v>2022</v>
      </c>
      <c r="D170" s="133">
        <f>Population!G27</f>
        <v>45473.059962977473</v>
      </c>
      <c r="E170" s="133" t="str">
        <f t="shared" si="19"/>
        <v>Small</v>
      </c>
      <c r="F170" s="133"/>
      <c r="G170" s="134">
        <f>Variables!$C$3*POWER(SUM(1,Variables!$C$2/100),C170-2017)</f>
        <v>17243.3972729421</v>
      </c>
      <c r="H170" s="134">
        <f t="shared" si="14"/>
        <v>373.04226453991487</v>
      </c>
      <c r="I170" s="135">
        <f>VLOOKUP(B170,'Waste per capita'!$B$2:$F$48,4,FALSE)*(H170/Variables!$C$6)</f>
        <v>109.98097882670048</v>
      </c>
      <c r="J170" s="134">
        <f t="shared" si="15"/>
        <v>5001.1716449735068</v>
      </c>
      <c r="K170" s="136">
        <f>Variables!$C$15</f>
        <v>1</v>
      </c>
      <c r="L170" s="137">
        <f t="shared" si="16"/>
        <v>5001.1716449735068</v>
      </c>
      <c r="N170" s="138">
        <f>Variables!$E$30*Variables!$C$19</f>
        <v>2.2291759999999998</v>
      </c>
      <c r="O170" s="87">
        <f t="shared" si="17"/>
        <v>11148.49180285546</v>
      </c>
      <c r="P170" s="145">
        <f>Variables!$E$29</f>
        <v>48.483938529092256</v>
      </c>
      <c r="Q170" s="146">
        <f t="shared" si="18"/>
        <v>242476.49860833472</v>
      </c>
    </row>
    <row r="171" spans="1:17">
      <c r="A171" s="101">
        <v>27</v>
      </c>
      <c r="B171" s="132" t="s">
        <v>47</v>
      </c>
      <c r="C171" s="101">
        <v>2022</v>
      </c>
      <c r="D171" s="133">
        <f>Population!G28</f>
        <v>8528.0561292718703</v>
      </c>
      <c r="E171" s="133" t="str">
        <f t="shared" si="19"/>
        <v>Small</v>
      </c>
      <c r="F171" s="133"/>
      <c r="G171" s="134">
        <f>Variables!$C$3*POWER(SUM(1,Variables!$C$2/100),C171-2017)</f>
        <v>17243.3972729421</v>
      </c>
      <c r="H171" s="134">
        <f t="shared" si="14"/>
        <v>373.04226453991487</v>
      </c>
      <c r="I171" s="135">
        <f>VLOOKUP(B171,'Waste per capita'!$B$2:$F$48,4,FALSE)*(H171/Variables!$C$6)</f>
        <v>108.90869088601207</v>
      </c>
      <c r="J171" s="134">
        <f t="shared" si="15"/>
        <v>928.77942884143067</v>
      </c>
      <c r="K171" s="136">
        <f>Variables!$C$15</f>
        <v>1</v>
      </c>
      <c r="L171" s="137">
        <f t="shared" si="16"/>
        <v>928.77942884143067</v>
      </c>
      <c r="N171" s="138">
        <f>Variables!$E$30*Variables!$C$19</f>
        <v>2.2291759999999998</v>
      </c>
      <c r="O171" s="87">
        <f t="shared" si="17"/>
        <v>2070.4128120670248</v>
      </c>
      <c r="P171" s="145">
        <f>Variables!$E$29</f>
        <v>48.483938529092256</v>
      </c>
      <c r="Q171" s="146">
        <f t="shared" si="18"/>
        <v>45030.884735033338</v>
      </c>
    </row>
    <row r="172" spans="1:17">
      <c r="A172" s="101">
        <v>28</v>
      </c>
      <c r="B172" s="132" t="s">
        <v>48</v>
      </c>
      <c r="C172" s="101">
        <v>2022</v>
      </c>
      <c r="D172" s="133">
        <f>Population!G29</f>
        <v>51036.727695353722</v>
      </c>
      <c r="E172" s="133" t="str">
        <f t="shared" si="19"/>
        <v>Small</v>
      </c>
      <c r="F172" s="133"/>
      <c r="G172" s="134">
        <f>Variables!$C$3*POWER(SUM(1,Variables!$C$2/100),C172-2017)</f>
        <v>17243.3972729421</v>
      </c>
      <c r="H172" s="134">
        <f t="shared" si="14"/>
        <v>373.04226453991487</v>
      </c>
      <c r="I172" s="135">
        <f>VLOOKUP(B172,'Waste per capita'!$B$2:$F$48,4,FALSE)*(H172/Variables!$C$6)</f>
        <v>159.67932033713706</v>
      </c>
      <c r="J172" s="134">
        <f t="shared" si="15"/>
        <v>8149.5099906256219</v>
      </c>
      <c r="K172" s="136">
        <f>Variables!$C$15</f>
        <v>1</v>
      </c>
      <c r="L172" s="137">
        <f t="shared" si="16"/>
        <v>8149.5099906256219</v>
      </c>
      <c r="N172" s="138">
        <f>Variables!$E$30*Variables!$C$19</f>
        <v>2.2291759999999998</v>
      </c>
      <c r="O172" s="87">
        <f t="shared" si="17"/>
        <v>18166.692082862861</v>
      </c>
      <c r="P172" s="145">
        <f>Variables!$E$29</f>
        <v>48.483938529092256</v>
      </c>
      <c r="Q172" s="146">
        <f t="shared" si="18"/>
        <v>395120.34142771584</v>
      </c>
    </row>
    <row r="173" spans="1:17">
      <c r="A173" s="101">
        <v>29</v>
      </c>
      <c r="B173" s="132" t="s">
        <v>49</v>
      </c>
      <c r="C173" s="101">
        <v>2022</v>
      </c>
      <c r="D173" s="133">
        <f>Population!G30</f>
        <v>51393.345848363722</v>
      </c>
      <c r="E173" s="133" t="str">
        <f t="shared" si="19"/>
        <v>Small</v>
      </c>
      <c r="F173" s="133"/>
      <c r="G173" s="134">
        <f>Variables!$C$3*POWER(SUM(1,Variables!$C$2/100),C173-2017)</f>
        <v>17243.3972729421</v>
      </c>
      <c r="H173" s="134">
        <f t="shared" si="14"/>
        <v>373.04226453991487</v>
      </c>
      <c r="I173" s="135">
        <f>VLOOKUP(B173,'Waste per capita'!$B$2:$F$48,4,FALSE)*(H173/Variables!$C$6)</f>
        <v>159.67932033713706</v>
      </c>
      <c r="J173" s="134">
        <f t="shared" si="15"/>
        <v>8206.4545349181426</v>
      </c>
      <c r="K173" s="136">
        <f>Variables!$C$15</f>
        <v>1</v>
      </c>
      <c r="L173" s="137">
        <f t="shared" si="16"/>
        <v>8206.4545349181426</v>
      </c>
      <c r="N173" s="138">
        <f>Variables!$E$30*Variables!$C$19</f>
        <v>2.2291759999999998</v>
      </c>
      <c r="O173" s="87">
        <f t="shared" si="17"/>
        <v>18293.631494330682</v>
      </c>
      <c r="P173" s="145">
        <f>Variables!$E$29</f>
        <v>48.483938529092256</v>
      </c>
      <c r="Q173" s="146">
        <f t="shared" si="18"/>
        <v>397881.2372127616</v>
      </c>
    </row>
    <row r="174" spans="1:17">
      <c r="A174" s="101">
        <v>30</v>
      </c>
      <c r="B174" s="132" t="s">
        <v>50</v>
      </c>
      <c r="C174" s="101">
        <v>2022</v>
      </c>
      <c r="D174" s="133">
        <f>Population!G31</f>
        <v>21002.26193976749</v>
      </c>
      <c r="E174" s="133" t="str">
        <f t="shared" si="19"/>
        <v>Small</v>
      </c>
      <c r="F174" s="133"/>
      <c r="G174" s="134">
        <f>Variables!$C$3*POWER(SUM(1,Variables!$C$2/100),C174-2017)</f>
        <v>17243.3972729421</v>
      </c>
      <c r="H174" s="134">
        <f t="shared" si="14"/>
        <v>373.04226453991487</v>
      </c>
      <c r="I174" s="135">
        <f>VLOOKUP(B174,'Waste per capita'!$B$2:$F$48,4,FALSE)*(H174/Variables!$C$6)</f>
        <v>159.67932033713706</v>
      </c>
      <c r="J174" s="134">
        <f t="shared" si="15"/>
        <v>3353.6269120845946</v>
      </c>
      <c r="K174" s="136">
        <f>Variables!$C$15</f>
        <v>1</v>
      </c>
      <c r="L174" s="137">
        <f t="shared" si="16"/>
        <v>3353.6269120845946</v>
      </c>
      <c r="N174" s="138">
        <f>Variables!$E$30*Variables!$C$19</f>
        <v>2.2291759999999998</v>
      </c>
      <c r="O174" s="87">
        <f t="shared" si="17"/>
        <v>7475.8246253730877</v>
      </c>
      <c r="P174" s="145">
        <f>Variables!$E$29</f>
        <v>48.483938529092256</v>
      </c>
      <c r="Q174" s="146">
        <f t="shared" si="18"/>
        <v>162597.04105501896</v>
      </c>
    </row>
    <row r="175" spans="1:17">
      <c r="A175" s="101">
        <v>31</v>
      </c>
      <c r="B175" s="132" t="s">
        <v>51</v>
      </c>
      <c r="C175" s="101">
        <v>2022</v>
      </c>
      <c r="D175" s="133">
        <f>Population!G32</f>
        <v>31951.288328014984</v>
      </c>
      <c r="E175" s="133" t="str">
        <f t="shared" si="19"/>
        <v>Small</v>
      </c>
      <c r="F175" s="133"/>
      <c r="G175" s="134">
        <f>Variables!$C$3*POWER(SUM(1,Variables!$C$2/100),C175-2017)</f>
        <v>17243.3972729421</v>
      </c>
      <c r="H175" s="134">
        <f t="shared" si="14"/>
        <v>373.04226453991487</v>
      </c>
      <c r="I175" s="135">
        <f>VLOOKUP(B175,'Waste per capita'!$B$2:$F$48,4,FALSE)*(H175/Variables!$C$6)</f>
        <v>159.67932033713706</v>
      </c>
      <c r="J175" s="134">
        <f t="shared" si="15"/>
        <v>5101.9600041133326</v>
      </c>
      <c r="K175" s="136">
        <f>Variables!$C$15</f>
        <v>1</v>
      </c>
      <c r="L175" s="137">
        <f t="shared" si="16"/>
        <v>5101.9600041133326</v>
      </c>
      <c r="N175" s="138">
        <f>Variables!$E$30*Variables!$C$19</f>
        <v>2.2291759999999998</v>
      </c>
      <c r="O175" s="87">
        <f t="shared" si="17"/>
        <v>11373.166794129342</v>
      </c>
      <c r="P175" s="145">
        <f>Variables!$E$29</f>
        <v>48.483938529092256</v>
      </c>
      <c r="Q175" s="146">
        <f t="shared" si="18"/>
        <v>247363.11521731809</v>
      </c>
    </row>
    <row r="176" spans="1:17">
      <c r="A176" s="101">
        <v>32</v>
      </c>
      <c r="B176" s="132" t="s">
        <v>52</v>
      </c>
      <c r="C176" s="101">
        <v>2022</v>
      </c>
      <c r="D176" s="133">
        <f>Population!G33</f>
        <v>29409.322624268108</v>
      </c>
      <c r="E176" s="133" t="str">
        <f t="shared" si="19"/>
        <v>Small</v>
      </c>
      <c r="F176" s="133"/>
      <c r="G176" s="134">
        <f>Variables!$C$3*POWER(SUM(1,Variables!$C$2/100),C176-2017)</f>
        <v>17243.3972729421</v>
      </c>
      <c r="H176" s="134">
        <f t="shared" ref="H176:H239" si="20">1647.41-417.73*LN(G176)+29.43*(LN(G176))^2</f>
        <v>373.04226453991487</v>
      </c>
      <c r="I176" s="135">
        <f>VLOOKUP(B176,'Waste per capita'!$B$2:$F$48,4,FALSE)*(H176/Variables!$C$6)</f>
        <v>159.67932033713706</v>
      </c>
      <c r="J176" s="134">
        <f t="shared" si="15"/>
        <v>4696.0606482187195</v>
      </c>
      <c r="K176" s="136">
        <f>Variables!$C$15</f>
        <v>1</v>
      </c>
      <c r="L176" s="137">
        <f t="shared" si="16"/>
        <v>4696.0606482187195</v>
      </c>
      <c r="N176" s="138">
        <f>Variables!$E$30*Variables!$C$19</f>
        <v>2.2291759999999998</v>
      </c>
      <c r="O176" s="87">
        <f t="shared" si="17"/>
        <v>10468.345691553612</v>
      </c>
      <c r="P176" s="145">
        <f>Variables!$E$29</f>
        <v>48.483938529092256</v>
      </c>
      <c r="Q176" s="146">
        <f t="shared" si="18"/>
        <v>227683.51579712552</v>
      </c>
    </row>
    <row r="177" spans="1:17">
      <c r="A177" s="101">
        <v>33</v>
      </c>
      <c r="B177" s="132" t="s">
        <v>53</v>
      </c>
      <c r="C177" s="101">
        <v>2022</v>
      </c>
      <c r="D177" s="133">
        <f>Population!G34</f>
        <v>126093.17390490181</v>
      </c>
      <c r="E177" s="133" t="str">
        <f t="shared" si="19"/>
        <v>Medium</v>
      </c>
      <c r="F177" s="133"/>
      <c r="G177" s="134">
        <f>Variables!$C$3*POWER(SUM(1,Variables!$C$2/100),C177-2017)</f>
        <v>17243.3972729421</v>
      </c>
      <c r="H177" s="134">
        <f t="shared" si="20"/>
        <v>373.04226453991487</v>
      </c>
      <c r="I177" s="135">
        <f>VLOOKUP(B177,'Waste per capita'!$B$2:$F$48,4,FALSE)*(H177/Variables!$C$6)</f>
        <v>208.90774702643157</v>
      </c>
      <c r="J177" s="134">
        <f t="shared" si="15"/>
        <v>26341.840875885071</v>
      </c>
      <c r="K177" s="136">
        <f>Variables!$C$15</f>
        <v>1</v>
      </c>
      <c r="L177" s="137">
        <f t="shared" si="16"/>
        <v>26341.840875885071</v>
      </c>
      <c r="N177" s="138">
        <f>Variables!$E$30*Variables!$C$19</f>
        <v>2.2291759999999998</v>
      </c>
      <c r="O177" s="87">
        <f t="shared" si="17"/>
        <v>58720.599476341973</v>
      </c>
      <c r="P177" s="145">
        <f>Variables!$E$29</f>
        <v>48.483938529092256</v>
      </c>
      <c r="Q177" s="146">
        <f t="shared" si="18"/>
        <v>1277156.1937695416</v>
      </c>
    </row>
    <row r="178" spans="1:17">
      <c r="A178" s="101">
        <v>34</v>
      </c>
      <c r="B178" s="132" t="s">
        <v>54</v>
      </c>
      <c r="C178" s="101">
        <v>2022</v>
      </c>
      <c r="D178" s="133">
        <f>Population!G35</f>
        <v>111991.89777129807</v>
      </c>
      <c r="E178" s="133" t="str">
        <f t="shared" si="19"/>
        <v>Medium</v>
      </c>
      <c r="F178" s="133"/>
      <c r="G178" s="134">
        <f>Variables!$C$3*POWER(SUM(1,Variables!$C$2/100),C178-2017)</f>
        <v>17243.3972729421</v>
      </c>
      <c r="H178" s="134">
        <f t="shared" si="20"/>
        <v>373.04226453991487</v>
      </c>
      <c r="I178" s="135">
        <f>VLOOKUP(B178,'Waste per capita'!$B$2:$F$48,4,FALSE)*(H178/Variables!$C$6)</f>
        <v>145.2592374495639</v>
      </c>
      <c r="J178" s="134">
        <f t="shared" si="15"/>
        <v>16267.857670788273</v>
      </c>
      <c r="K178" s="136">
        <f>Variables!$C$15</f>
        <v>1</v>
      </c>
      <c r="L178" s="137">
        <f t="shared" si="16"/>
        <v>16267.857670788273</v>
      </c>
      <c r="N178" s="138">
        <f>Variables!$E$30*Variables!$C$19</f>
        <v>2.2291759999999998</v>
      </c>
      <c r="O178" s="87">
        <f t="shared" si="17"/>
        <v>36263.91789113712</v>
      </c>
      <c r="P178" s="145">
        <f>Variables!$E$29</f>
        <v>48.483938529092256</v>
      </c>
      <c r="Q178" s="146">
        <f t="shared" si="18"/>
        <v>788729.81131052051</v>
      </c>
    </row>
    <row r="179" spans="1:17">
      <c r="A179" s="101">
        <v>35</v>
      </c>
      <c r="B179" s="132" t="s">
        <v>55</v>
      </c>
      <c r="C179" s="101">
        <v>2022</v>
      </c>
      <c r="D179" s="133">
        <f>Population!G36</f>
        <v>511472.15640973783</v>
      </c>
      <c r="E179" s="133" t="str">
        <f t="shared" si="19"/>
        <v>Medium</v>
      </c>
      <c r="F179" s="133"/>
      <c r="G179" s="134">
        <f>Variables!$C$3*POWER(SUM(1,Variables!$C$2/100),C179-2017)</f>
        <v>17243.3972729421</v>
      </c>
      <c r="H179" s="134">
        <f t="shared" si="20"/>
        <v>373.04226453991487</v>
      </c>
      <c r="I179" s="135">
        <f>VLOOKUP(B179,'Waste per capita'!$B$2:$F$48,4,FALSE)*(H179/Variables!$C$6)</f>
        <v>145.2592374495639</v>
      </c>
      <c r="J179" s="134">
        <f t="shared" si="15"/>
        <v>74296.055416762596</v>
      </c>
      <c r="K179" s="136">
        <f>Variables!$C$15</f>
        <v>1</v>
      </c>
      <c r="L179" s="137">
        <f t="shared" si="16"/>
        <v>74296.055416762596</v>
      </c>
      <c r="N179" s="138">
        <f>Variables!$E$30*Variables!$C$19</f>
        <v>2.2291759999999998</v>
      </c>
      <c r="O179" s="87">
        <f t="shared" si="17"/>
        <v>165618.98362971717</v>
      </c>
      <c r="P179" s="145">
        <f>Variables!$E$29</f>
        <v>48.483938529092256</v>
      </c>
      <c r="Q179" s="146">
        <f t="shared" si="18"/>
        <v>3602165.3837803495</v>
      </c>
    </row>
    <row r="180" spans="1:17">
      <c r="A180" s="101">
        <v>36</v>
      </c>
      <c r="B180" s="132" t="s">
        <v>56</v>
      </c>
      <c r="C180" s="101">
        <v>2022</v>
      </c>
      <c r="D180" s="133">
        <f>Population!G37</f>
        <v>274304.10284127796</v>
      </c>
      <c r="E180" s="133" t="str">
        <f t="shared" si="19"/>
        <v>Medium</v>
      </c>
      <c r="F180" s="133"/>
      <c r="G180" s="134">
        <f>Variables!$C$3*POWER(SUM(1,Variables!$C$2/100),C180-2017)</f>
        <v>17243.3972729421</v>
      </c>
      <c r="H180" s="134">
        <f t="shared" si="20"/>
        <v>373.04226453991487</v>
      </c>
      <c r="I180" s="135">
        <f>VLOOKUP(B180,'Waste per capita'!$B$2:$F$48,4,FALSE)*(H180/Variables!$C$6)</f>
        <v>236.02555352952928</v>
      </c>
      <c r="J180" s="134">
        <f t="shared" si="15"/>
        <v>64742.777708533555</v>
      </c>
      <c r="K180" s="136">
        <f>Variables!$C$15</f>
        <v>1</v>
      </c>
      <c r="L180" s="137">
        <f t="shared" si="16"/>
        <v>64742.777708533555</v>
      </c>
      <c r="N180" s="138">
        <f>Variables!$E$30*Variables!$C$19</f>
        <v>2.2291759999999998</v>
      </c>
      <c r="O180" s="87">
        <f t="shared" si="17"/>
        <v>144323.046241198</v>
      </c>
      <c r="P180" s="145">
        <f>Variables!$E$29</f>
        <v>48.483938529092256</v>
      </c>
      <c r="Q180" s="146">
        <f t="shared" si="18"/>
        <v>3138984.8546232251</v>
      </c>
    </row>
    <row r="181" spans="1:17">
      <c r="A181" s="101">
        <v>37</v>
      </c>
      <c r="B181" s="132" t="s">
        <v>57</v>
      </c>
      <c r="C181" s="101">
        <v>2022</v>
      </c>
      <c r="D181" s="133">
        <f>Population!G38</f>
        <v>127853.97603538868</v>
      </c>
      <c r="E181" s="133" t="str">
        <f t="shared" si="19"/>
        <v>Medium</v>
      </c>
      <c r="F181" s="133"/>
      <c r="G181" s="134">
        <f>Variables!$C$3*POWER(SUM(1,Variables!$C$2/100),C181-2017)</f>
        <v>17243.3972729421</v>
      </c>
      <c r="H181" s="134">
        <f t="shared" si="20"/>
        <v>373.04226453991487</v>
      </c>
      <c r="I181" s="135">
        <f>VLOOKUP(B181,'Waste per capita'!$B$2:$F$48,4,FALSE)*(H181/Variables!$C$6)</f>
        <v>145.2592374495639</v>
      </c>
      <c r="J181" s="134">
        <f t="shared" si="15"/>
        <v>18571.971063795376</v>
      </c>
      <c r="K181" s="136">
        <f>Variables!$C$15</f>
        <v>1</v>
      </c>
      <c r="L181" s="137">
        <f t="shared" si="16"/>
        <v>18571.971063795376</v>
      </c>
      <c r="N181" s="138">
        <f>Variables!$E$30*Variables!$C$19</f>
        <v>2.2291759999999998</v>
      </c>
      <c r="O181" s="87">
        <f t="shared" si="17"/>
        <v>41400.192168107118</v>
      </c>
      <c r="P181" s="145">
        <f>Variables!$E$29</f>
        <v>48.483938529092256</v>
      </c>
      <c r="Q181" s="146">
        <f t="shared" si="18"/>
        <v>900442.30342113518</v>
      </c>
    </row>
    <row r="182" spans="1:17">
      <c r="A182" s="101">
        <v>38</v>
      </c>
      <c r="B182" s="132" t="s">
        <v>58</v>
      </c>
      <c r="C182" s="101">
        <v>2022</v>
      </c>
      <c r="D182" s="133">
        <f>Population!G39</f>
        <v>37737.842406022479</v>
      </c>
      <c r="E182" s="133" t="str">
        <f t="shared" si="19"/>
        <v>Small</v>
      </c>
      <c r="F182" s="133"/>
      <c r="G182" s="134">
        <f>Variables!$C$3*POWER(SUM(1,Variables!$C$2/100),C182-2017)</f>
        <v>17243.3972729421</v>
      </c>
      <c r="H182" s="134">
        <f t="shared" si="20"/>
        <v>373.04226453991487</v>
      </c>
      <c r="I182" s="135">
        <f>VLOOKUP(B182,'Waste per capita'!$B$2:$F$48,4,FALSE)*(H182/Variables!$C$6)</f>
        <v>318.84153722410093</v>
      </c>
      <c r="J182" s="134">
        <f t="shared" si="15"/>
        <v>12032.391684257071</v>
      </c>
      <c r="K182" s="136">
        <f>Variables!$C$15</f>
        <v>1</v>
      </c>
      <c r="L182" s="137">
        <f t="shared" si="16"/>
        <v>12032.391684257071</v>
      </c>
      <c r="N182" s="138">
        <f>Variables!$E$30*Variables!$C$19</f>
        <v>2.2291759999999998</v>
      </c>
      <c r="O182" s="87">
        <f t="shared" si="17"/>
        <v>26822.318765145439</v>
      </c>
      <c r="P182" s="145">
        <f>Variables!$E$29</f>
        <v>48.483938529092256</v>
      </c>
      <c r="Q182" s="146">
        <f t="shared" si="18"/>
        <v>583377.73877748067</v>
      </c>
    </row>
    <row r="183" spans="1:17">
      <c r="A183" s="101">
        <v>39</v>
      </c>
      <c r="B183" s="132" t="s">
        <v>59</v>
      </c>
      <c r="C183" s="101">
        <v>2022</v>
      </c>
      <c r="D183" s="133">
        <f>Population!G40</f>
        <v>71236.598790848715</v>
      </c>
      <c r="E183" s="133" t="str">
        <f t="shared" si="19"/>
        <v>Small</v>
      </c>
      <c r="F183" s="133"/>
      <c r="G183" s="134">
        <f>Variables!$C$3*POWER(SUM(1,Variables!$C$2/100),C183-2017)</f>
        <v>17243.3972729421</v>
      </c>
      <c r="H183" s="134">
        <f t="shared" si="20"/>
        <v>373.04226453991487</v>
      </c>
      <c r="I183" s="135">
        <f>VLOOKUP(B183,'Waste per capita'!$B$2:$F$48,4,FALSE)*(H183/Variables!$C$6)</f>
        <v>159.67932033713706</v>
      </c>
      <c r="J183" s="134">
        <f t="shared" si="15"/>
        <v>11375.011678052042</v>
      </c>
      <c r="K183" s="136">
        <f>Variables!$C$15</f>
        <v>1</v>
      </c>
      <c r="L183" s="137">
        <f t="shared" si="16"/>
        <v>11375.011678052042</v>
      </c>
      <c r="N183" s="138">
        <f>Variables!$E$30*Variables!$C$19</f>
        <v>2.2291759999999998</v>
      </c>
      <c r="O183" s="87">
        <f t="shared" si="17"/>
        <v>25356.903032433336</v>
      </c>
      <c r="P183" s="145">
        <f>Variables!$E$29</f>
        <v>48.483938529092256</v>
      </c>
      <c r="Q183" s="146">
        <f t="shared" si="18"/>
        <v>551505.36696638179</v>
      </c>
    </row>
    <row r="184" spans="1:17">
      <c r="A184" s="101">
        <v>40</v>
      </c>
      <c r="B184" s="132" t="s">
        <v>60</v>
      </c>
      <c r="C184" s="101">
        <v>2022</v>
      </c>
      <c r="D184" s="133">
        <f>Population!G41</f>
        <v>3222.2997396974984</v>
      </c>
      <c r="E184" s="133" t="str">
        <f t="shared" si="19"/>
        <v>Small</v>
      </c>
      <c r="F184" s="133"/>
      <c r="G184" s="134">
        <f>Variables!$C$3*POWER(SUM(1,Variables!$C$2/100),C184-2017)</f>
        <v>17243.3972729421</v>
      </c>
      <c r="H184" s="134">
        <f t="shared" si="20"/>
        <v>373.04226453991487</v>
      </c>
      <c r="I184" s="135">
        <f>VLOOKUP(B184,'Waste per capita'!$B$2:$F$48,4,FALSE)*(H184/Variables!$C$6)</f>
        <v>165.63196738914337</v>
      </c>
      <c r="J184" s="134">
        <f t="shared" si="15"/>
        <v>533.71584540362119</v>
      </c>
      <c r="K184" s="136">
        <f>Variables!$C$15</f>
        <v>1</v>
      </c>
      <c r="L184" s="137">
        <f t="shared" si="16"/>
        <v>533.71584540362119</v>
      </c>
      <c r="N184" s="138">
        <f>Variables!$E$30*Variables!$C$19</f>
        <v>2.2291759999999998</v>
      </c>
      <c r="O184" s="87">
        <f t="shared" si="17"/>
        <v>1189.7465533934626</v>
      </c>
      <c r="P184" s="145">
        <f>Variables!$E$29</f>
        <v>48.483938529092256</v>
      </c>
      <c r="Q184" s="146">
        <f t="shared" si="18"/>
        <v>25876.646240551676</v>
      </c>
    </row>
    <row r="185" spans="1:17">
      <c r="A185" s="101">
        <v>41</v>
      </c>
      <c r="B185" s="132" t="s">
        <v>61</v>
      </c>
      <c r="C185" s="101">
        <v>2022</v>
      </c>
      <c r="D185" s="133">
        <f>Population!G42</f>
        <v>55531.602332250593</v>
      </c>
      <c r="E185" s="133" t="str">
        <f t="shared" si="19"/>
        <v>Small</v>
      </c>
      <c r="F185" s="133"/>
      <c r="G185" s="134">
        <f>Variables!$C$3*POWER(SUM(1,Variables!$C$2/100),C185-2017)</f>
        <v>17243.3972729421</v>
      </c>
      <c r="H185" s="134">
        <f t="shared" si="20"/>
        <v>373.04226453991487</v>
      </c>
      <c r="I185" s="135">
        <f>VLOOKUP(B185,'Waste per capita'!$B$2:$F$48,4,FALSE)*(H185/Variables!$C$6)</f>
        <v>159.67932033713706</v>
      </c>
      <c r="J185" s="134">
        <f t="shared" si="15"/>
        <v>8867.2485176459486</v>
      </c>
      <c r="K185" s="136">
        <f>Variables!$C$15</f>
        <v>1</v>
      </c>
      <c r="L185" s="137">
        <f t="shared" si="16"/>
        <v>8867.2485176459486</v>
      </c>
      <c r="N185" s="138">
        <f>Variables!$E$30*Variables!$C$19</f>
        <v>2.2291759999999998</v>
      </c>
      <c r="O185" s="87">
        <f t="shared" si="17"/>
        <v>19766.657581571922</v>
      </c>
      <c r="P185" s="145">
        <f>Variables!$E$29</f>
        <v>48.483938529092256</v>
      </c>
      <c r="Q185" s="146">
        <f t="shared" si="18"/>
        <v>429919.13205173059</v>
      </c>
    </row>
    <row r="186" spans="1:17">
      <c r="A186" s="101">
        <v>42</v>
      </c>
      <c r="B186" s="139" t="s">
        <v>62</v>
      </c>
      <c r="C186" s="101">
        <v>2022</v>
      </c>
      <c r="D186" s="133">
        <f>Population!G43</f>
        <v>48314.330188000597</v>
      </c>
      <c r="E186" s="133" t="str">
        <f t="shared" si="19"/>
        <v>Small</v>
      </c>
      <c r="F186" s="133"/>
      <c r="G186" s="134">
        <f>Variables!$C$3*POWER(SUM(1,Variables!$C$2/100),C186-2017)</f>
        <v>17243.3972729421</v>
      </c>
      <c r="H186" s="134">
        <f t="shared" si="20"/>
        <v>373.04226453991487</v>
      </c>
      <c r="I186" s="135">
        <f>VLOOKUP(B186,'Waste per capita'!$B$2:$F$48,4,FALSE)*(H186/Variables!$C$6)</f>
        <v>159.67932033713706</v>
      </c>
      <c r="J186" s="134">
        <f t="shared" si="15"/>
        <v>7714.7994069639581</v>
      </c>
      <c r="K186" s="136">
        <f>Variables!$C$15</f>
        <v>1</v>
      </c>
      <c r="L186" s="137">
        <f t="shared" si="16"/>
        <v>7714.7994069639581</v>
      </c>
      <c r="N186" s="138">
        <f>Variables!$E$30*Variables!$C$19</f>
        <v>2.2291759999999998</v>
      </c>
      <c r="O186" s="87">
        <f t="shared" si="17"/>
        <v>17197.645682818285</v>
      </c>
      <c r="P186" s="145">
        <f>Variables!$E$29</f>
        <v>48.483938529092256</v>
      </c>
      <c r="Q186" s="146">
        <f t="shared" si="18"/>
        <v>374043.86021151795</v>
      </c>
    </row>
    <row r="187" spans="1:17">
      <c r="A187" s="101">
        <v>43</v>
      </c>
      <c r="B187" s="139" t="s">
        <v>63</v>
      </c>
      <c r="C187" s="101">
        <v>2022</v>
      </c>
      <c r="D187" s="133">
        <f>Population!G44</f>
        <v>25511.99566637311</v>
      </c>
      <c r="E187" s="133" t="str">
        <f t="shared" si="19"/>
        <v>Small</v>
      </c>
      <c r="F187" s="133"/>
      <c r="G187" s="134">
        <f>Variables!$C$3*POWER(SUM(1,Variables!$C$2/100),C187-2017)</f>
        <v>17243.3972729421</v>
      </c>
      <c r="H187" s="134">
        <f t="shared" si="20"/>
        <v>373.04226453991487</v>
      </c>
      <c r="I187" s="135">
        <f>VLOOKUP(B187,'Waste per capita'!$B$2:$F$48,4,FALSE)*(H187/Variables!$C$6)</f>
        <v>159.67932033713706</v>
      </c>
      <c r="J187" s="134">
        <f t="shared" si="15"/>
        <v>4073.738128450444</v>
      </c>
      <c r="K187" s="136">
        <f>Variables!$C$15</f>
        <v>1</v>
      </c>
      <c r="L187" s="137">
        <f t="shared" si="16"/>
        <v>4073.738128450444</v>
      </c>
      <c r="N187" s="138">
        <f>Variables!$E$30*Variables!$C$19</f>
        <v>2.2291759999999998</v>
      </c>
      <c r="O187" s="87">
        <f t="shared" si="17"/>
        <v>9081.0792662266467</v>
      </c>
      <c r="P187" s="145">
        <f>Variables!$E$29</f>
        <v>48.483938529092256</v>
      </c>
      <c r="Q187" s="146">
        <f t="shared" si="18"/>
        <v>197510.86900341065</v>
      </c>
    </row>
    <row r="188" spans="1:17">
      <c r="A188" s="101">
        <v>44</v>
      </c>
      <c r="B188" s="85" t="s">
        <v>108</v>
      </c>
      <c r="C188" s="101">
        <v>2022</v>
      </c>
      <c r="D188" s="133">
        <f>Population!G45</f>
        <v>70380.078405494336</v>
      </c>
      <c r="E188" s="133" t="str">
        <f t="shared" si="19"/>
        <v>Small</v>
      </c>
      <c r="F188" s="133"/>
      <c r="G188" s="134">
        <f>Variables!$C$3*POWER(SUM(1,Variables!$C$2/100),C188-2017)</f>
        <v>17243.3972729421</v>
      </c>
      <c r="H188" s="134">
        <f t="shared" si="20"/>
        <v>373.04226453991487</v>
      </c>
      <c r="I188" s="135">
        <f>VLOOKUP(B188,'Waste per capita'!$B$2:$F$48,4,FALSE)*(H188/Variables!$C$6)</f>
        <v>159.67932033713706</v>
      </c>
      <c r="J188" s="134">
        <f t="shared" si="15"/>
        <v>11238.243085063752</v>
      </c>
      <c r="K188" s="136">
        <f>Variables!$C$15</f>
        <v>1</v>
      </c>
      <c r="L188" s="137">
        <f t="shared" si="16"/>
        <v>11238.243085063752</v>
      </c>
      <c r="N188" s="138">
        <f>Variables!$E$30*Variables!$C$19</f>
        <v>2.2291759999999998</v>
      </c>
      <c r="O188" s="87">
        <f t="shared" si="17"/>
        <v>25052.021767390073</v>
      </c>
      <c r="P188" s="145">
        <f>Variables!$E$29</f>
        <v>48.483938529092256</v>
      </c>
      <c r="Q188" s="146">
        <f t="shared" si="18"/>
        <v>544874.28691122704</v>
      </c>
    </row>
    <row r="189" spans="1:17">
      <c r="A189" s="101">
        <v>45</v>
      </c>
      <c r="B189" s="139" t="s">
        <v>64</v>
      </c>
      <c r="C189" s="101">
        <v>2022</v>
      </c>
      <c r="D189" s="133">
        <f>Population!G46</f>
        <v>25065.161611559986</v>
      </c>
      <c r="E189" s="133" t="str">
        <f t="shared" si="19"/>
        <v>Small</v>
      </c>
      <c r="F189" s="133"/>
      <c r="G189" s="134">
        <f>Variables!$C$3*POWER(SUM(1,Variables!$C$2/100),C189-2017)</f>
        <v>17243.3972729421</v>
      </c>
      <c r="H189" s="134">
        <f t="shared" si="20"/>
        <v>373.04226453991487</v>
      </c>
      <c r="I189" s="135">
        <f>VLOOKUP(B189,'Waste per capita'!$B$2:$F$48,4,FALSE)*(H189/Variables!$C$6)</f>
        <v>159.67932033713706</v>
      </c>
      <c r="J189" s="134">
        <f t="shared" si="15"/>
        <v>4002.3879702743975</v>
      </c>
      <c r="K189" s="136">
        <f>Variables!$C$15</f>
        <v>1</v>
      </c>
      <c r="L189" s="137">
        <f t="shared" si="16"/>
        <v>4002.3879702743975</v>
      </c>
      <c r="N189" s="138">
        <f>Variables!$E$30*Variables!$C$19</f>
        <v>2.2291759999999998</v>
      </c>
      <c r="O189" s="87">
        <f t="shared" si="17"/>
        <v>8922.0272060243988</v>
      </c>
      <c r="P189" s="145">
        <f>Variables!$E$29</f>
        <v>48.483938529092256</v>
      </c>
      <c r="Q189" s="146">
        <f t="shared" si="18"/>
        <v>194051.53232036222</v>
      </c>
    </row>
    <row r="190" spans="1:17">
      <c r="A190" s="101">
        <v>46</v>
      </c>
      <c r="B190" s="139" t="s">
        <v>65</v>
      </c>
      <c r="C190" s="101">
        <v>2022</v>
      </c>
      <c r="D190" s="133">
        <f>Population!G47</f>
        <v>32035.13604851436</v>
      </c>
      <c r="E190" s="133" t="str">
        <f t="shared" si="19"/>
        <v>Small</v>
      </c>
      <c r="F190" s="133"/>
      <c r="G190" s="134">
        <f>Variables!$C$3*POWER(SUM(1,Variables!$C$2/100),C190-2017)</f>
        <v>17243.3972729421</v>
      </c>
      <c r="H190" s="134">
        <f t="shared" si="20"/>
        <v>373.04226453991487</v>
      </c>
      <c r="I190" s="135">
        <f>VLOOKUP(B190,'Waste per capita'!$B$2:$F$48,4,FALSE)*(H190/Variables!$C$6)</f>
        <v>176.63517981661934</v>
      </c>
      <c r="J190" s="134">
        <f t="shared" si="15"/>
        <v>5658.5320163791985</v>
      </c>
      <c r="K190" s="136">
        <f>Variables!$C$15</f>
        <v>1</v>
      </c>
      <c r="L190" s="137">
        <f t="shared" si="16"/>
        <v>5658.5320163791985</v>
      </c>
      <c r="N190" s="138">
        <f>Variables!$E$30*Variables!$C$19</f>
        <v>2.2291759999999998</v>
      </c>
      <c r="O190" s="87">
        <f t="shared" si="17"/>
        <v>12613.863766144115</v>
      </c>
      <c r="P190" s="145">
        <f>Variables!$E$29</f>
        <v>48.483938529092256</v>
      </c>
      <c r="Q190" s="146">
        <f t="shared" si="18"/>
        <v>274347.91844702954</v>
      </c>
    </row>
    <row r="191" spans="1:17">
      <c r="A191" s="101">
        <v>47</v>
      </c>
      <c r="B191" s="85" t="s">
        <v>107</v>
      </c>
      <c r="C191" s="101">
        <v>2022</v>
      </c>
      <c r="D191" s="133">
        <f>Population!G48</f>
        <v>71600.646488713086</v>
      </c>
      <c r="E191" s="133" t="str">
        <f t="shared" si="19"/>
        <v>Small</v>
      </c>
      <c r="F191" s="133"/>
      <c r="G191" s="134">
        <f>Variables!$C$3*POWER(SUM(1,Variables!$C$2/100),C191-2017)</f>
        <v>17243.3972729421</v>
      </c>
      <c r="H191" s="134">
        <f t="shared" si="20"/>
        <v>373.04226453991487</v>
      </c>
      <c r="I191" s="135">
        <f>VLOOKUP(B191,'Waste per capita'!$B$2:$F$48,4,FALSE)*(H191/Variables!$C$6)</f>
        <v>159.67932033713706</v>
      </c>
      <c r="J191" s="134">
        <f t="shared" si="15"/>
        <v>11433.142567017325</v>
      </c>
      <c r="K191" s="136">
        <f>Variables!$C$15</f>
        <v>1</v>
      </c>
      <c r="L191" s="137">
        <f t="shared" si="16"/>
        <v>11433.142567017325</v>
      </c>
      <c r="N191" s="138">
        <f>Variables!$E$30*Variables!$C$19</f>
        <v>2.2291759999999998</v>
      </c>
      <c r="O191" s="87">
        <f t="shared" si="17"/>
        <v>25486.487014973409</v>
      </c>
      <c r="P191" s="145">
        <f>Variables!$E$29</f>
        <v>48.483938529092256</v>
      </c>
      <c r="Q191" s="146">
        <f t="shared" si="18"/>
        <v>554323.78141361603</v>
      </c>
    </row>
    <row r="192" spans="1:17">
      <c r="A192" s="101">
        <v>1</v>
      </c>
      <c r="B192" s="132" t="s">
        <v>21</v>
      </c>
      <c r="C192" s="101">
        <v>2023</v>
      </c>
      <c r="D192" s="133">
        <f>Population!H2</f>
        <v>7736481.6780915139</v>
      </c>
      <c r="E192" s="133" t="str">
        <f t="shared" si="19"/>
        <v>Large</v>
      </c>
      <c r="F192" s="133"/>
      <c r="G192" s="134">
        <f>Variables!$C$3*POWER(SUM(1,Variables!$C$2/100),C192-2017)</f>
        <v>17849.675121058746</v>
      </c>
      <c r="H192" s="134">
        <f t="shared" si="20"/>
        <v>378.48404550880286</v>
      </c>
      <c r="I192" s="135">
        <f>VLOOKUP(B192,'Waste per capita'!$B$2:$F$48,4,FALSE)*(H192/Variables!$C$6)</f>
        <v>336.79422355984769</v>
      </c>
      <c r="J192" s="134">
        <f t="shared" si="15"/>
        <v>2605602.339857819</v>
      </c>
      <c r="K192" s="136">
        <f>Variables!$C$15</f>
        <v>1</v>
      </c>
      <c r="L192" s="137">
        <f t="shared" si="16"/>
        <v>2605602.339857819</v>
      </c>
      <c r="N192" s="138">
        <f>Variables!$E$30*Variables!$C$19</f>
        <v>2.2291759999999998</v>
      </c>
      <c r="O192" s="87">
        <f t="shared" si="17"/>
        <v>5808346.2015548935</v>
      </c>
      <c r="P192" s="145">
        <f>Variables!$E$29</f>
        <v>48.483938529092256</v>
      </c>
      <c r="Q192" s="146">
        <f t="shared" si="18"/>
        <v>126329863.67692545</v>
      </c>
    </row>
    <row r="193" spans="1:17">
      <c r="A193" s="101">
        <v>2</v>
      </c>
      <c r="B193" s="132" t="s">
        <v>22</v>
      </c>
      <c r="C193" s="101">
        <v>2023</v>
      </c>
      <c r="D193" s="133">
        <f>Population!H3</f>
        <v>2555673.1609350177</v>
      </c>
      <c r="E193" s="133" t="str">
        <f t="shared" si="19"/>
        <v>Large</v>
      </c>
      <c r="F193" s="133"/>
      <c r="G193" s="134">
        <f>Variables!$C$3*POWER(SUM(1,Variables!$C$2/100),C193-2017)</f>
        <v>17849.675121058746</v>
      </c>
      <c r="H193" s="134">
        <f t="shared" si="20"/>
        <v>378.48404550880286</v>
      </c>
      <c r="I193" s="135">
        <f>VLOOKUP(B193,'Waste per capita'!$B$2:$F$48,4,FALSE)*(H193/Variables!$C$6)</f>
        <v>150.9109422118386</v>
      </c>
      <c r="J193" s="134">
        <f t="shared" si="15"/>
        <v>385679.04470221139</v>
      </c>
      <c r="K193" s="136">
        <f>Variables!$C$15</f>
        <v>1</v>
      </c>
      <c r="L193" s="137">
        <f t="shared" si="16"/>
        <v>385679.04470221139</v>
      </c>
      <c r="N193" s="138">
        <f>Variables!$E$30*Variables!$C$19</f>
        <v>2.2291759999999998</v>
      </c>
      <c r="O193" s="87">
        <f t="shared" si="17"/>
        <v>859746.47015309671</v>
      </c>
      <c r="P193" s="145">
        <f>Variables!$E$29</f>
        <v>48.483938529092256</v>
      </c>
      <c r="Q193" s="146">
        <f t="shared" si="18"/>
        <v>18699239.095301043</v>
      </c>
    </row>
    <row r="194" spans="1:17">
      <c r="A194" s="101">
        <v>3</v>
      </c>
      <c r="B194" s="132" t="s">
        <v>23</v>
      </c>
      <c r="C194" s="101">
        <v>2023</v>
      </c>
      <c r="D194" s="133">
        <f>Population!H4</f>
        <v>1963747.6148767055</v>
      </c>
      <c r="E194" s="133" t="str">
        <f t="shared" si="19"/>
        <v>Large</v>
      </c>
      <c r="F194" s="133"/>
      <c r="G194" s="134">
        <f>Variables!$C$3*POWER(SUM(1,Variables!$C$2/100),C194-2017)</f>
        <v>17849.675121058746</v>
      </c>
      <c r="H194" s="134">
        <f t="shared" si="20"/>
        <v>378.48404550880286</v>
      </c>
      <c r="I194" s="135">
        <f>VLOOKUP(B194,'Waste per capita'!$B$2:$F$48,4,FALSE)*(H194/Variables!$C$6)</f>
        <v>112.21157851942495</v>
      </c>
      <c r="J194" s="134">
        <f t="shared" si="15"/>
        <v>220355.2196790709</v>
      </c>
      <c r="K194" s="136">
        <f>Variables!$C$15</f>
        <v>1</v>
      </c>
      <c r="L194" s="137">
        <f t="shared" si="16"/>
        <v>220355.2196790709</v>
      </c>
      <c r="N194" s="138">
        <f>Variables!$E$30*Variables!$C$19</f>
        <v>2.2291759999999998</v>
      </c>
      <c r="O194" s="87">
        <f t="shared" si="17"/>
        <v>491210.56718331249</v>
      </c>
      <c r="P194" s="145">
        <f>Variables!$E$29</f>
        <v>48.483938529092256</v>
      </c>
      <c r="Q194" s="146">
        <f t="shared" si="18"/>
        <v>10683688.925484695</v>
      </c>
    </row>
    <row r="195" spans="1:17">
      <c r="A195" s="101">
        <v>4</v>
      </c>
      <c r="B195" s="132" t="s">
        <v>24</v>
      </c>
      <c r="C195" s="101">
        <v>2023</v>
      </c>
      <c r="D195" s="133">
        <f>Population!H5</f>
        <v>1206669.0446028993</v>
      </c>
      <c r="E195" s="133" t="str">
        <f t="shared" si="19"/>
        <v>Large</v>
      </c>
      <c r="F195" s="133"/>
      <c r="G195" s="134">
        <f>Variables!$C$3*POWER(SUM(1,Variables!$C$2/100),C195-2017)</f>
        <v>17849.675121058746</v>
      </c>
      <c r="H195" s="134">
        <f t="shared" si="20"/>
        <v>378.48404550880286</v>
      </c>
      <c r="I195" s="135">
        <f>VLOOKUP(B195,'Waste per capita'!$B$2:$F$48,4,FALSE)*(H195/Variables!$C$6)</f>
        <v>386.50654823357485</v>
      </c>
      <c r="J195" s="134">
        <f t="shared" si="15"/>
        <v>466385.48728977219</v>
      </c>
      <c r="K195" s="136">
        <f>Variables!$C$15</f>
        <v>1</v>
      </c>
      <c r="L195" s="137">
        <f t="shared" si="16"/>
        <v>466385.48728977219</v>
      </c>
      <c r="N195" s="138">
        <f>Variables!$E$30*Variables!$C$19</f>
        <v>2.2291759999999998</v>
      </c>
      <c r="O195" s="87">
        <f t="shared" si="17"/>
        <v>1039655.3350146652</v>
      </c>
      <c r="P195" s="145">
        <f>Variables!$E$29</f>
        <v>48.483938529092256</v>
      </c>
      <c r="Q195" s="146">
        <f t="shared" si="18"/>
        <v>22612205.296618052</v>
      </c>
    </row>
    <row r="196" spans="1:17">
      <c r="A196" s="101">
        <v>5</v>
      </c>
      <c r="B196" s="132" t="s">
        <v>25</v>
      </c>
      <c r="C196" s="101">
        <v>2023</v>
      </c>
      <c r="D196" s="133">
        <f>Population!H6</f>
        <v>569727.03187427076</v>
      </c>
      <c r="E196" s="133" t="str">
        <f t="shared" si="19"/>
        <v>Medium</v>
      </c>
      <c r="F196" s="133"/>
      <c r="G196" s="134">
        <f>Variables!$C$3*POWER(SUM(1,Variables!$C$2/100),C196-2017)</f>
        <v>17849.675121058746</v>
      </c>
      <c r="H196" s="134">
        <f t="shared" si="20"/>
        <v>378.48404550880286</v>
      </c>
      <c r="I196" s="135">
        <f>VLOOKUP(B196,'Waste per capita'!$B$2:$F$48,4,FALSE)*(H196/Variables!$C$6)</f>
        <v>147.3782170640672</v>
      </c>
      <c r="J196" s="134">
        <f t="shared" ref="J196:J243" si="21">I196*D196/1000</f>
        <v>83965.354170833001</v>
      </c>
      <c r="K196" s="136">
        <f>Variables!$C$15</f>
        <v>1</v>
      </c>
      <c r="L196" s="137">
        <f t="shared" ref="L196:L243" si="22">J196*K196</f>
        <v>83965.354170833001</v>
      </c>
      <c r="N196" s="138">
        <f>Variables!$E$30*Variables!$C$19</f>
        <v>2.2291759999999998</v>
      </c>
      <c r="O196" s="87">
        <f t="shared" ref="O196:O243" si="23">N196*L196</f>
        <v>187173.55234912082</v>
      </c>
      <c r="P196" s="145">
        <f>Variables!$E$29</f>
        <v>48.483938529092256</v>
      </c>
      <c r="Q196" s="146">
        <f t="shared" ref="Q196:Q243" si="24">P196*J196</f>
        <v>4070971.0701921275</v>
      </c>
    </row>
    <row r="197" spans="1:17">
      <c r="A197" s="101">
        <v>6</v>
      </c>
      <c r="B197" s="132" t="s">
        <v>26</v>
      </c>
      <c r="C197" s="101">
        <v>2023</v>
      </c>
      <c r="D197" s="133">
        <f>Population!H7</f>
        <v>956570.0221131146</v>
      </c>
      <c r="E197" s="133" t="str">
        <f t="shared" ref="E197:E260" si="25">IF(D197&lt;100000,"Small",IF(D197&lt;1000000,"Medium","Large"))</f>
        <v>Medium</v>
      </c>
      <c r="F197" s="133"/>
      <c r="G197" s="134">
        <f>Variables!$C$3*POWER(SUM(1,Variables!$C$2/100),C197-2017)</f>
        <v>17849.675121058746</v>
      </c>
      <c r="H197" s="134">
        <f t="shared" si="20"/>
        <v>378.48404550880286</v>
      </c>
      <c r="I197" s="135">
        <f>VLOOKUP(B197,'Waste per capita'!$B$2:$F$48,4,FALSE)*(H197/Variables!$C$6)</f>
        <v>147.3782170640672</v>
      </c>
      <c r="J197" s="134">
        <f t="shared" si="21"/>
        <v>140977.58435596616</v>
      </c>
      <c r="K197" s="136">
        <f>Variables!$C$15</f>
        <v>1</v>
      </c>
      <c r="L197" s="137">
        <f t="shared" si="22"/>
        <v>140977.58435596616</v>
      </c>
      <c r="N197" s="138">
        <f>Variables!$E$30*Variables!$C$19</f>
        <v>2.2291759999999998</v>
      </c>
      <c r="O197" s="87">
        <f t="shared" si="23"/>
        <v>314263.8475842952</v>
      </c>
      <c r="P197" s="145">
        <f>Variables!$E$29</f>
        <v>48.483938529092256</v>
      </c>
      <c r="Q197" s="146">
        <f t="shared" si="24"/>
        <v>6835148.5338945817</v>
      </c>
    </row>
    <row r="198" spans="1:17">
      <c r="A198" s="101">
        <v>7</v>
      </c>
      <c r="B198" s="132" t="s">
        <v>27</v>
      </c>
      <c r="C198" s="101">
        <v>2023</v>
      </c>
      <c r="D198" s="133">
        <f>Population!H8</f>
        <v>678057.63402087952</v>
      </c>
      <c r="E198" s="133" t="str">
        <f t="shared" si="25"/>
        <v>Medium</v>
      </c>
      <c r="F198" s="133"/>
      <c r="G198" s="134">
        <f>Variables!$C$3*POWER(SUM(1,Variables!$C$2/100),C198-2017)</f>
        <v>17849.675121058746</v>
      </c>
      <c r="H198" s="134">
        <f t="shared" si="20"/>
        <v>378.48404550880286</v>
      </c>
      <c r="I198" s="135">
        <f>VLOOKUP(B198,'Waste per capita'!$B$2:$F$48,4,FALSE)*(H198/Variables!$C$6)</f>
        <v>147.3782170640672</v>
      </c>
      <c r="J198" s="134">
        <f t="shared" si="21"/>
        <v>99930.925168677015</v>
      </c>
      <c r="K198" s="136">
        <f>Variables!$C$15</f>
        <v>1</v>
      </c>
      <c r="L198" s="137">
        <f t="shared" si="22"/>
        <v>99930.925168677015</v>
      </c>
      <c r="N198" s="138">
        <f>Variables!$E$30*Variables!$C$19</f>
        <v>2.2291759999999998</v>
      </c>
      <c r="O198" s="87">
        <f t="shared" si="23"/>
        <v>222763.62004381075</v>
      </c>
      <c r="P198" s="145">
        <f>Variables!$E$29</f>
        <v>48.483938529092256</v>
      </c>
      <c r="Q198" s="146">
        <f t="shared" si="24"/>
        <v>4845044.8330334546</v>
      </c>
    </row>
    <row r="199" spans="1:17">
      <c r="A199" s="101">
        <v>8</v>
      </c>
      <c r="B199" s="132" t="s">
        <v>28</v>
      </c>
      <c r="C199" s="101">
        <v>2023</v>
      </c>
      <c r="D199" s="133">
        <f>Population!H9</f>
        <v>441330.93787131162</v>
      </c>
      <c r="E199" s="133" t="str">
        <f t="shared" si="25"/>
        <v>Medium</v>
      </c>
      <c r="F199" s="133"/>
      <c r="G199" s="134">
        <f>Variables!$C$3*POWER(SUM(1,Variables!$C$2/100),C199-2017)</f>
        <v>17849.675121058746</v>
      </c>
      <c r="H199" s="134">
        <f t="shared" si="20"/>
        <v>378.48404550880286</v>
      </c>
      <c r="I199" s="135">
        <f>VLOOKUP(B199,'Waste per capita'!$B$2:$F$48,4,FALSE)*(H199/Variables!$C$6)</f>
        <v>147.3782170640672</v>
      </c>
      <c r="J199" s="134">
        <f t="shared" si="21"/>
        <v>65042.566758686517</v>
      </c>
      <c r="K199" s="136">
        <f>Variables!$C$15</f>
        <v>1</v>
      </c>
      <c r="L199" s="137">
        <f t="shared" si="22"/>
        <v>65042.566758686517</v>
      </c>
      <c r="N199" s="138">
        <f>Variables!$E$30*Variables!$C$19</f>
        <v>2.2291759999999998</v>
      </c>
      <c r="O199" s="87">
        <f t="shared" si="23"/>
        <v>144991.32879686175</v>
      </c>
      <c r="P199" s="145">
        <f>Variables!$E$29</f>
        <v>48.483938529092256</v>
      </c>
      <c r="Q199" s="146">
        <f t="shared" si="24"/>
        <v>3153519.8085025363</v>
      </c>
    </row>
    <row r="200" spans="1:17">
      <c r="A200" s="101">
        <v>9</v>
      </c>
      <c r="B200" s="132" t="s">
        <v>29</v>
      </c>
      <c r="C200" s="101">
        <v>2023</v>
      </c>
      <c r="D200" s="133">
        <f>Population!H10</f>
        <v>516937.96111592866</v>
      </c>
      <c r="E200" s="133" t="str">
        <f t="shared" si="25"/>
        <v>Medium</v>
      </c>
      <c r="F200" s="133"/>
      <c r="G200" s="134">
        <f>Variables!$C$3*POWER(SUM(1,Variables!$C$2/100),C200-2017)</f>
        <v>17849.675121058746</v>
      </c>
      <c r="H200" s="134">
        <f t="shared" si="20"/>
        <v>378.48404550880286</v>
      </c>
      <c r="I200" s="135">
        <f>VLOOKUP(B200,'Waste per capita'!$B$2:$F$48,4,FALSE)*(H200/Variables!$C$6)</f>
        <v>147.3782170640672</v>
      </c>
      <c r="J200" s="134">
        <f t="shared" si="21"/>
        <v>76185.395041999669</v>
      </c>
      <c r="K200" s="136">
        <f>Variables!$C$15</f>
        <v>1</v>
      </c>
      <c r="L200" s="137">
        <f t="shared" si="22"/>
        <v>76185.395041999669</v>
      </c>
      <c r="N200" s="138">
        <f>Variables!$E$30*Variables!$C$19</f>
        <v>2.2291759999999998</v>
      </c>
      <c r="O200" s="87">
        <f t="shared" si="23"/>
        <v>169830.65417814464</v>
      </c>
      <c r="P200" s="145">
        <f>Variables!$E$29</f>
        <v>48.483938529092256</v>
      </c>
      <c r="Q200" s="146">
        <f t="shared" si="24"/>
        <v>3693768.010030922</v>
      </c>
    </row>
    <row r="201" spans="1:17">
      <c r="A201" s="101">
        <v>10</v>
      </c>
      <c r="B201" s="132" t="s">
        <v>30</v>
      </c>
      <c r="C201" s="101">
        <v>2023</v>
      </c>
      <c r="D201" s="133">
        <f>Population!H11</f>
        <v>539381.01876885188</v>
      </c>
      <c r="E201" s="133" t="str">
        <f t="shared" si="25"/>
        <v>Medium</v>
      </c>
      <c r="F201" s="133"/>
      <c r="G201" s="134">
        <f>Variables!$C$3*POWER(SUM(1,Variables!$C$2/100),C201-2017)</f>
        <v>17849.675121058746</v>
      </c>
      <c r="H201" s="134">
        <f t="shared" si="20"/>
        <v>378.48404550880286</v>
      </c>
      <c r="I201" s="135">
        <f>VLOOKUP(B201,'Waste per capita'!$B$2:$F$48,4,FALSE)*(H201/Variables!$C$6)</f>
        <v>147.3782170640672</v>
      </c>
      <c r="J201" s="134">
        <f t="shared" si="21"/>
        <v>79493.012864353557</v>
      </c>
      <c r="K201" s="136">
        <f>Variables!$C$15</f>
        <v>1</v>
      </c>
      <c r="L201" s="137">
        <f t="shared" si="22"/>
        <v>79493.012864353557</v>
      </c>
      <c r="N201" s="138">
        <f>Variables!$E$30*Variables!$C$19</f>
        <v>2.2291759999999998</v>
      </c>
      <c r="O201" s="87">
        <f t="shared" si="23"/>
        <v>177203.91644490819</v>
      </c>
      <c r="P201" s="145">
        <f>Variables!$E$29</f>
        <v>48.483938529092256</v>
      </c>
      <c r="Q201" s="146">
        <f t="shared" si="24"/>
        <v>3854134.3492076579</v>
      </c>
    </row>
    <row r="202" spans="1:17">
      <c r="A202" s="101">
        <v>11</v>
      </c>
      <c r="B202" s="132" t="s">
        <v>31</v>
      </c>
      <c r="C202" s="101">
        <v>2023</v>
      </c>
      <c r="D202" s="133">
        <f>Population!H12</f>
        <v>379555.16395256604</v>
      </c>
      <c r="E202" s="133" t="str">
        <f t="shared" si="25"/>
        <v>Medium</v>
      </c>
      <c r="F202" s="133"/>
      <c r="G202" s="134">
        <f>Variables!$C$3*POWER(SUM(1,Variables!$C$2/100),C202-2017)</f>
        <v>17849.675121058746</v>
      </c>
      <c r="H202" s="134">
        <f t="shared" si="20"/>
        <v>378.48404550880286</v>
      </c>
      <c r="I202" s="135">
        <f>VLOOKUP(B202,'Waste per capita'!$B$2:$F$48,4,FALSE)*(H202/Variables!$C$6)</f>
        <v>147.3782170640672</v>
      </c>
      <c r="J202" s="134">
        <f t="shared" si="21"/>
        <v>55938.163340788895</v>
      </c>
      <c r="K202" s="136">
        <f>Variables!$C$15</f>
        <v>1</v>
      </c>
      <c r="L202" s="137">
        <f t="shared" si="22"/>
        <v>55938.163340788895</v>
      </c>
      <c r="N202" s="138">
        <f>Variables!$E$30*Variables!$C$19</f>
        <v>2.2291759999999998</v>
      </c>
      <c r="O202" s="87">
        <f t="shared" si="23"/>
        <v>124696.01120336642</v>
      </c>
      <c r="P202" s="145">
        <f>Variables!$E$29</f>
        <v>48.483938529092256</v>
      </c>
      <c r="Q202" s="146">
        <f t="shared" si="24"/>
        <v>2712102.4728451306</v>
      </c>
    </row>
    <row r="203" spans="1:17">
      <c r="A203" s="101">
        <v>12</v>
      </c>
      <c r="B203" s="132" t="s">
        <v>32</v>
      </c>
      <c r="C203" s="101">
        <v>2023</v>
      </c>
      <c r="D203" s="133">
        <f>Population!H13</f>
        <v>431383.29737944331</v>
      </c>
      <c r="E203" s="133" t="str">
        <f t="shared" si="25"/>
        <v>Medium</v>
      </c>
      <c r="F203" s="133"/>
      <c r="G203" s="134">
        <f>Variables!$C$3*POWER(SUM(1,Variables!$C$2/100),C203-2017)</f>
        <v>17849.675121058746</v>
      </c>
      <c r="H203" s="134">
        <f t="shared" si="20"/>
        <v>378.48404550880286</v>
      </c>
      <c r="I203" s="135">
        <f>VLOOKUP(B203,'Waste per capita'!$B$2:$F$48,4,FALSE)*(H203/Variables!$C$6)</f>
        <v>147.3782170640672</v>
      </c>
      <c r="J203" s="134">
        <f t="shared" si="21"/>
        <v>63576.501239000645</v>
      </c>
      <c r="K203" s="136">
        <f>Variables!$C$15</f>
        <v>1</v>
      </c>
      <c r="L203" s="137">
        <f t="shared" si="22"/>
        <v>63576.501239000645</v>
      </c>
      <c r="N203" s="138">
        <f>Variables!$E$30*Variables!$C$19</f>
        <v>2.2291759999999998</v>
      </c>
      <c r="O203" s="87">
        <f t="shared" si="23"/>
        <v>141723.21072595048</v>
      </c>
      <c r="P203" s="145">
        <f>Variables!$E$29</f>
        <v>48.483938529092256</v>
      </c>
      <c r="Q203" s="146">
        <f t="shared" si="24"/>
        <v>3082439.1779664648</v>
      </c>
    </row>
    <row r="204" spans="1:17">
      <c r="A204" s="101">
        <v>13</v>
      </c>
      <c r="B204" s="132" t="s">
        <v>33</v>
      </c>
      <c r="C204" s="101">
        <v>2023</v>
      </c>
      <c r="D204" s="133">
        <f>Population!H14</f>
        <v>486083.46996067627</v>
      </c>
      <c r="E204" s="133" t="str">
        <f t="shared" si="25"/>
        <v>Medium</v>
      </c>
      <c r="F204" s="133"/>
      <c r="G204" s="134">
        <f>Variables!$C$3*POWER(SUM(1,Variables!$C$2/100),C204-2017)</f>
        <v>17849.675121058746</v>
      </c>
      <c r="H204" s="134">
        <f t="shared" si="20"/>
        <v>378.48404550880286</v>
      </c>
      <c r="I204" s="135">
        <f>VLOOKUP(B204,'Waste per capita'!$B$2:$F$48,4,FALSE)*(H204/Variables!$C$6)</f>
        <v>147.3782170640672</v>
      </c>
      <c r="J204" s="134">
        <f t="shared" si="21"/>
        <v>71638.115147119534</v>
      </c>
      <c r="K204" s="136">
        <f>Variables!$C$15</f>
        <v>1</v>
      </c>
      <c r="L204" s="137">
        <f t="shared" si="22"/>
        <v>71638.115147119534</v>
      </c>
      <c r="N204" s="138">
        <f>Variables!$E$30*Variables!$C$19</f>
        <v>2.2291759999999998</v>
      </c>
      <c r="O204" s="87">
        <f t="shared" si="23"/>
        <v>159693.96697119533</v>
      </c>
      <c r="P204" s="145">
        <f>Variables!$E$29</f>
        <v>48.483938529092256</v>
      </c>
      <c r="Q204" s="146">
        <f t="shared" si="24"/>
        <v>3473297.9711329765</v>
      </c>
    </row>
    <row r="205" spans="1:17">
      <c r="A205" s="101">
        <v>14</v>
      </c>
      <c r="B205" s="132" t="s">
        <v>34</v>
      </c>
      <c r="C205" s="101">
        <v>2023</v>
      </c>
      <c r="D205" s="133">
        <f>Population!H15</f>
        <v>338833.82860573672</v>
      </c>
      <c r="E205" s="133" t="str">
        <f t="shared" si="25"/>
        <v>Medium</v>
      </c>
      <c r="F205" s="133"/>
      <c r="G205" s="134">
        <f>Variables!$C$3*POWER(SUM(1,Variables!$C$2/100),C205-2017)</f>
        <v>17849.675121058746</v>
      </c>
      <c r="H205" s="134">
        <f t="shared" si="20"/>
        <v>378.48404550880286</v>
      </c>
      <c r="I205" s="135">
        <f>VLOOKUP(B205,'Waste per capita'!$B$2:$F$48,4,FALSE)*(H205/Variables!$C$6)</f>
        <v>147.3782170640672</v>
      </c>
      <c r="J205" s="134">
        <f t="shared" si="21"/>
        <v>49936.725540905209</v>
      </c>
      <c r="K205" s="136">
        <f>Variables!$C$15</f>
        <v>1</v>
      </c>
      <c r="L205" s="137">
        <f t="shared" si="22"/>
        <v>49936.725540905209</v>
      </c>
      <c r="N205" s="138">
        <f>Variables!$E$30*Variables!$C$19</f>
        <v>2.2291759999999998</v>
      </c>
      <c r="O205" s="87">
        <f t="shared" si="23"/>
        <v>111317.7500943729</v>
      </c>
      <c r="P205" s="145">
        <f>Variables!$E$29</f>
        <v>48.483938529092256</v>
      </c>
      <c r="Q205" s="146">
        <f t="shared" si="24"/>
        <v>2421129.1314693992</v>
      </c>
    </row>
    <row r="206" spans="1:17">
      <c r="A206" s="101">
        <v>15</v>
      </c>
      <c r="B206" s="132" t="s">
        <v>35</v>
      </c>
      <c r="C206" s="101">
        <v>2023</v>
      </c>
      <c r="D206" s="133">
        <f>Population!H16</f>
        <v>296943.6401146928</v>
      </c>
      <c r="E206" s="133" t="str">
        <f t="shared" si="25"/>
        <v>Medium</v>
      </c>
      <c r="F206" s="133"/>
      <c r="G206" s="134">
        <f>Variables!$C$3*POWER(SUM(1,Variables!$C$2/100),C206-2017)</f>
        <v>17849.675121058746</v>
      </c>
      <c r="H206" s="134">
        <f t="shared" si="20"/>
        <v>378.48404550880286</v>
      </c>
      <c r="I206" s="135">
        <f>VLOOKUP(B206,'Waste per capita'!$B$2:$F$48,4,FALSE)*(H206/Variables!$C$6)</f>
        <v>91.333010723441177</v>
      </c>
      <c r="J206" s="134">
        <f t="shared" si="21"/>
        <v>27120.756666852896</v>
      </c>
      <c r="K206" s="136">
        <f>Variables!$C$15</f>
        <v>1</v>
      </c>
      <c r="L206" s="137">
        <f t="shared" si="22"/>
        <v>27120.756666852896</v>
      </c>
      <c r="N206" s="138">
        <f>Variables!$E$30*Variables!$C$19</f>
        <v>2.2291759999999998</v>
      </c>
      <c r="O206" s="87">
        <f t="shared" si="23"/>
        <v>60456.939863588465</v>
      </c>
      <c r="P206" s="145">
        <f>Variables!$E$29</f>
        <v>48.483938529092256</v>
      </c>
      <c r="Q206" s="146">
        <f t="shared" si="24"/>
        <v>1314921.0990981648</v>
      </c>
    </row>
    <row r="207" spans="1:17">
      <c r="A207" s="101">
        <v>16</v>
      </c>
      <c r="B207" s="132" t="s">
        <v>36</v>
      </c>
      <c r="C207" s="101">
        <v>2023</v>
      </c>
      <c r="D207" s="133">
        <f>Population!H17</f>
        <v>494849.32990028342</v>
      </c>
      <c r="E207" s="133" t="str">
        <f t="shared" si="25"/>
        <v>Medium</v>
      </c>
      <c r="F207" s="133"/>
      <c r="G207" s="134">
        <f>Variables!$C$3*POWER(SUM(1,Variables!$C$2/100),C207-2017)</f>
        <v>17849.675121058746</v>
      </c>
      <c r="H207" s="134">
        <f t="shared" si="20"/>
        <v>378.48404550880286</v>
      </c>
      <c r="I207" s="135">
        <f>VLOOKUP(B207,'Waste per capita'!$B$2:$F$48,4,FALSE)*(H207/Variables!$C$6)</f>
        <v>147.3782170640672</v>
      </c>
      <c r="J207" s="134">
        <f t="shared" si="21"/>
        <v>72930.011956052171</v>
      </c>
      <c r="K207" s="136">
        <f>Variables!$C$15</f>
        <v>1</v>
      </c>
      <c r="L207" s="137">
        <f t="shared" si="22"/>
        <v>72930.011956052171</v>
      </c>
      <c r="N207" s="138">
        <f>Variables!$E$30*Variables!$C$19</f>
        <v>2.2291759999999998</v>
      </c>
      <c r="O207" s="87">
        <f t="shared" si="23"/>
        <v>162573.83233214455</v>
      </c>
      <c r="P207" s="145">
        <f>Variables!$E$29</f>
        <v>48.483938529092256</v>
      </c>
      <c r="Q207" s="146">
        <f t="shared" si="24"/>
        <v>3535934.2166031967</v>
      </c>
    </row>
    <row r="208" spans="1:17">
      <c r="A208" s="101">
        <v>17</v>
      </c>
      <c r="B208" s="132" t="s">
        <v>37</v>
      </c>
      <c r="C208" s="101">
        <v>2023</v>
      </c>
      <c r="D208" s="133">
        <f>Population!H18</f>
        <v>467242.85001674248</v>
      </c>
      <c r="E208" s="133" t="str">
        <f t="shared" si="25"/>
        <v>Medium</v>
      </c>
      <c r="F208" s="133"/>
      <c r="G208" s="134">
        <f>Variables!$C$3*POWER(SUM(1,Variables!$C$2/100),C208-2017)</f>
        <v>17849.675121058746</v>
      </c>
      <c r="H208" s="134">
        <f t="shared" si="20"/>
        <v>378.48404550880286</v>
      </c>
      <c r="I208" s="135">
        <f>VLOOKUP(B208,'Waste per capita'!$B$2:$F$48,4,FALSE)*(H208/Variables!$C$6)</f>
        <v>147.3782170640672</v>
      </c>
      <c r="J208" s="134">
        <f t="shared" si="21"/>
        <v>68861.418171400874</v>
      </c>
      <c r="K208" s="136">
        <f>Variables!$C$15</f>
        <v>1</v>
      </c>
      <c r="L208" s="137">
        <f t="shared" si="22"/>
        <v>68861.418171400874</v>
      </c>
      <c r="N208" s="138">
        <f>Variables!$E$30*Variables!$C$19</f>
        <v>2.2291759999999998</v>
      </c>
      <c r="O208" s="87">
        <f t="shared" si="23"/>
        <v>153504.22071365069</v>
      </c>
      <c r="P208" s="145">
        <f>Variables!$E$29</f>
        <v>48.483938529092256</v>
      </c>
      <c r="Q208" s="146">
        <f t="shared" si="24"/>
        <v>3338672.7656483166</v>
      </c>
    </row>
    <row r="209" spans="1:17">
      <c r="A209" s="101">
        <v>18</v>
      </c>
      <c r="B209" s="132" t="s">
        <v>38</v>
      </c>
      <c r="C209" s="101">
        <v>2023</v>
      </c>
      <c r="D209" s="133">
        <f>Population!H19</f>
        <v>295845.88771473465</v>
      </c>
      <c r="E209" s="133" t="str">
        <f t="shared" si="25"/>
        <v>Medium</v>
      </c>
      <c r="F209" s="133"/>
      <c r="G209" s="134">
        <f>Variables!$C$3*POWER(SUM(1,Variables!$C$2/100),C209-2017)</f>
        <v>17849.675121058746</v>
      </c>
      <c r="H209" s="134">
        <f t="shared" si="20"/>
        <v>378.48404550880286</v>
      </c>
      <c r="I209" s="135">
        <f>VLOOKUP(B209,'Waste per capita'!$B$2:$F$48,4,FALSE)*(H209/Variables!$C$6)</f>
        <v>147.3782170640672</v>
      </c>
      <c r="J209" s="134">
        <f t="shared" si="21"/>
        <v>43601.239457133815</v>
      </c>
      <c r="K209" s="136">
        <f>Variables!$C$15</f>
        <v>1</v>
      </c>
      <c r="L209" s="137">
        <f t="shared" si="22"/>
        <v>43601.239457133815</v>
      </c>
      <c r="N209" s="138">
        <f>Variables!$E$30*Variables!$C$19</f>
        <v>2.2291759999999998</v>
      </c>
      <c r="O209" s="87">
        <f t="shared" si="23"/>
        <v>97194.836568095721</v>
      </c>
      <c r="P209" s="145">
        <f>Variables!$E$29</f>
        <v>48.483938529092256</v>
      </c>
      <c r="Q209" s="146">
        <f t="shared" si="24"/>
        <v>2113959.8136319076</v>
      </c>
    </row>
    <row r="210" spans="1:17">
      <c r="A210" s="101">
        <v>19</v>
      </c>
      <c r="B210" s="132" t="s">
        <v>39</v>
      </c>
      <c r="C210" s="101">
        <v>2023</v>
      </c>
      <c r="D210" s="133">
        <f>Population!H20</f>
        <v>298698.53575702047</v>
      </c>
      <c r="E210" s="133" t="str">
        <f t="shared" si="25"/>
        <v>Medium</v>
      </c>
      <c r="F210" s="133"/>
      <c r="G210" s="134">
        <f>Variables!$C$3*POWER(SUM(1,Variables!$C$2/100),C210-2017)</f>
        <v>17849.675121058746</v>
      </c>
      <c r="H210" s="134">
        <f t="shared" si="20"/>
        <v>378.48404550880286</v>
      </c>
      <c r="I210" s="135">
        <f>VLOOKUP(B210,'Waste per capita'!$B$2:$F$48,4,FALSE)*(H210/Variables!$C$6)</f>
        <v>147.3782170640672</v>
      </c>
      <c r="J210" s="134">
        <f t="shared" si="21"/>
        <v>44021.657639517201</v>
      </c>
      <c r="K210" s="136">
        <f>Variables!$C$15</f>
        <v>1</v>
      </c>
      <c r="L210" s="137">
        <f t="shared" si="22"/>
        <v>44021.657639517201</v>
      </c>
      <c r="N210" s="138">
        <f>Variables!$E$30*Variables!$C$19</f>
        <v>2.2291759999999998</v>
      </c>
      <c r="O210" s="87">
        <f t="shared" si="23"/>
        <v>98132.02269022839</v>
      </c>
      <c r="P210" s="145">
        <f>Variables!$E$29</f>
        <v>48.483938529092256</v>
      </c>
      <c r="Q210" s="146">
        <f t="shared" si="24"/>
        <v>2134343.3429430965</v>
      </c>
    </row>
    <row r="211" spans="1:17">
      <c r="A211" s="101">
        <v>20</v>
      </c>
      <c r="B211" s="132" t="s">
        <v>40</v>
      </c>
      <c r="C211" s="101">
        <v>2023</v>
      </c>
      <c r="D211" s="133">
        <f>Population!H21</f>
        <v>180974.01709653993</v>
      </c>
      <c r="E211" s="133" t="str">
        <f t="shared" si="25"/>
        <v>Medium</v>
      </c>
      <c r="F211" s="133"/>
      <c r="G211" s="134">
        <f>Variables!$C$3*POWER(SUM(1,Variables!$C$2/100),C211-2017)</f>
        <v>17849.675121058746</v>
      </c>
      <c r="H211" s="134">
        <f t="shared" si="20"/>
        <v>378.48404550880286</v>
      </c>
      <c r="I211" s="135">
        <f>VLOOKUP(B211,'Waste per capita'!$B$2:$F$48,4,FALSE)*(H211/Variables!$C$6)</f>
        <v>147.3782170640672</v>
      </c>
      <c r="J211" s="134">
        <f t="shared" si="21"/>
        <v>26671.62797461007</v>
      </c>
      <c r="K211" s="136">
        <f>Variables!$C$15</f>
        <v>1</v>
      </c>
      <c r="L211" s="137">
        <f t="shared" si="22"/>
        <v>26671.62797461007</v>
      </c>
      <c r="N211" s="138">
        <f>Variables!$E$30*Variables!$C$19</f>
        <v>2.2291759999999998</v>
      </c>
      <c r="O211" s="87">
        <f t="shared" si="23"/>
        <v>59455.752961929371</v>
      </c>
      <c r="P211" s="145">
        <f>Variables!$E$29</f>
        <v>48.483938529092256</v>
      </c>
      <c r="Q211" s="146">
        <f t="shared" si="24"/>
        <v>1293145.5711918119</v>
      </c>
    </row>
    <row r="212" spans="1:17">
      <c r="A212" s="101">
        <v>21</v>
      </c>
      <c r="B212" s="132" t="s">
        <v>41</v>
      </c>
      <c r="C212" s="101">
        <v>2023</v>
      </c>
      <c r="D212" s="133">
        <f>Population!H22</f>
        <v>191296.55242175999</v>
      </c>
      <c r="E212" s="133" t="str">
        <f t="shared" si="25"/>
        <v>Medium</v>
      </c>
      <c r="F212" s="133"/>
      <c r="G212" s="134">
        <f>Variables!$C$3*POWER(SUM(1,Variables!$C$2/100),C212-2017)</f>
        <v>17849.675121058746</v>
      </c>
      <c r="H212" s="134">
        <f t="shared" si="20"/>
        <v>378.48404550880286</v>
      </c>
      <c r="I212" s="135">
        <f>VLOOKUP(B212,'Waste per capita'!$B$2:$F$48,4,FALSE)*(H212/Variables!$C$6)</f>
        <v>147.3782170640672</v>
      </c>
      <c r="J212" s="134">
        <f t="shared" si="21"/>
        <v>28192.944826421852</v>
      </c>
      <c r="K212" s="136">
        <f>Variables!$C$15</f>
        <v>1</v>
      </c>
      <c r="L212" s="137">
        <f t="shared" si="22"/>
        <v>28192.944826421852</v>
      </c>
      <c r="N212" s="138">
        <f>Variables!$E$30*Variables!$C$19</f>
        <v>2.2291759999999998</v>
      </c>
      <c r="O212" s="87">
        <f t="shared" si="23"/>
        <v>62847.035976383755</v>
      </c>
      <c r="P212" s="145">
        <f>Variables!$E$29</f>
        <v>48.483938529092256</v>
      </c>
      <c r="Q212" s="146">
        <f t="shared" si="24"/>
        <v>1366905.0039183267</v>
      </c>
    </row>
    <row r="213" spans="1:17">
      <c r="A213" s="101">
        <v>22</v>
      </c>
      <c r="B213" s="132" t="s">
        <v>42</v>
      </c>
      <c r="C213" s="101">
        <v>2023</v>
      </c>
      <c r="D213" s="133">
        <f>Population!H23</f>
        <v>168906.28168502715</v>
      </c>
      <c r="E213" s="133" t="str">
        <f t="shared" si="25"/>
        <v>Medium</v>
      </c>
      <c r="F213" s="133"/>
      <c r="G213" s="134">
        <f>Variables!$C$3*POWER(SUM(1,Variables!$C$2/100),C213-2017)</f>
        <v>17849.675121058746</v>
      </c>
      <c r="H213" s="134">
        <f t="shared" si="20"/>
        <v>378.48404550880286</v>
      </c>
      <c r="I213" s="135">
        <f>VLOOKUP(B213,'Waste per capita'!$B$2:$F$48,4,FALSE)*(H213/Variables!$C$6)</f>
        <v>111.41821598020299</v>
      </c>
      <c r="J213" s="134">
        <f t="shared" si="21"/>
        <v>18819.236573195361</v>
      </c>
      <c r="K213" s="136">
        <f>Variables!$C$15</f>
        <v>1</v>
      </c>
      <c r="L213" s="137">
        <f t="shared" si="22"/>
        <v>18819.236573195361</v>
      </c>
      <c r="N213" s="138">
        <f>Variables!$E$30*Variables!$C$19</f>
        <v>2.2291759999999998</v>
      </c>
      <c r="O213" s="87">
        <f t="shared" si="23"/>
        <v>41951.390507289339</v>
      </c>
      <c r="P213" s="145">
        <f>Variables!$E$29</f>
        <v>48.483938529092256</v>
      </c>
      <c r="Q213" s="146">
        <f t="shared" si="24"/>
        <v>912430.70917924866</v>
      </c>
    </row>
    <row r="214" spans="1:17">
      <c r="A214" s="101">
        <v>23</v>
      </c>
      <c r="B214" s="132" t="s">
        <v>43</v>
      </c>
      <c r="C214" s="101">
        <v>2023</v>
      </c>
      <c r="D214" s="133">
        <f>Population!H24</f>
        <v>130005.5563047624</v>
      </c>
      <c r="E214" s="133" t="str">
        <f t="shared" si="25"/>
        <v>Medium</v>
      </c>
      <c r="F214" s="133"/>
      <c r="G214" s="134">
        <f>Variables!$C$3*POWER(SUM(1,Variables!$C$2/100),C214-2017)</f>
        <v>17849.675121058746</v>
      </c>
      <c r="H214" s="134">
        <f t="shared" si="20"/>
        <v>378.48404550880286</v>
      </c>
      <c r="I214" s="135">
        <f>VLOOKUP(B214,'Waste per capita'!$B$2:$F$48,4,FALSE)*(H214/Variables!$C$6)</f>
        <v>109.3463896499926</v>
      </c>
      <c r="J214" s="134">
        <f t="shared" si="21"/>
        <v>14215.638216364601</v>
      </c>
      <c r="K214" s="136">
        <f>Variables!$C$15</f>
        <v>1</v>
      </c>
      <c r="L214" s="137">
        <f t="shared" si="22"/>
        <v>14215.638216364601</v>
      </c>
      <c r="N214" s="138">
        <f>Variables!$E$30*Variables!$C$19</f>
        <v>2.2291759999999998</v>
      </c>
      <c r="O214" s="87">
        <f t="shared" si="23"/>
        <v>31689.159536602772</v>
      </c>
      <c r="P214" s="145">
        <f>Variables!$E$29</f>
        <v>48.483938529092256</v>
      </c>
      <c r="Q214" s="146">
        <f t="shared" si="24"/>
        <v>689230.12943403597</v>
      </c>
    </row>
    <row r="215" spans="1:17">
      <c r="A215" s="101">
        <v>24</v>
      </c>
      <c r="B215" s="132" t="s">
        <v>44</v>
      </c>
      <c r="C215" s="101">
        <v>2023</v>
      </c>
      <c r="D215" s="133">
        <f>Population!H25</f>
        <v>81588.104034183081</v>
      </c>
      <c r="E215" s="133" t="str">
        <f t="shared" si="25"/>
        <v>Small</v>
      </c>
      <c r="F215" s="133"/>
      <c r="G215" s="134">
        <f>Variables!$C$3*POWER(SUM(1,Variables!$C$2/100),C215-2017)</f>
        <v>17849.675121058746</v>
      </c>
      <c r="H215" s="134">
        <f t="shared" si="20"/>
        <v>378.48404550880286</v>
      </c>
      <c r="I215" s="135">
        <f>VLOOKUP(B215,'Waste per capita'!$B$2:$F$48,4,FALSE)*(H215/Variables!$C$6)</f>
        <v>110.78829619421661</v>
      </c>
      <c r="J215" s="134">
        <f t="shared" si="21"/>
        <v>9039.0070356636352</v>
      </c>
      <c r="K215" s="136">
        <f>Variables!$C$15</f>
        <v>1</v>
      </c>
      <c r="L215" s="137">
        <f t="shared" si="22"/>
        <v>9039.0070356636352</v>
      </c>
      <c r="N215" s="138">
        <f>Variables!$E$30*Variables!$C$19</f>
        <v>2.2291759999999998</v>
      </c>
      <c r="O215" s="87">
        <f t="shared" si="23"/>
        <v>20149.537547732518</v>
      </c>
      <c r="P215" s="145">
        <f>Variables!$E$29</f>
        <v>48.483938529092256</v>
      </c>
      <c r="Q215" s="146">
        <f t="shared" si="24"/>
        <v>438246.6614811481</v>
      </c>
    </row>
    <row r="216" spans="1:17">
      <c r="A216" s="101">
        <v>25</v>
      </c>
      <c r="B216" s="132" t="s">
        <v>45</v>
      </c>
      <c r="C216" s="101">
        <v>2023</v>
      </c>
      <c r="D216" s="133">
        <f>Population!H26</f>
        <v>169071.10613762148</v>
      </c>
      <c r="E216" s="133" t="str">
        <f t="shared" si="25"/>
        <v>Medium</v>
      </c>
      <c r="F216" s="133"/>
      <c r="G216" s="134">
        <f>Variables!$C$3*POWER(SUM(1,Variables!$C$2/100),C216-2017)</f>
        <v>17849.675121058746</v>
      </c>
      <c r="H216" s="134">
        <f t="shared" si="20"/>
        <v>378.48404550880286</v>
      </c>
      <c r="I216" s="135">
        <f>VLOOKUP(B216,'Waste per capita'!$B$2:$F$48,4,FALSE)*(H216/Variables!$C$6)</f>
        <v>110.44670843616662</v>
      </c>
      <c r="J216" s="134">
        <f t="shared" si="21"/>
        <v>18673.347164562063</v>
      </c>
      <c r="K216" s="136">
        <f>Variables!$C$15</f>
        <v>1</v>
      </c>
      <c r="L216" s="137">
        <f t="shared" si="22"/>
        <v>18673.347164562063</v>
      </c>
      <c r="N216" s="138">
        <f>Variables!$E$30*Variables!$C$19</f>
        <v>2.2291759999999998</v>
      </c>
      <c r="O216" s="87">
        <f t="shared" si="23"/>
        <v>41626.177338909802</v>
      </c>
      <c r="P216" s="145">
        <f>Variables!$E$29</f>
        <v>48.483938529092256</v>
      </c>
      <c r="Q216" s="146">
        <f t="shared" si="24"/>
        <v>905357.41605902626</v>
      </c>
    </row>
    <row r="217" spans="1:17">
      <c r="A217" s="101">
        <v>26</v>
      </c>
      <c r="B217" s="132" t="s">
        <v>46</v>
      </c>
      <c r="C217" s="101">
        <v>2023</v>
      </c>
      <c r="D217" s="133">
        <f>Population!H27</f>
        <v>46155.155862422129</v>
      </c>
      <c r="E217" s="133" t="str">
        <f t="shared" si="25"/>
        <v>Small</v>
      </c>
      <c r="F217" s="133"/>
      <c r="G217" s="134">
        <f>Variables!$C$3*POWER(SUM(1,Variables!$C$2/100),C217-2017)</f>
        <v>17849.675121058746</v>
      </c>
      <c r="H217" s="134">
        <f t="shared" si="20"/>
        <v>378.48404550880286</v>
      </c>
      <c r="I217" s="135">
        <f>VLOOKUP(B217,'Waste per capita'!$B$2:$F$48,4,FALSE)*(H217/Variables!$C$6)</f>
        <v>111.58533429633327</v>
      </c>
      <c r="J217" s="134">
        <f t="shared" si="21"/>
        <v>5150.2384964077401</v>
      </c>
      <c r="K217" s="136">
        <f>Variables!$C$15</f>
        <v>1</v>
      </c>
      <c r="L217" s="137">
        <f t="shared" si="22"/>
        <v>5150.2384964077401</v>
      </c>
      <c r="N217" s="138">
        <f>Variables!$E$30*Variables!$C$19</f>
        <v>2.2291759999999998</v>
      </c>
      <c r="O217" s="87">
        <f t="shared" si="23"/>
        <v>11480.78805046822</v>
      </c>
      <c r="P217" s="145">
        <f>Variables!$E$29</f>
        <v>48.483938529092256</v>
      </c>
      <c r="Q217" s="146">
        <f t="shared" si="24"/>
        <v>249703.84666999741</v>
      </c>
    </row>
    <row r="218" spans="1:17">
      <c r="A218" s="101">
        <v>27</v>
      </c>
      <c r="B218" s="132" t="s">
        <v>47</v>
      </c>
      <c r="C218" s="101">
        <v>2023</v>
      </c>
      <c r="D218" s="133">
        <f>Population!H28</f>
        <v>8655.9769712109482</v>
      </c>
      <c r="E218" s="133" t="str">
        <f t="shared" si="25"/>
        <v>Small</v>
      </c>
      <c r="F218" s="133"/>
      <c r="G218" s="134">
        <f>Variables!$C$3*POWER(SUM(1,Variables!$C$2/100),C218-2017)</f>
        <v>17849.675121058746</v>
      </c>
      <c r="H218" s="134">
        <f t="shared" si="20"/>
        <v>378.48404550880286</v>
      </c>
      <c r="I218" s="135">
        <f>VLOOKUP(B218,'Waste per capita'!$B$2:$F$48,4,FALSE)*(H218/Variables!$C$6)</f>
        <v>110.49740427788727</v>
      </c>
      <c r="J218" s="134">
        <f t="shared" si="21"/>
        <v>956.46298680797838</v>
      </c>
      <c r="K218" s="136">
        <f>Variables!$C$15</f>
        <v>1</v>
      </c>
      <c r="L218" s="137">
        <f t="shared" si="22"/>
        <v>956.46298680797838</v>
      </c>
      <c r="N218" s="138">
        <f>Variables!$E$30*Variables!$C$19</f>
        <v>2.2291759999999998</v>
      </c>
      <c r="O218" s="87">
        <f t="shared" si="23"/>
        <v>2132.1243350806617</v>
      </c>
      <c r="P218" s="145">
        <f>Variables!$E$29</f>
        <v>48.483938529092256</v>
      </c>
      <c r="Q218" s="146">
        <f t="shared" si="24"/>
        <v>46373.092657749999</v>
      </c>
    </row>
    <row r="219" spans="1:17">
      <c r="A219" s="101">
        <v>28</v>
      </c>
      <c r="B219" s="132" t="s">
        <v>48</v>
      </c>
      <c r="C219" s="101">
        <v>2023</v>
      </c>
      <c r="D219" s="133">
        <f>Population!H29</f>
        <v>51802.278610784022</v>
      </c>
      <c r="E219" s="133" t="str">
        <f t="shared" si="25"/>
        <v>Small</v>
      </c>
      <c r="F219" s="133"/>
      <c r="G219" s="134">
        <f>Variables!$C$3*POWER(SUM(1,Variables!$C$2/100),C219-2017)</f>
        <v>17849.675121058746</v>
      </c>
      <c r="H219" s="134">
        <f t="shared" si="20"/>
        <v>378.48404550880286</v>
      </c>
      <c r="I219" s="135">
        <f>VLOOKUP(B219,'Waste per capita'!$B$2:$F$48,4,FALSE)*(H219/Variables!$C$6)</f>
        <v>162.00865395194154</v>
      </c>
      <c r="J219" s="134">
        <f t="shared" si="21"/>
        <v>8392.4174293765718</v>
      </c>
      <c r="K219" s="136">
        <f>Variables!$C$15</f>
        <v>1</v>
      </c>
      <c r="L219" s="137">
        <f t="shared" si="22"/>
        <v>8392.4174293765718</v>
      </c>
      <c r="N219" s="138">
        <f>Variables!$E$30*Variables!$C$19</f>
        <v>2.2291759999999998</v>
      </c>
      <c r="O219" s="87">
        <f t="shared" si="23"/>
        <v>18708.175515547948</v>
      </c>
      <c r="P219" s="145">
        <f>Variables!$E$29</f>
        <v>48.483938529092256</v>
      </c>
      <c r="Q219" s="146">
        <f t="shared" si="24"/>
        <v>406897.45075637614</v>
      </c>
    </row>
    <row r="220" spans="1:17">
      <c r="A220" s="101">
        <v>29</v>
      </c>
      <c r="B220" s="132" t="s">
        <v>49</v>
      </c>
      <c r="C220" s="101">
        <v>2023</v>
      </c>
      <c r="D220" s="133">
        <f>Population!H30</f>
        <v>52164.246036089171</v>
      </c>
      <c r="E220" s="133" t="str">
        <f t="shared" si="25"/>
        <v>Small</v>
      </c>
      <c r="F220" s="133"/>
      <c r="G220" s="134">
        <f>Variables!$C$3*POWER(SUM(1,Variables!$C$2/100),C220-2017)</f>
        <v>17849.675121058746</v>
      </c>
      <c r="H220" s="134">
        <f t="shared" si="20"/>
        <v>378.48404550880286</v>
      </c>
      <c r="I220" s="135">
        <f>VLOOKUP(B220,'Waste per capita'!$B$2:$F$48,4,FALSE)*(H220/Variables!$C$6)</f>
        <v>162.00865395194154</v>
      </c>
      <c r="J220" s="134">
        <f t="shared" si="21"/>
        <v>8451.059284724708</v>
      </c>
      <c r="K220" s="136">
        <f>Variables!$C$15</f>
        <v>1</v>
      </c>
      <c r="L220" s="137">
        <f t="shared" si="22"/>
        <v>8451.059284724708</v>
      </c>
      <c r="N220" s="138">
        <f>Variables!$E$30*Variables!$C$19</f>
        <v>2.2291759999999998</v>
      </c>
      <c r="O220" s="87">
        <f t="shared" si="23"/>
        <v>18838.898532085484</v>
      </c>
      <c r="P220" s="145">
        <f>Variables!$E$29</f>
        <v>48.483938529092256</v>
      </c>
      <c r="Q220" s="146">
        <f t="shared" si="24"/>
        <v>409740.6388663071</v>
      </c>
    </row>
    <row r="221" spans="1:17">
      <c r="A221" s="101">
        <v>30</v>
      </c>
      <c r="B221" s="132" t="s">
        <v>50</v>
      </c>
      <c r="C221" s="101">
        <v>2023</v>
      </c>
      <c r="D221" s="133">
        <f>Population!H31</f>
        <v>21317.295868863999</v>
      </c>
      <c r="E221" s="133" t="str">
        <f t="shared" si="25"/>
        <v>Small</v>
      </c>
      <c r="F221" s="133"/>
      <c r="G221" s="134">
        <f>Variables!$C$3*POWER(SUM(1,Variables!$C$2/100),C221-2017)</f>
        <v>17849.675121058746</v>
      </c>
      <c r="H221" s="134">
        <f t="shared" si="20"/>
        <v>378.48404550880286</v>
      </c>
      <c r="I221" s="135">
        <f>VLOOKUP(B221,'Waste per capita'!$B$2:$F$48,4,FALSE)*(H221/Variables!$C$6)</f>
        <v>162.00865395194154</v>
      </c>
      <c r="J221" s="134">
        <f t="shared" si="21"/>
        <v>3453.5864096099403</v>
      </c>
      <c r="K221" s="136">
        <f>Variables!$C$15</f>
        <v>1</v>
      </c>
      <c r="L221" s="137">
        <f t="shared" si="22"/>
        <v>3453.5864096099403</v>
      </c>
      <c r="N221" s="138">
        <f>Variables!$E$30*Variables!$C$19</f>
        <v>2.2291759999999998</v>
      </c>
      <c r="O221" s="87">
        <f t="shared" si="23"/>
        <v>7698.6519382286479</v>
      </c>
      <c r="P221" s="145">
        <f>Variables!$E$29</f>
        <v>48.483938529092256</v>
      </c>
      <c r="Q221" s="146">
        <f t="shared" si="24"/>
        <v>167443.47118843679</v>
      </c>
    </row>
    <row r="222" spans="1:17">
      <c r="A222" s="101">
        <v>31</v>
      </c>
      <c r="B222" s="132" t="s">
        <v>51</v>
      </c>
      <c r="C222" s="101">
        <v>2023</v>
      </c>
      <c r="D222" s="133">
        <f>Population!H32</f>
        <v>32430.557652935204</v>
      </c>
      <c r="E222" s="133" t="str">
        <f t="shared" si="25"/>
        <v>Small</v>
      </c>
      <c r="F222" s="133"/>
      <c r="G222" s="134">
        <f>Variables!$C$3*POWER(SUM(1,Variables!$C$2/100),C222-2017)</f>
        <v>17849.675121058746</v>
      </c>
      <c r="H222" s="134">
        <f t="shared" si="20"/>
        <v>378.48404550880286</v>
      </c>
      <c r="I222" s="135">
        <f>VLOOKUP(B222,'Waste per capita'!$B$2:$F$48,4,FALSE)*(H222/Variables!$C$6)</f>
        <v>162.00865395194154</v>
      </c>
      <c r="J222" s="134">
        <f t="shared" si="21"/>
        <v>5254.0309922628694</v>
      </c>
      <c r="K222" s="136">
        <f>Variables!$C$15</f>
        <v>1</v>
      </c>
      <c r="L222" s="137">
        <f t="shared" si="22"/>
        <v>5254.0309922628694</v>
      </c>
      <c r="N222" s="138">
        <f>Variables!$E$30*Variables!$C$19</f>
        <v>2.2291759999999998</v>
      </c>
      <c r="O222" s="87">
        <f t="shared" si="23"/>
        <v>11712.159791208573</v>
      </c>
      <c r="P222" s="145">
        <f>Variables!$E$29</f>
        <v>48.483938529092256</v>
      </c>
      <c r="Q222" s="146">
        <f t="shared" si="24"/>
        <v>254736.11565881854</v>
      </c>
    </row>
    <row r="223" spans="1:17">
      <c r="A223" s="101">
        <v>32</v>
      </c>
      <c r="B223" s="132" t="s">
        <v>52</v>
      </c>
      <c r="C223" s="101">
        <v>2023</v>
      </c>
      <c r="D223" s="133">
        <f>Population!H33</f>
        <v>29850.462463632128</v>
      </c>
      <c r="E223" s="133" t="str">
        <f t="shared" si="25"/>
        <v>Small</v>
      </c>
      <c r="F223" s="133"/>
      <c r="G223" s="134">
        <f>Variables!$C$3*POWER(SUM(1,Variables!$C$2/100),C223-2017)</f>
        <v>17849.675121058746</v>
      </c>
      <c r="H223" s="134">
        <f t="shared" si="20"/>
        <v>378.48404550880286</v>
      </c>
      <c r="I223" s="135">
        <f>VLOOKUP(B223,'Waste per capita'!$B$2:$F$48,4,FALSE)*(H223/Variables!$C$6)</f>
        <v>162.00865395194154</v>
      </c>
      <c r="J223" s="134">
        <f t="shared" si="21"/>
        <v>4836.0332435759974</v>
      </c>
      <c r="K223" s="136">
        <f>Variables!$C$15</f>
        <v>1</v>
      </c>
      <c r="L223" s="137">
        <f t="shared" si="22"/>
        <v>4836.0332435759974</v>
      </c>
      <c r="N223" s="138">
        <f>Variables!$E$30*Variables!$C$19</f>
        <v>2.2291759999999998</v>
      </c>
      <c r="O223" s="87">
        <f t="shared" si="23"/>
        <v>10780.369241781767</v>
      </c>
      <c r="P223" s="145">
        <f>Variables!$E$29</f>
        <v>48.483938529092256</v>
      </c>
      <c r="Q223" s="146">
        <f t="shared" si="24"/>
        <v>234469.93850618531</v>
      </c>
    </row>
    <row r="224" spans="1:17">
      <c r="A224" s="101">
        <v>33</v>
      </c>
      <c r="B224" s="132" t="s">
        <v>53</v>
      </c>
      <c r="C224" s="101">
        <v>2023</v>
      </c>
      <c r="D224" s="133">
        <f>Population!H34</f>
        <v>127984.57151347531</v>
      </c>
      <c r="E224" s="133" t="str">
        <f t="shared" si="25"/>
        <v>Medium</v>
      </c>
      <c r="F224" s="133"/>
      <c r="G224" s="134">
        <f>Variables!$C$3*POWER(SUM(1,Variables!$C$2/100),C224-2017)</f>
        <v>17849.675121058746</v>
      </c>
      <c r="H224" s="134">
        <f t="shared" si="20"/>
        <v>378.48404550880286</v>
      </c>
      <c r="I224" s="135">
        <f>VLOOKUP(B224,'Waste per capita'!$B$2:$F$48,4,FALSE)*(H224/Variables!$C$6)</f>
        <v>211.95520387002489</v>
      </c>
      <c r="J224" s="134">
        <f t="shared" si="21"/>
        <v>27126.995947356441</v>
      </c>
      <c r="K224" s="136">
        <f>Variables!$C$15</f>
        <v>1</v>
      </c>
      <c r="L224" s="137">
        <f t="shared" si="22"/>
        <v>27126.995947356441</v>
      </c>
      <c r="N224" s="138">
        <f>Variables!$E$30*Variables!$C$19</f>
        <v>2.2291759999999998</v>
      </c>
      <c r="O224" s="87">
        <f t="shared" si="23"/>
        <v>60470.848317944241</v>
      </c>
      <c r="P224" s="145">
        <f>Variables!$E$29</f>
        <v>48.483938529092256</v>
      </c>
      <c r="Q224" s="146">
        <f t="shared" si="24"/>
        <v>1315223.6039905644</v>
      </c>
    </row>
    <row r="225" spans="1:17">
      <c r="A225" s="101">
        <v>34</v>
      </c>
      <c r="B225" s="132" t="s">
        <v>54</v>
      </c>
      <c r="C225" s="101">
        <v>2023</v>
      </c>
      <c r="D225" s="133">
        <f>Population!H35</f>
        <v>113671.77623786753</v>
      </c>
      <c r="E225" s="133" t="str">
        <f t="shared" si="25"/>
        <v>Medium</v>
      </c>
      <c r="F225" s="133"/>
      <c r="G225" s="134">
        <f>Variables!$C$3*POWER(SUM(1,Variables!$C$2/100),C225-2017)</f>
        <v>17849.675121058746</v>
      </c>
      <c r="H225" s="134">
        <f t="shared" si="20"/>
        <v>378.48404550880286</v>
      </c>
      <c r="I225" s="135">
        <f>VLOOKUP(B225,'Waste per capita'!$B$2:$F$48,4,FALSE)*(H225/Variables!$C$6)</f>
        <v>147.3782170640672</v>
      </c>
      <c r="J225" s="134">
        <f t="shared" si="21"/>
        <v>16752.743712442516</v>
      </c>
      <c r="K225" s="136">
        <f>Variables!$C$15</f>
        <v>1</v>
      </c>
      <c r="L225" s="137">
        <f t="shared" si="22"/>
        <v>16752.743712442516</v>
      </c>
      <c r="N225" s="138">
        <f>Variables!$E$30*Variables!$C$19</f>
        <v>2.2291759999999998</v>
      </c>
      <c r="O225" s="87">
        <f t="shared" si="23"/>
        <v>37344.814217927757</v>
      </c>
      <c r="P225" s="145">
        <f>Variables!$E$29</f>
        <v>48.483938529092256</v>
      </c>
      <c r="Q225" s="146">
        <f t="shared" si="24"/>
        <v>812238.99634769978</v>
      </c>
    </row>
    <row r="226" spans="1:17">
      <c r="A226" s="101">
        <v>35</v>
      </c>
      <c r="B226" s="132" t="s">
        <v>55</v>
      </c>
      <c r="C226" s="101">
        <v>2023</v>
      </c>
      <c r="D226" s="133">
        <f>Population!H36</f>
        <v>519144.23875588388</v>
      </c>
      <c r="E226" s="133" t="str">
        <f t="shared" si="25"/>
        <v>Medium</v>
      </c>
      <c r="F226" s="133"/>
      <c r="G226" s="134">
        <f>Variables!$C$3*POWER(SUM(1,Variables!$C$2/100),C226-2017)</f>
        <v>17849.675121058746</v>
      </c>
      <c r="H226" s="134">
        <f t="shared" si="20"/>
        <v>378.48404550880286</v>
      </c>
      <c r="I226" s="135">
        <f>VLOOKUP(B226,'Waste per capita'!$B$2:$F$48,4,FALSE)*(H226/Variables!$C$6)</f>
        <v>147.3782170640672</v>
      </c>
      <c r="J226" s="134">
        <f t="shared" si="21"/>
        <v>76510.552306924583</v>
      </c>
      <c r="K226" s="136">
        <f>Variables!$C$15</f>
        <v>1</v>
      </c>
      <c r="L226" s="137">
        <f t="shared" si="22"/>
        <v>76510.552306924583</v>
      </c>
      <c r="N226" s="138">
        <f>Variables!$E$30*Variables!$C$19</f>
        <v>2.2291759999999998</v>
      </c>
      <c r="O226" s="87">
        <f t="shared" si="23"/>
        <v>170555.48694934091</v>
      </c>
      <c r="P226" s="145">
        <f>Variables!$E$29</f>
        <v>48.483938529092256</v>
      </c>
      <c r="Q226" s="146">
        <f t="shared" si="24"/>
        <v>3709532.9148758291</v>
      </c>
    </row>
    <row r="227" spans="1:17">
      <c r="A227" s="101">
        <v>36</v>
      </c>
      <c r="B227" s="132" t="s">
        <v>56</v>
      </c>
      <c r="C227" s="101">
        <v>2023</v>
      </c>
      <c r="D227" s="133">
        <f>Population!H37</f>
        <v>278418.66438389709</v>
      </c>
      <c r="E227" s="133" t="str">
        <f t="shared" si="25"/>
        <v>Medium</v>
      </c>
      <c r="F227" s="133"/>
      <c r="G227" s="134">
        <f>Variables!$C$3*POWER(SUM(1,Variables!$C$2/100),C227-2017)</f>
        <v>17849.675121058746</v>
      </c>
      <c r="H227" s="134">
        <f t="shared" si="20"/>
        <v>378.48404550880286</v>
      </c>
      <c r="I227" s="135">
        <f>VLOOKUP(B227,'Waste per capita'!$B$2:$F$48,4,FALSE)*(H227/Variables!$C$6)</f>
        <v>239.4685933334838</v>
      </c>
      <c r="J227" s="134">
        <f t="shared" si="21"/>
        <v>66672.525917799154</v>
      </c>
      <c r="K227" s="136">
        <f>Variables!$C$15</f>
        <v>1</v>
      </c>
      <c r="L227" s="137">
        <f t="shared" si="22"/>
        <v>66672.525917799154</v>
      </c>
      <c r="N227" s="138">
        <f>Variables!$E$30*Variables!$C$19</f>
        <v>2.2291759999999998</v>
      </c>
      <c r="O227" s="87">
        <f t="shared" si="23"/>
        <v>148624.79463533583</v>
      </c>
      <c r="P227" s="145">
        <f>Variables!$E$29</f>
        <v>48.483938529092256</v>
      </c>
      <c r="Q227" s="146">
        <f t="shared" si="24"/>
        <v>3232546.6481778845</v>
      </c>
    </row>
    <row r="228" spans="1:17">
      <c r="A228" s="101">
        <v>37</v>
      </c>
      <c r="B228" s="132" t="s">
        <v>57</v>
      </c>
      <c r="C228" s="101">
        <v>2023</v>
      </c>
      <c r="D228" s="133">
        <f>Population!H38</f>
        <v>129771.7856759195</v>
      </c>
      <c r="E228" s="133" t="str">
        <f t="shared" si="25"/>
        <v>Medium</v>
      </c>
      <c r="F228" s="133"/>
      <c r="G228" s="134">
        <f>Variables!$C$3*POWER(SUM(1,Variables!$C$2/100),C228-2017)</f>
        <v>17849.675121058746</v>
      </c>
      <c r="H228" s="134">
        <f t="shared" si="20"/>
        <v>378.48404550880286</v>
      </c>
      <c r="I228" s="135">
        <f>VLOOKUP(B228,'Waste per capita'!$B$2:$F$48,4,FALSE)*(H228/Variables!$C$6)</f>
        <v>147.3782170640672</v>
      </c>
      <c r="J228" s="134">
        <f t="shared" si="21"/>
        <v>19125.534398137272</v>
      </c>
      <c r="K228" s="136">
        <f>Variables!$C$15</f>
        <v>1</v>
      </c>
      <c r="L228" s="137">
        <f t="shared" si="22"/>
        <v>19125.534398137272</v>
      </c>
      <c r="N228" s="138">
        <f>Variables!$E$30*Variables!$C$19</f>
        <v>2.2291759999999998</v>
      </c>
      <c r="O228" s="87">
        <f t="shared" si="23"/>
        <v>42634.182267502045</v>
      </c>
      <c r="P228" s="145">
        <f>Variables!$E$29</f>
        <v>48.483938529092256</v>
      </c>
      <c r="Q228" s="146">
        <f t="shared" si="24"/>
        <v>927281.23409532697</v>
      </c>
    </row>
    <row r="229" spans="1:17">
      <c r="A229" s="101">
        <v>38</v>
      </c>
      <c r="B229" s="132" t="s">
        <v>58</v>
      </c>
      <c r="C229" s="101">
        <v>2023</v>
      </c>
      <c r="D229" s="133">
        <f>Population!H39</f>
        <v>38303.91004211281</v>
      </c>
      <c r="E229" s="133" t="str">
        <f t="shared" si="25"/>
        <v>Small</v>
      </c>
      <c r="F229" s="133"/>
      <c r="G229" s="134">
        <f>Variables!$C$3*POWER(SUM(1,Variables!$C$2/100),C229-2017)</f>
        <v>17849.675121058746</v>
      </c>
      <c r="H229" s="134">
        <f t="shared" si="20"/>
        <v>378.48404550880286</v>
      </c>
      <c r="I229" s="135">
        <f>VLOOKUP(B229,'Waste per capita'!$B$2:$F$48,4,FALSE)*(H229/Variables!$C$6)</f>
        <v>323.49266116979391</v>
      </c>
      <c r="J229" s="134">
        <f t="shared" si="21"/>
        <v>12391.033792731465</v>
      </c>
      <c r="K229" s="136">
        <f>Variables!$C$15</f>
        <v>1</v>
      </c>
      <c r="L229" s="137">
        <f t="shared" si="22"/>
        <v>12391.033792731465</v>
      </c>
      <c r="N229" s="138">
        <f>Variables!$E$30*Variables!$C$19</f>
        <v>2.2291759999999998</v>
      </c>
      <c r="O229" s="87">
        <f t="shared" si="23"/>
        <v>27621.795145945955</v>
      </c>
      <c r="P229" s="145">
        <f>Variables!$E$29</f>
        <v>48.483938529092256</v>
      </c>
      <c r="Q229" s="146">
        <f t="shared" si="24"/>
        <v>600766.1207186972</v>
      </c>
    </row>
    <row r="230" spans="1:17">
      <c r="A230" s="101">
        <v>39</v>
      </c>
      <c r="B230" s="132" t="s">
        <v>59</v>
      </c>
      <c r="C230" s="101">
        <v>2023</v>
      </c>
      <c r="D230" s="133">
        <f>Population!H40</f>
        <v>72305.14777271144</v>
      </c>
      <c r="E230" s="133" t="str">
        <f t="shared" si="25"/>
        <v>Small</v>
      </c>
      <c r="F230" s="133"/>
      <c r="G230" s="134">
        <f>Variables!$C$3*POWER(SUM(1,Variables!$C$2/100),C230-2017)</f>
        <v>17849.675121058746</v>
      </c>
      <c r="H230" s="134">
        <f t="shared" si="20"/>
        <v>378.48404550880286</v>
      </c>
      <c r="I230" s="135">
        <f>VLOOKUP(B230,'Waste per capita'!$B$2:$F$48,4,FALSE)*(H230/Variables!$C$6)</f>
        <v>162.00865395194154</v>
      </c>
      <c r="J230" s="134">
        <f t="shared" si="21"/>
        <v>11714.059664453205</v>
      </c>
      <c r="K230" s="136">
        <f>Variables!$C$15</f>
        <v>1</v>
      </c>
      <c r="L230" s="137">
        <f t="shared" si="22"/>
        <v>11714.059664453205</v>
      </c>
      <c r="N230" s="138">
        <f>Variables!$E$30*Variables!$C$19</f>
        <v>2.2291759999999998</v>
      </c>
      <c r="O230" s="87">
        <f t="shared" si="23"/>
        <v>26112.700666567136</v>
      </c>
      <c r="P230" s="145">
        <f>Variables!$E$29</f>
        <v>48.483938529092256</v>
      </c>
      <c r="Q230" s="146">
        <f t="shared" si="24"/>
        <v>567943.74869746831</v>
      </c>
    </row>
    <row r="231" spans="1:17">
      <c r="A231" s="101">
        <v>40</v>
      </c>
      <c r="B231" s="132" t="s">
        <v>60</v>
      </c>
      <c r="C231" s="101">
        <v>2023</v>
      </c>
      <c r="D231" s="133">
        <f>Population!H41</f>
        <v>3270.6342357929602</v>
      </c>
      <c r="E231" s="133" t="str">
        <f t="shared" si="25"/>
        <v>Small</v>
      </c>
      <c r="F231" s="133"/>
      <c r="G231" s="134">
        <f>Variables!$C$3*POWER(SUM(1,Variables!$C$2/100),C231-2017)</f>
        <v>17849.675121058746</v>
      </c>
      <c r="H231" s="134">
        <f t="shared" si="20"/>
        <v>378.48404550880286</v>
      </c>
      <c r="I231" s="135">
        <f>VLOOKUP(B231,'Waste per capita'!$B$2:$F$48,4,FALSE)*(H231/Variables!$C$6)</f>
        <v>168.04813567262022</v>
      </c>
      <c r="J231" s="134">
        <f t="shared" si="21"/>
        <v>549.62398579205194</v>
      </c>
      <c r="K231" s="136">
        <f>Variables!$C$15</f>
        <v>1</v>
      </c>
      <c r="L231" s="137">
        <f t="shared" si="22"/>
        <v>549.62398579205194</v>
      </c>
      <c r="N231" s="138">
        <f>Variables!$E$30*Variables!$C$19</f>
        <v>2.2291759999999998</v>
      </c>
      <c r="O231" s="87">
        <f t="shared" si="23"/>
        <v>1225.2085981519831</v>
      </c>
      <c r="P231" s="145">
        <f>Variables!$E$29</f>
        <v>48.483938529092256</v>
      </c>
      <c r="Q231" s="146">
        <f t="shared" si="24"/>
        <v>26647.935541256524</v>
      </c>
    </row>
    <row r="232" spans="1:17">
      <c r="A232" s="101">
        <v>41</v>
      </c>
      <c r="B232" s="132" t="s">
        <v>61</v>
      </c>
      <c r="C232" s="101">
        <v>2023</v>
      </c>
      <c r="D232" s="133">
        <f>Population!H42</f>
        <v>56364.576367234346</v>
      </c>
      <c r="E232" s="133" t="str">
        <f t="shared" si="25"/>
        <v>Small</v>
      </c>
      <c r="F232" s="133"/>
      <c r="G232" s="134">
        <f>Variables!$C$3*POWER(SUM(1,Variables!$C$2/100),C232-2017)</f>
        <v>17849.675121058746</v>
      </c>
      <c r="H232" s="134">
        <f t="shared" si="20"/>
        <v>378.48404550880286</v>
      </c>
      <c r="I232" s="135">
        <f>VLOOKUP(B232,'Waste per capita'!$B$2:$F$48,4,FALSE)*(H232/Variables!$C$6)</f>
        <v>162.00865395194154</v>
      </c>
      <c r="J232" s="134">
        <f t="shared" si="21"/>
        <v>9131.5491478270524</v>
      </c>
      <c r="K232" s="136">
        <f>Variables!$C$15</f>
        <v>1</v>
      </c>
      <c r="L232" s="137">
        <f t="shared" si="22"/>
        <v>9131.5491478270524</v>
      </c>
      <c r="N232" s="138">
        <f>Variables!$E$30*Variables!$C$19</f>
        <v>2.2291759999999998</v>
      </c>
      <c r="O232" s="87">
        <f t="shared" si="23"/>
        <v>20355.830203156514</v>
      </c>
      <c r="P232" s="145">
        <f>Variables!$E$29</f>
        <v>48.483938529092256</v>
      </c>
      <c r="Q232" s="146">
        <f t="shared" si="24"/>
        <v>442733.46755863156</v>
      </c>
    </row>
    <row r="233" spans="1:17">
      <c r="A233" s="101">
        <v>42</v>
      </c>
      <c r="B233" s="139" t="s">
        <v>62</v>
      </c>
      <c r="C233" s="101">
        <v>2023</v>
      </c>
      <c r="D233" s="133">
        <f>Population!H43</f>
        <v>49039.045140820599</v>
      </c>
      <c r="E233" s="133" t="str">
        <f t="shared" si="25"/>
        <v>Small</v>
      </c>
      <c r="F233" s="133"/>
      <c r="G233" s="134">
        <f>Variables!$C$3*POWER(SUM(1,Variables!$C$2/100),C233-2017)</f>
        <v>17849.675121058746</v>
      </c>
      <c r="H233" s="134">
        <f t="shared" si="20"/>
        <v>378.48404550880286</v>
      </c>
      <c r="I233" s="135">
        <f>VLOOKUP(B233,'Waste per capita'!$B$2:$F$48,4,FALSE)*(H233/Variables!$C$6)</f>
        <v>162.00865395194154</v>
      </c>
      <c r="J233" s="134">
        <f t="shared" si="21"/>
        <v>7944.7496943528449</v>
      </c>
      <c r="K233" s="136">
        <f>Variables!$C$15</f>
        <v>1</v>
      </c>
      <c r="L233" s="137">
        <f t="shared" si="22"/>
        <v>7944.7496943528449</v>
      </c>
      <c r="N233" s="138">
        <f>Variables!$E$30*Variables!$C$19</f>
        <v>2.2291759999999998</v>
      </c>
      <c r="O233" s="87">
        <f t="shared" si="23"/>
        <v>17710.245344658695</v>
      </c>
      <c r="P233" s="145">
        <f>Variables!$E$29</f>
        <v>48.483938529092256</v>
      </c>
      <c r="Q233" s="146">
        <f t="shared" si="24"/>
        <v>385192.75581002783</v>
      </c>
    </row>
    <row r="234" spans="1:17">
      <c r="A234" s="101">
        <v>43</v>
      </c>
      <c r="B234" s="139" t="s">
        <v>63</v>
      </c>
      <c r="C234" s="101">
        <v>2023</v>
      </c>
      <c r="D234" s="133">
        <f>Population!H44</f>
        <v>25894.675601368705</v>
      </c>
      <c r="E234" s="133" t="str">
        <f t="shared" si="25"/>
        <v>Small</v>
      </c>
      <c r="F234" s="133"/>
      <c r="G234" s="134">
        <f>Variables!$C$3*POWER(SUM(1,Variables!$C$2/100),C234-2017)</f>
        <v>17849.675121058746</v>
      </c>
      <c r="H234" s="134">
        <f t="shared" si="20"/>
        <v>378.48404550880286</v>
      </c>
      <c r="I234" s="135">
        <f>VLOOKUP(B234,'Waste per capita'!$B$2:$F$48,4,FALSE)*(H234/Variables!$C$6)</f>
        <v>162.00865395194154</v>
      </c>
      <c r="J234" s="134">
        <f t="shared" si="21"/>
        <v>4195.1615386999256</v>
      </c>
      <c r="K234" s="136">
        <f>Variables!$C$15</f>
        <v>1</v>
      </c>
      <c r="L234" s="137">
        <f t="shared" si="22"/>
        <v>4195.1615386999256</v>
      </c>
      <c r="N234" s="138">
        <f>Variables!$E$30*Variables!$C$19</f>
        <v>2.2291759999999998</v>
      </c>
      <c r="O234" s="87">
        <f t="shared" si="23"/>
        <v>9351.7534181929441</v>
      </c>
      <c r="P234" s="145">
        <f>Variables!$E$29</f>
        <v>48.483938529092256</v>
      </c>
      <c r="Q234" s="146">
        <f t="shared" si="24"/>
        <v>203397.95416193927</v>
      </c>
    </row>
    <row r="235" spans="1:17">
      <c r="A235" s="101">
        <v>44</v>
      </c>
      <c r="B235" s="85" t="s">
        <v>108</v>
      </c>
      <c r="C235" s="101">
        <v>2023</v>
      </c>
      <c r="D235" s="133">
        <f>Population!H45</f>
        <v>71435.779581576746</v>
      </c>
      <c r="E235" s="133" t="str">
        <f t="shared" si="25"/>
        <v>Small</v>
      </c>
      <c r="F235" s="133"/>
      <c r="G235" s="134">
        <f>Variables!$C$3*POWER(SUM(1,Variables!$C$2/100),C235-2017)</f>
        <v>17849.675121058746</v>
      </c>
      <c r="H235" s="134">
        <f t="shared" si="20"/>
        <v>378.48404550880286</v>
      </c>
      <c r="I235" s="135">
        <f>VLOOKUP(B235,'Waste per capita'!$B$2:$F$48,4,FALSE)*(H235/Variables!$C$6)</f>
        <v>162.00865395194154</v>
      </c>
      <c r="J235" s="134">
        <f t="shared" si="21"/>
        <v>11573.214494018837</v>
      </c>
      <c r="K235" s="136">
        <f>Variables!$C$15</f>
        <v>1</v>
      </c>
      <c r="L235" s="137">
        <f t="shared" si="22"/>
        <v>11573.214494018837</v>
      </c>
      <c r="N235" s="138">
        <f>Variables!$E$30*Variables!$C$19</f>
        <v>2.2291759999999998</v>
      </c>
      <c r="O235" s="87">
        <f t="shared" si="23"/>
        <v>25798.731992918933</v>
      </c>
      <c r="P235" s="145">
        <f>Variables!$E$29</f>
        <v>48.483938529092256</v>
      </c>
      <c r="Q235" s="146">
        <f t="shared" si="24"/>
        <v>561115.0201120089</v>
      </c>
    </row>
    <row r="236" spans="1:17">
      <c r="A236" s="101">
        <v>45</v>
      </c>
      <c r="B236" s="139" t="s">
        <v>64</v>
      </c>
      <c r="C236" s="101">
        <v>2023</v>
      </c>
      <c r="D236" s="133">
        <f>Population!H46</f>
        <v>25441.139035733384</v>
      </c>
      <c r="E236" s="133" t="str">
        <f t="shared" si="25"/>
        <v>Small</v>
      </c>
      <c r="F236" s="133"/>
      <c r="G236" s="134">
        <f>Variables!$C$3*POWER(SUM(1,Variables!$C$2/100),C236-2017)</f>
        <v>17849.675121058746</v>
      </c>
      <c r="H236" s="134">
        <f t="shared" si="20"/>
        <v>378.48404550880286</v>
      </c>
      <c r="I236" s="135">
        <f>VLOOKUP(B236,'Waste per capita'!$B$2:$F$48,4,FALSE)*(H236/Variables!$C$6)</f>
        <v>162.00865395194154</v>
      </c>
      <c r="J236" s="134">
        <f t="shared" si="21"/>
        <v>4121.6846901833615</v>
      </c>
      <c r="K236" s="136">
        <f>Variables!$C$15</f>
        <v>1</v>
      </c>
      <c r="L236" s="137">
        <f t="shared" si="22"/>
        <v>4121.6846901833615</v>
      </c>
      <c r="N236" s="138">
        <f>Variables!$E$30*Variables!$C$19</f>
        <v>2.2291759999999998</v>
      </c>
      <c r="O236" s="87">
        <f t="shared" si="23"/>
        <v>9187.9605909241836</v>
      </c>
      <c r="P236" s="145">
        <f>Variables!$E$29</f>
        <v>48.483938529092256</v>
      </c>
      <c r="Q236" s="146">
        <f t="shared" si="24"/>
        <v>199835.50715515076</v>
      </c>
    </row>
    <row r="237" spans="1:17">
      <c r="A237" s="101">
        <v>46</v>
      </c>
      <c r="B237" s="139" t="s">
        <v>65</v>
      </c>
      <c r="C237" s="101">
        <v>2023</v>
      </c>
      <c r="D237" s="133">
        <f>Population!H47</f>
        <v>32515.663089242069</v>
      </c>
      <c r="E237" s="133" t="str">
        <f t="shared" si="25"/>
        <v>Small</v>
      </c>
      <c r="F237" s="133"/>
      <c r="G237" s="134">
        <f>Variables!$C$3*POWER(SUM(1,Variables!$C$2/100),C237-2017)</f>
        <v>17849.675121058746</v>
      </c>
      <c r="H237" s="134">
        <f t="shared" si="20"/>
        <v>378.48404550880286</v>
      </c>
      <c r="I237" s="135">
        <f>VLOOKUP(B237,'Waste per capita'!$B$2:$F$48,4,FALSE)*(H237/Variables!$C$6)</f>
        <v>179.21185825585113</v>
      </c>
      <c r="J237" s="134">
        <f t="shared" si="21"/>
        <v>5827.19240464426</v>
      </c>
      <c r="K237" s="136">
        <f>Variables!$C$15</f>
        <v>1</v>
      </c>
      <c r="L237" s="137">
        <f t="shared" si="22"/>
        <v>5827.19240464426</v>
      </c>
      <c r="N237" s="138">
        <f>Variables!$E$30*Variables!$C$19</f>
        <v>2.2291759999999998</v>
      </c>
      <c r="O237" s="87">
        <f t="shared" si="23"/>
        <v>12989.837455815272</v>
      </c>
      <c r="P237" s="145">
        <f>Variables!$E$29</f>
        <v>48.483938529092256</v>
      </c>
      <c r="Q237" s="146">
        <f t="shared" si="24"/>
        <v>282525.23834396561</v>
      </c>
    </row>
    <row r="238" spans="1:17">
      <c r="A238" s="101">
        <v>47</v>
      </c>
      <c r="B238" s="85" t="s">
        <v>107</v>
      </c>
      <c r="C238" s="101">
        <v>2023</v>
      </c>
      <c r="D238" s="133">
        <f>Population!H48</f>
        <v>72674.65618604378</v>
      </c>
      <c r="E238" s="133" t="str">
        <f t="shared" si="25"/>
        <v>Small</v>
      </c>
      <c r="F238" s="133"/>
      <c r="G238" s="134">
        <f>Variables!$C$3*POWER(SUM(1,Variables!$C$2/100),C238-2017)</f>
        <v>17849.675121058746</v>
      </c>
      <c r="H238" s="134">
        <f t="shared" si="20"/>
        <v>378.48404550880286</v>
      </c>
      <c r="I238" s="135">
        <f>VLOOKUP(B238,'Waste per capita'!$B$2:$F$48,4,FALSE)*(H238/Variables!$C$6)</f>
        <v>162.00865395194154</v>
      </c>
      <c r="J238" s="134">
        <f t="shared" si="21"/>
        <v>11773.923225121094</v>
      </c>
      <c r="K238" s="136">
        <f>Variables!$C$15</f>
        <v>1</v>
      </c>
      <c r="L238" s="137">
        <f t="shared" si="22"/>
        <v>11773.923225121094</v>
      </c>
      <c r="N238" s="138">
        <f>Variables!$E$30*Variables!$C$19</f>
        <v>2.2291759999999998</v>
      </c>
      <c r="O238" s="87">
        <f t="shared" si="23"/>
        <v>26246.147079282538</v>
      </c>
      <c r="P238" s="145">
        <f>Variables!$E$29</f>
        <v>48.483938529092256</v>
      </c>
      <c r="Q238" s="146">
        <f t="shared" si="24"/>
        <v>570846.16989302274</v>
      </c>
    </row>
    <row r="239" spans="1:17">
      <c r="A239" s="101">
        <v>1</v>
      </c>
      <c r="B239" s="132" t="s">
        <v>21</v>
      </c>
      <c r="C239" s="101">
        <v>2024</v>
      </c>
      <c r="D239" s="133">
        <f>Population!I2</f>
        <v>7852528.9032628844</v>
      </c>
      <c r="E239" s="133" t="str">
        <f t="shared" si="25"/>
        <v>Large</v>
      </c>
      <c r="F239" s="133"/>
      <c r="G239" s="134">
        <f>Variables!$C$3*POWER(SUM(1,Variables!$C$2/100),C239-2017)</f>
        <v>18477.269698315173</v>
      </c>
      <c r="H239" s="134">
        <f t="shared" si="20"/>
        <v>383.99611222916292</v>
      </c>
      <c r="I239" s="135">
        <f>VLOOKUP(B239,'Waste per capita'!$B$2:$F$48,4,FALSE)*(H239/Variables!$C$6)</f>
        <v>341.69913898051777</v>
      </c>
      <c r="J239" s="134">
        <f t="shared" si="21"/>
        <v>2683202.3650645572</v>
      </c>
      <c r="K239" s="136">
        <f>Variables!$C$15</f>
        <v>1</v>
      </c>
      <c r="L239" s="137">
        <f t="shared" si="22"/>
        <v>2683202.3650645572</v>
      </c>
      <c r="N239" s="138">
        <f>Variables!$E$30*Variables!$C$19</f>
        <v>2.2291759999999998</v>
      </c>
      <c r="O239" s="87">
        <f t="shared" si="23"/>
        <v>5981330.3153451486</v>
      </c>
      <c r="P239" s="145">
        <f>Variables!$E$29</f>
        <v>48.483938529092256</v>
      </c>
      <c r="Q239" s="146">
        <f t="shared" si="24"/>
        <v>130092218.52890494</v>
      </c>
    </row>
    <row r="240" spans="1:17">
      <c r="A240" s="101">
        <v>2</v>
      </c>
      <c r="B240" s="132" t="s">
        <v>22</v>
      </c>
      <c r="C240" s="101">
        <v>2024</v>
      </c>
      <c r="D240" s="133">
        <f>Population!I3</f>
        <v>2594008.2583490424</v>
      </c>
      <c r="E240" s="133" t="str">
        <f t="shared" si="25"/>
        <v>Large</v>
      </c>
      <c r="F240" s="133"/>
      <c r="G240" s="134">
        <f>Variables!$C$3*POWER(SUM(1,Variables!$C$2/100),C240-2017)</f>
        <v>18477.269698315173</v>
      </c>
      <c r="H240" s="134">
        <f t="shared" ref="H240:H243" si="26">1647.41-417.73*LN(G240)+29.43*(LN(G240))^2</f>
        <v>383.99611222916292</v>
      </c>
      <c r="I240" s="135">
        <f>VLOOKUP(B240,'Waste per capita'!$B$2:$F$48,4,FALSE)*(H240/Variables!$C$6)</f>
        <v>153.10873942991105</v>
      </c>
      <c r="J240" s="134">
        <f t="shared" si="21"/>
        <v>397165.33450660092</v>
      </c>
      <c r="K240" s="136">
        <f>Variables!$C$15</f>
        <v>1</v>
      </c>
      <c r="L240" s="137">
        <f t="shared" si="22"/>
        <v>397165.33450660092</v>
      </c>
      <c r="N240" s="138">
        <f>Variables!$E$30*Variables!$C$19</f>
        <v>2.2291759999999998</v>
      </c>
      <c r="O240" s="87">
        <f t="shared" si="23"/>
        <v>885351.43171408656</v>
      </c>
      <c r="P240" s="145">
        <f>Variables!$E$29</f>
        <v>48.483938529092256</v>
      </c>
      <c r="Q240" s="146">
        <f t="shared" si="24"/>
        <v>19256139.664104402</v>
      </c>
    </row>
    <row r="241" spans="1:17">
      <c r="A241" s="101">
        <v>3</v>
      </c>
      <c r="B241" s="132" t="s">
        <v>23</v>
      </c>
      <c r="C241" s="101">
        <v>2024</v>
      </c>
      <c r="D241" s="133">
        <f>Population!I4</f>
        <v>1993203.8290998556</v>
      </c>
      <c r="E241" s="133" t="str">
        <f t="shared" si="25"/>
        <v>Large</v>
      </c>
      <c r="F241" s="133"/>
      <c r="G241" s="134">
        <f>Variables!$C$3*POWER(SUM(1,Variables!$C$2/100),C241-2017)</f>
        <v>18477.269698315173</v>
      </c>
      <c r="H241" s="134">
        <f t="shared" si="26"/>
        <v>383.99611222916292</v>
      </c>
      <c r="I241" s="135">
        <f>VLOOKUP(B241,'Waste per capita'!$B$2:$F$48,4,FALSE)*(H241/Variables!$C$6)</f>
        <v>113.84577608979941</v>
      </c>
      <c r="J241" s="134">
        <f t="shared" si="21"/>
        <v>226917.83682903298</v>
      </c>
      <c r="K241" s="136">
        <f>Variables!$C$15</f>
        <v>1</v>
      </c>
      <c r="L241" s="137">
        <f t="shared" si="22"/>
        <v>226917.83682903298</v>
      </c>
      <c r="N241" s="138">
        <f>Variables!$E$30*Variables!$C$19</f>
        <v>2.2291759999999998</v>
      </c>
      <c r="O241" s="87">
        <f t="shared" si="23"/>
        <v>505839.79583119636</v>
      </c>
      <c r="P241" s="145">
        <f>Variables!$E$29</f>
        <v>48.483938529092256</v>
      </c>
      <c r="Q241" s="146">
        <f t="shared" si="24"/>
        <v>11001870.451973421</v>
      </c>
    </row>
    <row r="242" spans="1:17">
      <c r="A242" s="101">
        <v>4</v>
      </c>
      <c r="B242" s="132" t="s">
        <v>24</v>
      </c>
      <c r="C242" s="101">
        <v>2024</v>
      </c>
      <c r="D242" s="133">
        <f>Population!I5</f>
        <v>1224769.0802719425</v>
      </c>
      <c r="E242" s="133" t="str">
        <f t="shared" si="25"/>
        <v>Large</v>
      </c>
      <c r="F242" s="133"/>
      <c r="G242" s="134">
        <f>Variables!$C$3*POWER(SUM(1,Variables!$C$2/100),C242-2017)</f>
        <v>18477.269698315173</v>
      </c>
      <c r="H242" s="134">
        <f t="shared" si="26"/>
        <v>383.99611222916292</v>
      </c>
      <c r="I242" s="135">
        <f>VLOOKUP(B242,'Waste per capita'!$B$2:$F$48,4,FALSE)*(H242/Variables!$C$6)</f>
        <v>392.1354509759758</v>
      </c>
      <c r="J242" s="134">
        <f t="shared" si="21"/>
        <v>480275.37563386926</v>
      </c>
      <c r="K242" s="136">
        <f>Variables!$C$15</f>
        <v>1</v>
      </c>
      <c r="L242" s="137">
        <f t="shared" si="22"/>
        <v>480275.37563386926</v>
      </c>
      <c r="N242" s="138">
        <f>Variables!$E$30*Variables!$C$19</f>
        <v>2.2291759999999998</v>
      </c>
      <c r="O242" s="87">
        <f t="shared" si="23"/>
        <v>1070618.3407540061</v>
      </c>
      <c r="P242" s="145">
        <f>Variables!$E$29</f>
        <v>48.483938529092256</v>
      </c>
      <c r="Q242" s="146">
        <f t="shared" si="24"/>
        <v>23285641.789269209</v>
      </c>
    </row>
    <row r="243" spans="1:17">
      <c r="A243" s="101">
        <v>5</v>
      </c>
      <c r="B243" s="132" t="s">
        <v>25</v>
      </c>
      <c r="C243" s="101">
        <v>2024</v>
      </c>
      <c r="D243" s="133">
        <f>Population!I6</f>
        <v>578272.93735238467</v>
      </c>
      <c r="E243" s="133" t="str">
        <f t="shared" si="25"/>
        <v>Medium</v>
      </c>
      <c r="F243" s="133"/>
      <c r="G243" s="134">
        <f>Variables!$C$3*POWER(SUM(1,Variables!$C$2/100),C243-2017)</f>
        <v>18477.269698315173</v>
      </c>
      <c r="H243" s="134">
        <f t="shared" si="26"/>
        <v>383.99611222916292</v>
      </c>
      <c r="I243" s="135">
        <f>VLOOKUP(B243,'Waste per capita'!$B$2:$F$48,4,FALSE)*(H243/Variables!$C$6)</f>
        <v>149.52456530575535</v>
      </c>
      <c r="J243" s="134">
        <f t="shared" si="21"/>
        <v>86466.009585697611</v>
      </c>
      <c r="K243" s="136">
        <f>Variables!$C$15</f>
        <v>1</v>
      </c>
      <c r="L243" s="137">
        <f t="shared" si="22"/>
        <v>86466.009585697611</v>
      </c>
      <c r="N243" s="138">
        <f>Variables!$E$30*Variables!$C$19</f>
        <v>2.2291759999999998</v>
      </c>
      <c r="O243" s="87">
        <f t="shared" si="23"/>
        <v>192747.95338420704</v>
      </c>
      <c r="P243" s="145">
        <f>Variables!$E$29</f>
        <v>48.483938529092256</v>
      </c>
      <c r="Q243" s="146">
        <f t="shared" si="24"/>
        <v>4192212.6936088647</v>
      </c>
    </row>
    <row r="244" spans="1:17">
      <c r="A244" s="101">
        <v>6</v>
      </c>
      <c r="B244" s="132" t="s">
        <v>26</v>
      </c>
      <c r="C244" s="101">
        <v>2024</v>
      </c>
      <c r="D244" s="133">
        <f>Population!I7</f>
        <v>970918.57244481111</v>
      </c>
      <c r="E244" s="133" t="str">
        <f t="shared" si="25"/>
        <v>Medium</v>
      </c>
      <c r="F244" s="133"/>
      <c r="G244" s="134">
        <f>Variables!$C$3*POWER(SUM(1,Variables!$C$2/100),C244-2017)</f>
        <v>18477.269698315173</v>
      </c>
      <c r="H244" s="134">
        <f t="shared" ref="H244:H307" si="27">1647.41-417.73*LN(G244)+29.43*(LN(G244))^2</f>
        <v>383.99611222916292</v>
      </c>
      <c r="I244" s="135">
        <f>VLOOKUP(B244,'Waste per capita'!$B$2:$F$48,4,FALSE)*(H244/Variables!$C$6)</f>
        <v>149.52456530575535</v>
      </c>
      <c r="J244" s="134">
        <f t="shared" ref="J244:J307" si="28">I244*D244/1000</f>
        <v>145176.1774920949</v>
      </c>
      <c r="K244" s="136">
        <f>Variables!$C$15</f>
        <v>1</v>
      </c>
      <c r="L244" s="137">
        <f t="shared" ref="L244:L307" si="29">J244*K244</f>
        <v>145176.1774920949</v>
      </c>
      <c r="N244" s="138">
        <f>Variables!$E$30*Variables!$C$19</f>
        <v>2.2291759999999998</v>
      </c>
      <c r="O244" s="87">
        <f t="shared" ref="O244:O307" si="30">N244*L244</f>
        <v>323623.25063711812</v>
      </c>
      <c r="P244" s="145">
        <f>Variables!$E$29</f>
        <v>48.483938529092256</v>
      </c>
      <c r="Q244" s="146">
        <f t="shared" ref="Q244:Q307" si="31">P244*J244</f>
        <v>7038712.8654153161</v>
      </c>
    </row>
    <row r="245" spans="1:17">
      <c r="A245" s="101">
        <v>7</v>
      </c>
      <c r="B245" s="132" t="s">
        <v>27</v>
      </c>
      <c r="C245" s="101">
        <v>2024</v>
      </c>
      <c r="D245" s="133">
        <f>Population!I8</f>
        <v>688228.49853119266</v>
      </c>
      <c r="E245" s="133" t="str">
        <f t="shared" si="25"/>
        <v>Medium</v>
      </c>
      <c r="F245" s="133"/>
      <c r="G245" s="134">
        <f>Variables!$C$3*POWER(SUM(1,Variables!$C$2/100),C245-2017)</f>
        <v>18477.269698315173</v>
      </c>
      <c r="H245" s="134">
        <f t="shared" si="27"/>
        <v>383.99611222916292</v>
      </c>
      <c r="I245" s="135">
        <f>VLOOKUP(B245,'Waste per capita'!$B$2:$F$48,4,FALSE)*(H245/Variables!$C$6)</f>
        <v>149.52456530575535</v>
      </c>
      <c r="J245" s="134">
        <f t="shared" si="28"/>
        <v>102907.06707390927</v>
      </c>
      <c r="K245" s="136">
        <f>Variables!$C$15</f>
        <v>1</v>
      </c>
      <c r="L245" s="137">
        <f t="shared" si="29"/>
        <v>102907.06707390927</v>
      </c>
      <c r="N245" s="138">
        <f>Variables!$E$30*Variables!$C$19</f>
        <v>2.2291759999999998</v>
      </c>
      <c r="O245" s="87">
        <f t="shared" si="30"/>
        <v>229397.96415154877</v>
      </c>
      <c r="P245" s="145">
        <f>Variables!$E$29</f>
        <v>48.483938529092256</v>
      </c>
      <c r="Q245" s="146">
        <f t="shared" si="31"/>
        <v>4989339.9142205911</v>
      </c>
    </row>
    <row r="246" spans="1:17">
      <c r="A246" s="101">
        <v>8</v>
      </c>
      <c r="B246" s="132" t="s">
        <v>28</v>
      </c>
      <c r="C246" s="101">
        <v>2024</v>
      </c>
      <c r="D246" s="133">
        <f>Population!I9</f>
        <v>447950.90193938121</v>
      </c>
      <c r="E246" s="133" t="str">
        <f t="shared" si="25"/>
        <v>Medium</v>
      </c>
      <c r="F246" s="133"/>
      <c r="G246" s="134">
        <f>Variables!$C$3*POWER(SUM(1,Variables!$C$2/100),C246-2017)</f>
        <v>18477.269698315173</v>
      </c>
      <c r="H246" s="134">
        <f t="shared" si="27"/>
        <v>383.99611222916292</v>
      </c>
      <c r="I246" s="135">
        <f>VLOOKUP(B246,'Waste per capita'!$B$2:$F$48,4,FALSE)*(H246/Variables!$C$6)</f>
        <v>149.52456530575535</v>
      </c>
      <c r="J246" s="134">
        <f t="shared" si="28"/>
        <v>66979.663890807016</v>
      </c>
      <c r="K246" s="136">
        <f>Variables!$C$15</f>
        <v>1</v>
      </c>
      <c r="L246" s="137">
        <f t="shared" si="29"/>
        <v>66979.663890807016</v>
      </c>
      <c r="N246" s="138">
        <f>Variables!$E$30*Variables!$C$19</f>
        <v>2.2291759999999998</v>
      </c>
      <c r="O246" s="87">
        <f t="shared" si="30"/>
        <v>149309.45923345361</v>
      </c>
      <c r="P246" s="145">
        <f>Variables!$E$29</f>
        <v>48.483938529092256</v>
      </c>
      <c r="Q246" s="146">
        <f t="shared" si="31"/>
        <v>3247437.9067811477</v>
      </c>
    </row>
    <row r="247" spans="1:17">
      <c r="A247" s="101">
        <v>9</v>
      </c>
      <c r="B247" s="132" t="s">
        <v>29</v>
      </c>
      <c r="C247" s="101">
        <v>2024</v>
      </c>
      <c r="D247" s="133">
        <f>Population!I10</f>
        <v>524692.03053266753</v>
      </c>
      <c r="E247" s="133" t="str">
        <f t="shared" si="25"/>
        <v>Medium</v>
      </c>
      <c r="F247" s="133"/>
      <c r="G247" s="134">
        <f>Variables!$C$3*POWER(SUM(1,Variables!$C$2/100),C247-2017)</f>
        <v>18477.269698315173</v>
      </c>
      <c r="H247" s="134">
        <f t="shared" si="27"/>
        <v>383.99611222916292</v>
      </c>
      <c r="I247" s="135">
        <f>VLOOKUP(B247,'Waste per capita'!$B$2:$F$48,4,FALSE)*(H247/Variables!$C$6)</f>
        <v>149.52456530575535</v>
      </c>
      <c r="J247" s="134">
        <f t="shared" si="28"/>
        <v>78454.347784791229</v>
      </c>
      <c r="K247" s="136">
        <f>Variables!$C$15</f>
        <v>1</v>
      </c>
      <c r="L247" s="137">
        <f t="shared" si="29"/>
        <v>78454.347784791229</v>
      </c>
      <c r="N247" s="138">
        <f>Variables!$E$30*Variables!$C$19</f>
        <v>2.2291759999999998</v>
      </c>
      <c r="O247" s="87">
        <f t="shared" si="30"/>
        <v>174888.54917750976</v>
      </c>
      <c r="P247" s="145">
        <f>Variables!$E$29</f>
        <v>48.483938529092256</v>
      </c>
      <c r="Q247" s="146">
        <f t="shared" si="31"/>
        <v>3803775.7753378432</v>
      </c>
    </row>
    <row r="248" spans="1:17">
      <c r="A248" s="101">
        <v>10</v>
      </c>
      <c r="B248" s="132" t="s">
        <v>30</v>
      </c>
      <c r="C248" s="101">
        <v>2024</v>
      </c>
      <c r="D248" s="133">
        <f>Population!I11</f>
        <v>547471.73405038449</v>
      </c>
      <c r="E248" s="133" t="str">
        <f t="shared" si="25"/>
        <v>Medium</v>
      </c>
      <c r="F248" s="133"/>
      <c r="G248" s="134">
        <f>Variables!$C$3*POWER(SUM(1,Variables!$C$2/100),C248-2017)</f>
        <v>18477.269698315173</v>
      </c>
      <c r="H248" s="134">
        <f t="shared" si="27"/>
        <v>383.99611222916292</v>
      </c>
      <c r="I248" s="135">
        <f>VLOOKUP(B248,'Waste per capita'!$B$2:$F$48,4,FALSE)*(H248/Variables!$C$6)</f>
        <v>149.52456530575535</v>
      </c>
      <c r="J248" s="134">
        <f t="shared" si="28"/>
        <v>81860.473051071836</v>
      </c>
      <c r="K248" s="136">
        <f>Variables!$C$15</f>
        <v>1</v>
      </c>
      <c r="L248" s="137">
        <f t="shared" si="29"/>
        <v>81860.473051071836</v>
      </c>
      <c r="N248" s="138">
        <f>Variables!$E$30*Variables!$C$19</f>
        <v>2.2291759999999998</v>
      </c>
      <c r="O248" s="87">
        <f t="shared" si="30"/>
        <v>182481.4018740961</v>
      </c>
      <c r="P248" s="145">
        <f>Variables!$E$29</f>
        <v>48.483938529092256</v>
      </c>
      <c r="Q248" s="146">
        <f t="shared" si="31"/>
        <v>3968918.1433705799</v>
      </c>
    </row>
    <row r="249" spans="1:17">
      <c r="A249" s="101">
        <v>11</v>
      </c>
      <c r="B249" s="132" t="s">
        <v>31</v>
      </c>
      <c r="C249" s="101">
        <v>2024</v>
      </c>
      <c r="D249" s="133">
        <f>Population!I12</f>
        <v>385248.49141185445</v>
      </c>
      <c r="E249" s="133" t="str">
        <f t="shared" si="25"/>
        <v>Medium</v>
      </c>
      <c r="F249" s="133"/>
      <c r="G249" s="134">
        <f>Variables!$C$3*POWER(SUM(1,Variables!$C$2/100),C249-2017)</f>
        <v>18477.269698315173</v>
      </c>
      <c r="H249" s="134">
        <f t="shared" si="27"/>
        <v>383.99611222916292</v>
      </c>
      <c r="I249" s="135">
        <f>VLOOKUP(B249,'Waste per capita'!$B$2:$F$48,4,FALSE)*(H249/Variables!$C$6)</f>
        <v>149.52456530575535</v>
      </c>
      <c r="J249" s="134">
        <f t="shared" si="28"/>
        <v>57604.113213055556</v>
      </c>
      <c r="K249" s="136">
        <f>Variables!$C$15</f>
        <v>1</v>
      </c>
      <c r="L249" s="137">
        <f t="shared" si="29"/>
        <v>57604.113213055556</v>
      </c>
      <c r="N249" s="138">
        <f>Variables!$E$30*Variables!$C$19</f>
        <v>2.2291759999999998</v>
      </c>
      <c r="O249" s="87">
        <f t="shared" si="30"/>
        <v>128409.70667582632</v>
      </c>
      <c r="P249" s="145">
        <f>Variables!$E$29</f>
        <v>48.483938529092256</v>
      </c>
      <c r="Q249" s="146">
        <f t="shared" si="31"/>
        <v>2792874.2840446564</v>
      </c>
    </row>
    <row r="250" spans="1:17">
      <c r="A250" s="101">
        <v>12</v>
      </c>
      <c r="B250" s="132" t="s">
        <v>32</v>
      </c>
      <c r="C250" s="101">
        <v>2024</v>
      </c>
      <c r="D250" s="133">
        <f>Population!I13</f>
        <v>437854.04684013489</v>
      </c>
      <c r="E250" s="133" t="str">
        <f t="shared" si="25"/>
        <v>Medium</v>
      </c>
      <c r="F250" s="133"/>
      <c r="G250" s="134">
        <f>Variables!$C$3*POWER(SUM(1,Variables!$C$2/100),C250-2017)</f>
        <v>18477.269698315173</v>
      </c>
      <c r="H250" s="134">
        <f t="shared" si="27"/>
        <v>383.99611222916292</v>
      </c>
      <c r="I250" s="135">
        <f>VLOOKUP(B250,'Waste per capita'!$B$2:$F$48,4,FALSE)*(H250/Variables!$C$6)</f>
        <v>149.52456530575535</v>
      </c>
      <c r="J250" s="134">
        <f t="shared" si="28"/>
        <v>65469.936021137008</v>
      </c>
      <c r="K250" s="136">
        <f>Variables!$C$15</f>
        <v>1</v>
      </c>
      <c r="L250" s="137">
        <f t="shared" si="29"/>
        <v>65469.936021137008</v>
      </c>
      <c r="N250" s="138">
        <f>Variables!$E$30*Variables!$C$19</f>
        <v>2.2291759999999998</v>
      </c>
      <c r="O250" s="87">
        <f t="shared" si="30"/>
        <v>145944.01009985409</v>
      </c>
      <c r="P250" s="145">
        <f>Variables!$E$29</f>
        <v>48.483938529092256</v>
      </c>
      <c r="Q250" s="146">
        <f t="shared" si="31"/>
        <v>3174240.3535524094</v>
      </c>
    </row>
    <row r="251" spans="1:17">
      <c r="A251" s="101">
        <v>13</v>
      </c>
      <c r="B251" s="132" t="s">
        <v>33</v>
      </c>
      <c r="C251" s="101">
        <v>2024</v>
      </c>
      <c r="D251" s="133">
        <f>Population!I14</f>
        <v>493374.72201008635</v>
      </c>
      <c r="E251" s="133" t="str">
        <f t="shared" si="25"/>
        <v>Medium</v>
      </c>
      <c r="F251" s="133"/>
      <c r="G251" s="134">
        <f>Variables!$C$3*POWER(SUM(1,Variables!$C$2/100),C251-2017)</f>
        <v>18477.269698315173</v>
      </c>
      <c r="H251" s="134">
        <f t="shared" si="27"/>
        <v>383.99611222916292</v>
      </c>
      <c r="I251" s="135">
        <f>VLOOKUP(B251,'Waste per capita'!$B$2:$F$48,4,FALSE)*(H251/Variables!$C$6)</f>
        <v>149.52456530575535</v>
      </c>
      <c r="J251" s="134">
        <f t="shared" si="28"/>
        <v>73771.640841406042</v>
      </c>
      <c r="K251" s="136">
        <f>Variables!$C$15</f>
        <v>1</v>
      </c>
      <c r="L251" s="137">
        <f t="shared" si="29"/>
        <v>73771.640841406042</v>
      </c>
      <c r="N251" s="138">
        <f>Variables!$E$30*Variables!$C$19</f>
        <v>2.2291759999999998</v>
      </c>
      <c r="O251" s="87">
        <f t="shared" si="30"/>
        <v>164449.97124428215</v>
      </c>
      <c r="P251" s="145">
        <f>Variables!$E$29</f>
        <v>48.483938529092256</v>
      </c>
      <c r="Q251" s="146">
        <f t="shared" si="31"/>
        <v>3576739.6997450022</v>
      </c>
    </row>
    <row r="252" spans="1:17">
      <c r="A252" s="101">
        <v>14</v>
      </c>
      <c r="B252" s="132" t="s">
        <v>34</v>
      </c>
      <c r="C252" s="101">
        <v>2024</v>
      </c>
      <c r="D252" s="133">
        <f>Population!I15</f>
        <v>343916.33603482269</v>
      </c>
      <c r="E252" s="133" t="str">
        <f t="shared" si="25"/>
        <v>Medium</v>
      </c>
      <c r="F252" s="133"/>
      <c r="G252" s="134">
        <f>Variables!$C$3*POWER(SUM(1,Variables!$C$2/100),C252-2017)</f>
        <v>18477.269698315173</v>
      </c>
      <c r="H252" s="134">
        <f t="shared" si="27"/>
        <v>383.99611222916292</v>
      </c>
      <c r="I252" s="135">
        <f>VLOOKUP(B252,'Waste per capita'!$B$2:$F$48,4,FALSE)*(H252/Variables!$C$6)</f>
        <v>149.52456530575535</v>
      </c>
      <c r="J252" s="134">
        <f t="shared" si="28"/>
        <v>51423.940647154945</v>
      </c>
      <c r="K252" s="136">
        <f>Variables!$C$15</f>
        <v>1</v>
      </c>
      <c r="L252" s="137">
        <f t="shared" si="29"/>
        <v>51423.940647154945</v>
      </c>
      <c r="N252" s="138">
        <f>Variables!$E$30*Variables!$C$19</f>
        <v>2.2291759999999998</v>
      </c>
      <c r="O252" s="87">
        <f t="shared" si="30"/>
        <v>114633.01431606227</v>
      </c>
      <c r="P252" s="145">
        <f>Variables!$E$29</f>
        <v>48.483938529092256</v>
      </c>
      <c r="Q252" s="146">
        <f t="shared" si="31"/>
        <v>2493235.177260349</v>
      </c>
    </row>
    <row r="253" spans="1:17">
      <c r="A253" s="101">
        <v>15</v>
      </c>
      <c r="B253" s="132" t="s">
        <v>35</v>
      </c>
      <c r="C253" s="101">
        <v>2024</v>
      </c>
      <c r="D253" s="133">
        <f>Population!I16</f>
        <v>301397.79471641313</v>
      </c>
      <c r="E253" s="133" t="str">
        <f t="shared" si="25"/>
        <v>Medium</v>
      </c>
      <c r="F253" s="133"/>
      <c r="G253" s="134">
        <f>Variables!$C$3*POWER(SUM(1,Variables!$C$2/100),C253-2017)</f>
        <v>18477.269698315173</v>
      </c>
      <c r="H253" s="134">
        <f t="shared" si="27"/>
        <v>383.99611222916292</v>
      </c>
      <c r="I253" s="135">
        <f>VLOOKUP(B253,'Waste per capita'!$B$2:$F$48,4,FALSE)*(H253/Variables!$C$6)</f>
        <v>92.663142481576955</v>
      </c>
      <c r="J253" s="134">
        <f t="shared" si="28"/>
        <v>27928.466795440072</v>
      </c>
      <c r="K253" s="136">
        <f>Variables!$C$15</f>
        <v>1</v>
      </c>
      <c r="L253" s="137">
        <f t="shared" si="29"/>
        <v>27928.466795440072</v>
      </c>
      <c r="N253" s="138">
        <f>Variables!$E$30*Variables!$C$19</f>
        <v>2.2291759999999998</v>
      </c>
      <c r="O253" s="87">
        <f t="shared" si="30"/>
        <v>62257.467897191913</v>
      </c>
      <c r="P253" s="145">
        <f>Variables!$E$29</f>
        <v>48.483938529092256</v>
      </c>
      <c r="Q253" s="146">
        <f t="shared" si="31"/>
        <v>1354082.0673219108</v>
      </c>
    </row>
    <row r="254" spans="1:17">
      <c r="A254" s="101">
        <v>16</v>
      </c>
      <c r="B254" s="132" t="s">
        <v>36</v>
      </c>
      <c r="C254" s="101">
        <v>2024</v>
      </c>
      <c r="D254" s="133">
        <f>Population!I17</f>
        <v>502272.06984878762</v>
      </c>
      <c r="E254" s="133" t="str">
        <f t="shared" si="25"/>
        <v>Medium</v>
      </c>
      <c r="F254" s="133"/>
      <c r="G254" s="134">
        <f>Variables!$C$3*POWER(SUM(1,Variables!$C$2/100),C254-2017)</f>
        <v>18477.269698315173</v>
      </c>
      <c r="H254" s="134">
        <f t="shared" si="27"/>
        <v>383.99611222916292</v>
      </c>
      <c r="I254" s="135">
        <f>VLOOKUP(B254,'Waste per capita'!$B$2:$F$48,4,FALSE)*(H254/Variables!$C$6)</f>
        <v>149.52456530575535</v>
      </c>
      <c r="J254" s="134">
        <f t="shared" si="28"/>
        <v>75102.012909361962</v>
      </c>
      <c r="K254" s="136">
        <f>Variables!$C$15</f>
        <v>1</v>
      </c>
      <c r="L254" s="137">
        <f t="shared" si="29"/>
        <v>75102.012909361962</v>
      </c>
      <c r="N254" s="138">
        <f>Variables!$E$30*Variables!$C$19</f>
        <v>2.2291759999999998</v>
      </c>
      <c r="O254" s="87">
        <f t="shared" si="30"/>
        <v>167415.60472923986</v>
      </c>
      <c r="P254" s="145">
        <f>Variables!$E$29</f>
        <v>48.483938529092256</v>
      </c>
      <c r="Q254" s="146">
        <f t="shared" si="31"/>
        <v>3641241.3773085983</v>
      </c>
    </row>
    <row r="255" spans="1:17">
      <c r="A255" s="101">
        <v>17</v>
      </c>
      <c r="B255" s="132" t="s">
        <v>37</v>
      </c>
      <c r="C255" s="101">
        <v>2024</v>
      </c>
      <c r="D255" s="133">
        <f>Population!I18</f>
        <v>474251.49276699353</v>
      </c>
      <c r="E255" s="133" t="str">
        <f t="shared" si="25"/>
        <v>Medium</v>
      </c>
      <c r="F255" s="133"/>
      <c r="G255" s="134">
        <f>Variables!$C$3*POWER(SUM(1,Variables!$C$2/100),C255-2017)</f>
        <v>18477.269698315173</v>
      </c>
      <c r="H255" s="134">
        <f t="shared" si="27"/>
        <v>383.99611222916292</v>
      </c>
      <c r="I255" s="135">
        <f>VLOOKUP(B255,'Waste per capita'!$B$2:$F$48,4,FALSE)*(H255/Variables!$C$6)</f>
        <v>149.52456530575535</v>
      </c>
      <c r="J255" s="134">
        <f t="shared" si="28"/>
        <v>70912.248301590284</v>
      </c>
      <c r="K255" s="136">
        <f>Variables!$C$15</f>
        <v>1</v>
      </c>
      <c r="L255" s="137">
        <f t="shared" si="29"/>
        <v>70912.248301590284</v>
      </c>
      <c r="N255" s="138">
        <f>Variables!$E$30*Variables!$C$19</f>
        <v>2.2291759999999998</v>
      </c>
      <c r="O255" s="87">
        <f t="shared" si="30"/>
        <v>158075.8820199458</v>
      </c>
      <c r="P255" s="145">
        <f>Variables!$E$29</f>
        <v>48.483938529092256</v>
      </c>
      <c r="Q255" s="146">
        <f t="shared" si="31"/>
        <v>3438105.0876140301</v>
      </c>
    </row>
    <row r="256" spans="1:17">
      <c r="A256" s="101">
        <v>18</v>
      </c>
      <c r="B256" s="132" t="s">
        <v>38</v>
      </c>
      <c r="C256" s="101">
        <v>2024</v>
      </c>
      <c r="D256" s="133">
        <f>Population!I19</f>
        <v>300283.57603045559</v>
      </c>
      <c r="E256" s="133" t="str">
        <f t="shared" si="25"/>
        <v>Medium</v>
      </c>
      <c r="F256" s="133"/>
      <c r="G256" s="134">
        <f>Variables!$C$3*POWER(SUM(1,Variables!$C$2/100),C256-2017)</f>
        <v>18477.269698315173</v>
      </c>
      <c r="H256" s="134">
        <f t="shared" si="27"/>
        <v>383.99611222916292</v>
      </c>
      <c r="I256" s="135">
        <f>VLOOKUP(B256,'Waste per capita'!$B$2:$F$48,4,FALSE)*(H256/Variables!$C$6)</f>
        <v>149.52456530575535</v>
      </c>
      <c r="J256" s="134">
        <f t="shared" si="28"/>
        <v>44899.77117441161</v>
      </c>
      <c r="K256" s="136">
        <f>Variables!$C$15</f>
        <v>1</v>
      </c>
      <c r="L256" s="137">
        <f t="shared" si="29"/>
        <v>44899.77117441161</v>
      </c>
      <c r="N256" s="138">
        <f>Variables!$E$30*Variables!$C$19</f>
        <v>2.2291759999999998</v>
      </c>
      <c r="O256" s="87">
        <f t="shared" si="30"/>
        <v>100089.49230749016</v>
      </c>
      <c r="P256" s="145">
        <f>Variables!$E$29</f>
        <v>48.483938529092256</v>
      </c>
      <c r="Q256" s="146">
        <f t="shared" si="31"/>
        <v>2176917.745590481</v>
      </c>
    </row>
    <row r="257" spans="1:17">
      <c r="A257" s="101">
        <v>19</v>
      </c>
      <c r="B257" s="132" t="s">
        <v>39</v>
      </c>
      <c r="C257" s="101">
        <v>2024</v>
      </c>
      <c r="D257" s="133">
        <f>Population!I20</f>
        <v>303179.01379337569</v>
      </c>
      <c r="E257" s="133" t="str">
        <f t="shared" si="25"/>
        <v>Medium</v>
      </c>
      <c r="F257" s="133"/>
      <c r="G257" s="134">
        <f>Variables!$C$3*POWER(SUM(1,Variables!$C$2/100),C257-2017)</f>
        <v>18477.269698315173</v>
      </c>
      <c r="H257" s="134">
        <f t="shared" si="27"/>
        <v>383.99611222916292</v>
      </c>
      <c r="I257" s="135">
        <f>VLOOKUP(B257,'Waste per capita'!$B$2:$F$48,4,FALSE)*(H257/Variables!$C$6)</f>
        <v>149.52456530575535</v>
      </c>
      <c r="J257" s="134">
        <f t="shared" si="28"/>
        <v>45332.710247282106</v>
      </c>
      <c r="K257" s="136">
        <f>Variables!$C$15</f>
        <v>1</v>
      </c>
      <c r="L257" s="137">
        <f t="shared" si="29"/>
        <v>45332.710247282106</v>
      </c>
      <c r="N257" s="138">
        <f>Variables!$E$30*Variables!$C$19</f>
        <v>2.2291759999999998</v>
      </c>
      <c r="O257" s="87">
        <f t="shared" si="30"/>
        <v>101054.58969819533</v>
      </c>
      <c r="P257" s="145">
        <f>Variables!$E$29</f>
        <v>48.483938529092256</v>
      </c>
      <c r="Q257" s="146">
        <f t="shared" si="31"/>
        <v>2197908.3369863764</v>
      </c>
    </row>
    <row r="258" spans="1:17">
      <c r="A258" s="101">
        <v>20</v>
      </c>
      <c r="B258" s="132" t="s">
        <v>40</v>
      </c>
      <c r="C258" s="101">
        <v>2024</v>
      </c>
      <c r="D258" s="133">
        <f>Population!I21</f>
        <v>183688.627352988</v>
      </c>
      <c r="E258" s="133" t="str">
        <f t="shared" si="25"/>
        <v>Medium</v>
      </c>
      <c r="F258" s="133"/>
      <c r="G258" s="134">
        <f>Variables!$C$3*POWER(SUM(1,Variables!$C$2/100),C258-2017)</f>
        <v>18477.269698315173</v>
      </c>
      <c r="H258" s="134">
        <f t="shared" si="27"/>
        <v>383.99611222916292</v>
      </c>
      <c r="I258" s="135">
        <f>VLOOKUP(B258,'Waste per capita'!$B$2:$F$48,4,FALSE)*(H258/Variables!$C$6)</f>
        <v>149.52456530575535</v>
      </c>
      <c r="J258" s="134">
        <f t="shared" si="28"/>
        <v>27465.962156566413</v>
      </c>
      <c r="K258" s="136">
        <f>Variables!$C$15</f>
        <v>1</v>
      </c>
      <c r="L258" s="137">
        <f t="shared" si="29"/>
        <v>27465.962156566413</v>
      </c>
      <c r="N258" s="138">
        <f>Variables!$E$30*Variables!$C$19</f>
        <v>2.2291759999999998</v>
      </c>
      <c r="O258" s="87">
        <f t="shared" si="30"/>
        <v>61226.463656326086</v>
      </c>
      <c r="P258" s="145">
        <f>Variables!$E$29</f>
        <v>48.483938529092256</v>
      </c>
      <c r="Q258" s="146">
        <f t="shared" si="31"/>
        <v>1331658.0208413401</v>
      </c>
    </row>
    <row r="259" spans="1:17">
      <c r="A259" s="101">
        <v>21</v>
      </c>
      <c r="B259" s="132" t="s">
        <v>41</v>
      </c>
      <c r="C259" s="101">
        <v>2024</v>
      </c>
      <c r="D259" s="133">
        <f>Population!I22</f>
        <v>194166.00070808636</v>
      </c>
      <c r="E259" s="133" t="str">
        <f t="shared" si="25"/>
        <v>Medium</v>
      </c>
      <c r="F259" s="133"/>
      <c r="G259" s="134">
        <f>Variables!$C$3*POWER(SUM(1,Variables!$C$2/100),C259-2017)</f>
        <v>18477.269698315173</v>
      </c>
      <c r="H259" s="134">
        <f t="shared" si="27"/>
        <v>383.99611222916292</v>
      </c>
      <c r="I259" s="135">
        <f>VLOOKUP(B259,'Waste per capita'!$B$2:$F$48,4,FALSE)*(H259/Variables!$C$6)</f>
        <v>149.52456530575535</v>
      </c>
      <c r="J259" s="134">
        <f t="shared" si="28"/>
        <v>29032.586853033597</v>
      </c>
      <c r="K259" s="136">
        <f>Variables!$C$15</f>
        <v>1</v>
      </c>
      <c r="L259" s="137">
        <f t="shared" si="29"/>
        <v>29032.586853033597</v>
      </c>
      <c r="N259" s="138">
        <f>Variables!$E$30*Variables!$C$19</f>
        <v>2.2291759999999998</v>
      </c>
      <c r="O259" s="87">
        <f t="shared" si="30"/>
        <v>64718.745830698019</v>
      </c>
      <c r="P259" s="145">
        <f>Variables!$E$29</f>
        <v>48.483938529092256</v>
      </c>
      <c r="Q259" s="146">
        <f t="shared" si="31"/>
        <v>1407614.1563230129</v>
      </c>
    </row>
    <row r="260" spans="1:17">
      <c r="A260" s="101">
        <v>22</v>
      </c>
      <c r="B260" s="132" t="s">
        <v>42</v>
      </c>
      <c r="C260" s="101">
        <v>2024</v>
      </c>
      <c r="D260" s="133">
        <f>Population!I23</f>
        <v>171439.87591030254</v>
      </c>
      <c r="E260" s="133" t="str">
        <f t="shared" si="25"/>
        <v>Medium</v>
      </c>
      <c r="F260" s="133"/>
      <c r="G260" s="134">
        <f>Variables!$C$3*POWER(SUM(1,Variables!$C$2/100),C260-2017)</f>
        <v>18477.269698315173</v>
      </c>
      <c r="H260" s="134">
        <f t="shared" si="27"/>
        <v>383.99611222916292</v>
      </c>
      <c r="I260" s="135">
        <f>VLOOKUP(B260,'Waste per capita'!$B$2:$F$48,4,FALSE)*(H260/Variables!$C$6)</f>
        <v>113.04085938521298</v>
      </c>
      <c r="J260" s="134">
        <f t="shared" si="28"/>
        <v>19379.710905794869</v>
      </c>
      <c r="K260" s="136">
        <f>Variables!$C$15</f>
        <v>1</v>
      </c>
      <c r="L260" s="137">
        <f t="shared" si="29"/>
        <v>19379.710905794869</v>
      </c>
      <c r="N260" s="138">
        <f>Variables!$E$30*Variables!$C$19</f>
        <v>2.2291759999999998</v>
      </c>
      <c r="O260" s="87">
        <f t="shared" si="30"/>
        <v>43200.78643813618</v>
      </c>
      <c r="P260" s="145">
        <f>Variables!$E$29</f>
        <v>48.483938529092256</v>
      </c>
      <c r="Q260" s="146">
        <f t="shared" si="31"/>
        <v>939604.71226813726</v>
      </c>
    </row>
    <row r="261" spans="1:17">
      <c r="A261" s="101">
        <v>23</v>
      </c>
      <c r="B261" s="132" t="s">
        <v>43</v>
      </c>
      <c r="C261" s="101">
        <v>2024</v>
      </c>
      <c r="D261" s="133">
        <f>Population!I24</f>
        <v>131955.63964933381</v>
      </c>
      <c r="E261" s="133" t="str">
        <f t="shared" ref="E261:E324" si="32">IF(D261&lt;100000,"Small",IF(D261&lt;1000000,"Medium","Large"))</f>
        <v>Medium</v>
      </c>
      <c r="F261" s="133"/>
      <c r="G261" s="134">
        <f>Variables!$C$3*POWER(SUM(1,Variables!$C$2/100),C261-2017)</f>
        <v>18477.269698315173</v>
      </c>
      <c r="H261" s="134">
        <f t="shared" si="27"/>
        <v>383.99611222916292</v>
      </c>
      <c r="I261" s="135">
        <f>VLOOKUP(B261,'Waste per capita'!$B$2:$F$48,4,FALSE)*(H261/Variables!$C$6)</f>
        <v>110.93885993383505</v>
      </c>
      <c r="J261" s="134">
        <f t="shared" si="28"/>
        <v>14639.008224537054</v>
      </c>
      <c r="K261" s="136">
        <f>Variables!$C$15</f>
        <v>1</v>
      </c>
      <c r="L261" s="137">
        <f t="shared" si="29"/>
        <v>14639.008224537054</v>
      </c>
      <c r="N261" s="138">
        <f>Variables!$E$30*Variables!$C$19</f>
        <v>2.2291759999999998</v>
      </c>
      <c r="O261" s="87">
        <f t="shared" si="30"/>
        <v>32632.92579794061</v>
      </c>
      <c r="P261" s="145">
        <f>Variables!$E$29</f>
        <v>48.483938529092256</v>
      </c>
      <c r="Q261" s="146">
        <f t="shared" si="31"/>
        <v>709756.77488533047</v>
      </c>
    </row>
    <row r="262" spans="1:17">
      <c r="A262" s="101">
        <v>24</v>
      </c>
      <c r="B262" s="132" t="s">
        <v>44</v>
      </c>
      <c r="C262" s="101">
        <v>2024</v>
      </c>
      <c r="D262" s="133">
        <f>Population!I25</f>
        <v>82811.925594695815</v>
      </c>
      <c r="E262" s="133" t="str">
        <f t="shared" si="32"/>
        <v>Small</v>
      </c>
      <c r="F262" s="133"/>
      <c r="G262" s="134">
        <f>Variables!$C$3*POWER(SUM(1,Variables!$C$2/100),C262-2017)</f>
        <v>18477.269698315173</v>
      </c>
      <c r="H262" s="134">
        <f t="shared" si="27"/>
        <v>383.99611222916292</v>
      </c>
      <c r="I262" s="135">
        <f>VLOOKUP(B262,'Waste per capita'!$B$2:$F$48,4,FALSE)*(H262/Variables!$C$6)</f>
        <v>112.4017657385843</v>
      </c>
      <c r="J262" s="134">
        <f t="shared" si="28"/>
        <v>9308.2066610560742</v>
      </c>
      <c r="K262" s="136">
        <f>Variables!$C$15</f>
        <v>1</v>
      </c>
      <c r="L262" s="137">
        <f t="shared" si="29"/>
        <v>9308.2066610560742</v>
      </c>
      <c r="N262" s="138">
        <f>Variables!$E$30*Variables!$C$19</f>
        <v>2.2291759999999998</v>
      </c>
      <c r="O262" s="87">
        <f t="shared" si="30"/>
        <v>20749.630891866334</v>
      </c>
      <c r="P262" s="145">
        <f>Variables!$E$29</f>
        <v>48.483938529092256</v>
      </c>
      <c r="Q262" s="146">
        <f t="shared" si="31"/>
        <v>451298.51957072975</v>
      </c>
    </row>
    <row r="263" spans="1:17">
      <c r="A263" s="101">
        <v>25</v>
      </c>
      <c r="B263" s="132" t="s">
        <v>45</v>
      </c>
      <c r="C263" s="101">
        <v>2024</v>
      </c>
      <c r="D263" s="133">
        <f>Population!I26</f>
        <v>171607.17272968576</v>
      </c>
      <c r="E263" s="133" t="str">
        <f t="shared" si="32"/>
        <v>Medium</v>
      </c>
      <c r="F263" s="133"/>
      <c r="G263" s="134">
        <f>Variables!$C$3*POWER(SUM(1,Variables!$C$2/100),C263-2017)</f>
        <v>18477.269698315173</v>
      </c>
      <c r="H263" s="134">
        <f t="shared" si="27"/>
        <v>383.99611222916292</v>
      </c>
      <c r="I263" s="135">
        <f>VLOOKUP(B263,'Waste per capita'!$B$2:$F$48,4,FALSE)*(H263/Variables!$C$6)</f>
        <v>112.05520325429268</v>
      </c>
      <c r="J263" s="134">
        <f t="shared" si="28"/>
        <v>19229.476620119447</v>
      </c>
      <c r="K263" s="136">
        <f>Variables!$C$15</f>
        <v>1</v>
      </c>
      <c r="L263" s="137">
        <f t="shared" si="29"/>
        <v>19229.476620119447</v>
      </c>
      <c r="N263" s="138">
        <f>Variables!$E$30*Variables!$C$19</f>
        <v>2.2291759999999998</v>
      </c>
      <c r="O263" s="87">
        <f t="shared" si="30"/>
        <v>42865.887774131385</v>
      </c>
      <c r="P263" s="145">
        <f>Variables!$E$29</f>
        <v>48.483938529092256</v>
      </c>
      <c r="Q263" s="146">
        <f t="shared" si="31"/>
        <v>932320.76239648799</v>
      </c>
    </row>
    <row r="264" spans="1:17">
      <c r="A264" s="101">
        <v>26</v>
      </c>
      <c r="B264" s="132" t="s">
        <v>46</v>
      </c>
      <c r="C264" s="101">
        <v>2024</v>
      </c>
      <c r="D264" s="133">
        <f>Population!I27</f>
        <v>46847.483200358452</v>
      </c>
      <c r="E264" s="133" t="str">
        <f t="shared" si="32"/>
        <v>Small</v>
      </c>
      <c r="F264" s="133"/>
      <c r="G264" s="134">
        <f>Variables!$C$3*POWER(SUM(1,Variables!$C$2/100),C264-2017)</f>
        <v>18477.269698315173</v>
      </c>
      <c r="H264" s="134">
        <f t="shared" si="27"/>
        <v>383.99611222916292</v>
      </c>
      <c r="I264" s="135">
        <f>VLOOKUP(B264,'Waste per capita'!$B$2:$F$48,4,FALSE)*(H264/Variables!$C$6)</f>
        <v>113.21041153526477</v>
      </c>
      <c r="J264" s="134">
        <f t="shared" si="28"/>
        <v>5303.6228525039833</v>
      </c>
      <c r="K264" s="136">
        <f>Variables!$C$15</f>
        <v>1</v>
      </c>
      <c r="L264" s="137">
        <f t="shared" si="29"/>
        <v>5303.6228525039833</v>
      </c>
      <c r="N264" s="138">
        <f>Variables!$E$30*Variables!$C$19</f>
        <v>2.2291759999999998</v>
      </c>
      <c r="O264" s="87">
        <f t="shared" si="30"/>
        <v>11822.708775853418</v>
      </c>
      <c r="P264" s="145">
        <f>Variables!$E$29</f>
        <v>48.483938529092256</v>
      </c>
      <c r="Q264" s="146">
        <f t="shared" si="31"/>
        <v>257140.52436229205</v>
      </c>
    </row>
    <row r="265" spans="1:17">
      <c r="A265" s="101">
        <v>27</v>
      </c>
      <c r="B265" s="132" t="s">
        <v>47</v>
      </c>
      <c r="C265" s="101">
        <v>2024</v>
      </c>
      <c r="D265" s="133">
        <f>Population!I28</f>
        <v>8785.816625779109</v>
      </c>
      <c r="E265" s="133" t="str">
        <f t="shared" si="32"/>
        <v>Small</v>
      </c>
      <c r="F265" s="133"/>
      <c r="G265" s="134">
        <f>Variables!$C$3*POWER(SUM(1,Variables!$C$2/100),C265-2017)</f>
        <v>18477.269698315173</v>
      </c>
      <c r="H265" s="134">
        <f t="shared" si="27"/>
        <v>383.99611222916292</v>
      </c>
      <c r="I265" s="135">
        <f>VLOOKUP(B265,'Waste per capita'!$B$2:$F$48,4,FALSE)*(H265/Variables!$C$6)</f>
        <v>112.1066374068228</v>
      </c>
      <c r="J265" s="134">
        <f t="shared" si="28"/>
        <v>984.94835878905394</v>
      </c>
      <c r="K265" s="136">
        <f>Variables!$C$15</f>
        <v>1</v>
      </c>
      <c r="L265" s="137">
        <f t="shared" si="29"/>
        <v>984.94835878905394</v>
      </c>
      <c r="N265" s="138">
        <f>Variables!$E$30*Variables!$C$19</f>
        <v>2.2291759999999998</v>
      </c>
      <c r="O265" s="87">
        <f t="shared" si="30"/>
        <v>2195.6232426519477</v>
      </c>
      <c r="P265" s="145">
        <f>Variables!$E$29</f>
        <v>48.483938529092256</v>
      </c>
      <c r="Q265" s="146">
        <f t="shared" si="31"/>
        <v>47754.175681858796</v>
      </c>
    </row>
    <row r="266" spans="1:17">
      <c r="A266" s="101">
        <v>28</v>
      </c>
      <c r="B266" s="132" t="s">
        <v>48</v>
      </c>
      <c r="C266" s="101">
        <v>2024</v>
      </c>
      <c r="D266" s="133">
        <f>Population!I29</f>
        <v>52579.312789945769</v>
      </c>
      <c r="E266" s="133" t="str">
        <f t="shared" si="32"/>
        <v>Small</v>
      </c>
      <c r="F266" s="133"/>
      <c r="G266" s="134">
        <f>Variables!$C$3*POWER(SUM(1,Variables!$C$2/100),C266-2017)</f>
        <v>18477.269698315173</v>
      </c>
      <c r="H266" s="134">
        <f t="shared" si="27"/>
        <v>383.99611222916292</v>
      </c>
      <c r="I266" s="135">
        <f>VLOOKUP(B266,'Waste per capita'!$B$2:$F$48,4,FALSE)*(H266/Variables!$C$6)</f>
        <v>164.36807311492987</v>
      </c>
      <c r="J266" s="134">
        <f t="shared" si="28"/>
        <v>8642.3603289905732</v>
      </c>
      <c r="K266" s="136">
        <f>Variables!$C$15</f>
        <v>1</v>
      </c>
      <c r="L266" s="137">
        <f t="shared" si="29"/>
        <v>8642.3603289905732</v>
      </c>
      <c r="N266" s="138">
        <f>Variables!$E$30*Variables!$C$19</f>
        <v>2.2291759999999998</v>
      </c>
      <c r="O266" s="87">
        <f t="shared" si="30"/>
        <v>19265.342228737889</v>
      </c>
      <c r="P266" s="145">
        <f>Variables!$E$29</f>
        <v>48.483938529092256</v>
      </c>
      <c r="Q266" s="146">
        <f t="shared" si="31"/>
        <v>419015.66693704447</v>
      </c>
    </row>
    <row r="267" spans="1:17">
      <c r="A267" s="101">
        <v>29</v>
      </c>
      <c r="B267" s="132" t="s">
        <v>49</v>
      </c>
      <c r="C267" s="101">
        <v>2024</v>
      </c>
      <c r="D267" s="133">
        <f>Population!I30</f>
        <v>52946.709726630499</v>
      </c>
      <c r="E267" s="133" t="str">
        <f t="shared" si="32"/>
        <v>Small</v>
      </c>
      <c r="F267" s="133"/>
      <c r="G267" s="134">
        <f>Variables!$C$3*POWER(SUM(1,Variables!$C$2/100),C267-2017)</f>
        <v>18477.269698315173</v>
      </c>
      <c r="H267" s="134">
        <f t="shared" si="27"/>
        <v>383.99611222916292</v>
      </c>
      <c r="I267" s="135">
        <f>VLOOKUP(B267,'Waste per capita'!$B$2:$F$48,4,FALSE)*(H267/Variables!$C$6)</f>
        <v>164.36807311492987</v>
      </c>
      <c r="J267" s="134">
        <f t="shared" si="28"/>
        <v>8702.7486555417709</v>
      </c>
      <c r="K267" s="136">
        <f>Variables!$C$15</f>
        <v>1</v>
      </c>
      <c r="L267" s="137">
        <f t="shared" si="29"/>
        <v>8702.7486555417709</v>
      </c>
      <c r="N267" s="138">
        <f>Variables!$E$30*Variables!$C$19</f>
        <v>2.2291759999999998</v>
      </c>
      <c r="O267" s="87">
        <f t="shared" si="30"/>
        <v>19399.958436965982</v>
      </c>
      <c r="P267" s="145">
        <f>Variables!$E$29</f>
        <v>48.483938529092256</v>
      </c>
      <c r="Q267" s="146">
        <f t="shared" si="31"/>
        <v>421943.53084942751</v>
      </c>
    </row>
    <row r="268" spans="1:17">
      <c r="A268" s="101">
        <v>30</v>
      </c>
      <c r="B268" s="132" t="s">
        <v>50</v>
      </c>
      <c r="C268" s="101">
        <v>2024</v>
      </c>
      <c r="D268" s="133">
        <f>Population!I31</f>
        <v>21637.055306896953</v>
      </c>
      <c r="E268" s="133" t="str">
        <f t="shared" si="32"/>
        <v>Small</v>
      </c>
      <c r="F268" s="133"/>
      <c r="G268" s="134">
        <f>Variables!$C$3*POWER(SUM(1,Variables!$C$2/100),C268-2017)</f>
        <v>18477.269698315173</v>
      </c>
      <c r="H268" s="134">
        <f t="shared" si="27"/>
        <v>383.99611222916292</v>
      </c>
      <c r="I268" s="135">
        <f>VLOOKUP(B268,'Waste per capita'!$B$2:$F$48,4,FALSE)*(H268/Variables!$C$6)</f>
        <v>164.36807311492987</v>
      </c>
      <c r="J268" s="134">
        <f t="shared" si="28"/>
        <v>3556.4410886758196</v>
      </c>
      <c r="K268" s="136">
        <f>Variables!$C$15</f>
        <v>1</v>
      </c>
      <c r="L268" s="137">
        <f t="shared" si="29"/>
        <v>3556.4410886758196</v>
      </c>
      <c r="N268" s="138">
        <f>Variables!$E$30*Variables!$C$19</f>
        <v>2.2291759999999998</v>
      </c>
      <c r="O268" s="87">
        <f t="shared" si="30"/>
        <v>7927.9331202900084</v>
      </c>
      <c r="P268" s="145">
        <f>Variables!$E$29</f>
        <v>48.483938529092256</v>
      </c>
      <c r="Q268" s="146">
        <f t="shared" si="31"/>
        <v>172430.2711256964</v>
      </c>
    </row>
    <row r="269" spans="1:17">
      <c r="A269" s="101">
        <v>31</v>
      </c>
      <c r="B269" s="132" t="s">
        <v>51</v>
      </c>
      <c r="C269" s="101">
        <v>2024</v>
      </c>
      <c r="D269" s="133">
        <f>Population!I32</f>
        <v>32917.016017729227</v>
      </c>
      <c r="E269" s="133" t="str">
        <f t="shared" si="32"/>
        <v>Small</v>
      </c>
      <c r="F269" s="133"/>
      <c r="G269" s="134">
        <f>Variables!$C$3*POWER(SUM(1,Variables!$C$2/100),C269-2017)</f>
        <v>18477.269698315173</v>
      </c>
      <c r="H269" s="134">
        <f t="shared" si="27"/>
        <v>383.99611222916292</v>
      </c>
      <c r="I269" s="135">
        <f>VLOOKUP(B269,'Waste per capita'!$B$2:$F$48,4,FALSE)*(H269/Variables!$C$6)</f>
        <v>164.36807311492987</v>
      </c>
      <c r="J269" s="134">
        <f t="shared" si="28"/>
        <v>5410.5064955274347</v>
      </c>
      <c r="K269" s="136">
        <f>Variables!$C$15</f>
        <v>1</v>
      </c>
      <c r="L269" s="137">
        <f t="shared" si="29"/>
        <v>5410.5064955274347</v>
      </c>
      <c r="N269" s="138">
        <f>Variables!$E$30*Variables!$C$19</f>
        <v>2.2291759999999998</v>
      </c>
      <c r="O269" s="87">
        <f t="shared" si="30"/>
        <v>12060.971227673865</v>
      </c>
      <c r="P269" s="145">
        <f>Variables!$E$29</f>
        <v>48.483938529092256</v>
      </c>
      <c r="Q269" s="146">
        <f t="shared" si="31"/>
        <v>262322.66434040654</v>
      </c>
    </row>
    <row r="270" spans="1:17">
      <c r="A270" s="101">
        <v>32</v>
      </c>
      <c r="B270" s="132" t="s">
        <v>52</v>
      </c>
      <c r="C270" s="101">
        <v>2024</v>
      </c>
      <c r="D270" s="133">
        <f>Population!I33</f>
        <v>30298.219400586604</v>
      </c>
      <c r="E270" s="133" t="str">
        <f t="shared" si="32"/>
        <v>Small</v>
      </c>
      <c r="F270" s="133"/>
      <c r="G270" s="134">
        <f>Variables!$C$3*POWER(SUM(1,Variables!$C$2/100),C270-2017)</f>
        <v>18477.269698315173</v>
      </c>
      <c r="H270" s="134">
        <f t="shared" si="27"/>
        <v>383.99611222916292</v>
      </c>
      <c r="I270" s="135">
        <f>VLOOKUP(B270,'Waste per capita'!$B$2:$F$48,4,FALSE)*(H270/Variables!$C$6)</f>
        <v>164.36807311492987</v>
      </c>
      <c r="J270" s="134">
        <f t="shared" si="28"/>
        <v>4980.0599416878058</v>
      </c>
      <c r="K270" s="136">
        <f>Variables!$C$15</f>
        <v>1</v>
      </c>
      <c r="L270" s="137">
        <f t="shared" si="29"/>
        <v>4980.0599416878058</v>
      </c>
      <c r="N270" s="138">
        <f>Variables!$E$30*Variables!$C$19</f>
        <v>2.2291759999999998</v>
      </c>
      <c r="O270" s="87">
        <f t="shared" si="30"/>
        <v>11101.430100571855</v>
      </c>
      <c r="P270" s="145">
        <f>Variables!$E$29</f>
        <v>48.483938529092256</v>
      </c>
      <c r="Q270" s="146">
        <f t="shared" si="31"/>
        <v>241452.92008398633</v>
      </c>
    </row>
    <row r="271" spans="1:17">
      <c r="A271" s="101">
        <v>33</v>
      </c>
      <c r="B271" s="132" t="s">
        <v>53</v>
      </c>
      <c r="C271" s="101">
        <v>2024</v>
      </c>
      <c r="D271" s="133">
        <f>Population!I34</f>
        <v>129904.34008617743</v>
      </c>
      <c r="E271" s="133" t="str">
        <f t="shared" si="32"/>
        <v>Medium</v>
      </c>
      <c r="F271" s="133"/>
      <c r="G271" s="134">
        <f>Variables!$C$3*POWER(SUM(1,Variables!$C$2/100),C271-2017)</f>
        <v>18477.269698315173</v>
      </c>
      <c r="H271" s="134">
        <f t="shared" si="27"/>
        <v>383.99611222916292</v>
      </c>
      <c r="I271" s="135">
        <f>VLOOKUP(B271,'Waste per capita'!$B$2:$F$48,4,FALSE)*(H271/Variables!$C$6)</f>
        <v>215.04202150295444</v>
      </c>
      <c r="J271" s="134">
        <f t="shared" si="28"/>
        <v>27934.891894138873</v>
      </c>
      <c r="K271" s="136">
        <f>Variables!$C$15</f>
        <v>1</v>
      </c>
      <c r="L271" s="137">
        <f t="shared" si="29"/>
        <v>27934.891894138873</v>
      </c>
      <c r="N271" s="138">
        <f>Variables!$E$30*Variables!$C$19</f>
        <v>2.2291759999999998</v>
      </c>
      <c r="O271" s="87">
        <f t="shared" si="30"/>
        <v>62271.790573008911</v>
      </c>
      <c r="P271" s="145">
        <f>Variables!$E$29</f>
        <v>48.483938529092256</v>
      </c>
      <c r="Q271" s="146">
        <f t="shared" si="31"/>
        <v>1354393.5814122667</v>
      </c>
    </row>
    <row r="272" spans="1:17">
      <c r="A272" s="101">
        <v>34</v>
      </c>
      <c r="B272" s="132" t="s">
        <v>54</v>
      </c>
      <c r="C272" s="101">
        <v>2024</v>
      </c>
      <c r="D272" s="133">
        <f>Population!I35</f>
        <v>115376.85288143551</v>
      </c>
      <c r="E272" s="133" t="str">
        <f t="shared" si="32"/>
        <v>Medium</v>
      </c>
      <c r="F272" s="133"/>
      <c r="G272" s="134">
        <f>Variables!$C$3*POWER(SUM(1,Variables!$C$2/100),C272-2017)</f>
        <v>18477.269698315173</v>
      </c>
      <c r="H272" s="134">
        <f t="shared" si="27"/>
        <v>383.99611222916292</v>
      </c>
      <c r="I272" s="135">
        <f>VLOOKUP(B272,'Waste per capita'!$B$2:$F$48,4,FALSE)*(H272/Variables!$C$6)</f>
        <v>149.52456530575535</v>
      </c>
      <c r="J272" s="134">
        <f t="shared" si="28"/>
        <v>17251.67377344273</v>
      </c>
      <c r="K272" s="136">
        <f>Variables!$C$15</f>
        <v>1</v>
      </c>
      <c r="L272" s="137">
        <f t="shared" si="29"/>
        <v>17251.67377344273</v>
      </c>
      <c r="N272" s="138">
        <f>Variables!$E$30*Variables!$C$19</f>
        <v>2.2291759999999998</v>
      </c>
      <c r="O272" s="87">
        <f t="shared" si="30"/>
        <v>38457.017135587965</v>
      </c>
      <c r="P272" s="145">
        <f>Variables!$E$29</f>
        <v>48.483938529092256</v>
      </c>
      <c r="Q272" s="146">
        <f t="shared" si="31"/>
        <v>836429.09075555031</v>
      </c>
    </row>
    <row r="273" spans="1:17">
      <c r="A273" s="101">
        <v>35</v>
      </c>
      <c r="B273" s="132" t="s">
        <v>55</v>
      </c>
      <c r="C273" s="101">
        <v>2024</v>
      </c>
      <c r="D273" s="133">
        <f>Population!I36</f>
        <v>526931.40233722201</v>
      </c>
      <c r="E273" s="133" t="str">
        <f t="shared" si="32"/>
        <v>Medium</v>
      </c>
      <c r="F273" s="133"/>
      <c r="G273" s="134">
        <f>Variables!$C$3*POWER(SUM(1,Variables!$C$2/100),C273-2017)</f>
        <v>18477.269698315173</v>
      </c>
      <c r="H273" s="134">
        <f t="shared" si="27"/>
        <v>383.99611222916292</v>
      </c>
      <c r="I273" s="135">
        <f>VLOOKUP(B273,'Waste per capita'!$B$2:$F$48,4,FALSE)*(H273/Variables!$C$6)</f>
        <v>149.52456530575535</v>
      </c>
      <c r="J273" s="134">
        <f t="shared" si="28"/>
        <v>78789.188880425194</v>
      </c>
      <c r="K273" s="136">
        <f>Variables!$C$15</f>
        <v>1</v>
      </c>
      <c r="L273" s="137">
        <f t="shared" si="29"/>
        <v>78789.188880425194</v>
      </c>
      <c r="N273" s="138">
        <f>Variables!$E$30*Variables!$C$19</f>
        <v>2.2291759999999998</v>
      </c>
      <c r="O273" s="87">
        <f t="shared" si="30"/>
        <v>175634.96891171069</v>
      </c>
      <c r="P273" s="145">
        <f>Variables!$E$29</f>
        <v>48.483938529092256</v>
      </c>
      <c r="Q273" s="146">
        <f t="shared" si="31"/>
        <v>3820010.1904355744</v>
      </c>
    </row>
    <row r="274" spans="1:17">
      <c r="A274" s="101">
        <v>36</v>
      </c>
      <c r="B274" s="132" t="s">
        <v>56</v>
      </c>
      <c r="C274" s="101">
        <v>2024</v>
      </c>
      <c r="D274" s="133">
        <f>Population!I37</f>
        <v>282594.94434965553</v>
      </c>
      <c r="E274" s="133" t="str">
        <f t="shared" si="32"/>
        <v>Medium</v>
      </c>
      <c r="F274" s="133"/>
      <c r="G274" s="134">
        <f>Variables!$C$3*POWER(SUM(1,Variables!$C$2/100),C274-2017)</f>
        <v>18477.269698315173</v>
      </c>
      <c r="H274" s="134">
        <f t="shared" si="27"/>
        <v>383.99611222916292</v>
      </c>
      <c r="I274" s="135">
        <f>VLOOKUP(B274,'Waste per capita'!$B$2:$F$48,4,FALSE)*(H274/Variables!$C$6)</f>
        <v>242.95610325509875</v>
      </c>
      <c r="J274" s="134">
        <f t="shared" si="28"/>
        <v>68658.166478783794</v>
      </c>
      <c r="K274" s="136">
        <f>Variables!$C$15</f>
        <v>1</v>
      </c>
      <c r="L274" s="137">
        <f t="shared" si="29"/>
        <v>68658.166478783794</v>
      </c>
      <c r="N274" s="138">
        <f>Variables!$E$30*Variables!$C$19</f>
        <v>2.2291759999999998</v>
      </c>
      <c r="O274" s="87">
        <f t="shared" si="30"/>
        <v>153051.13691850932</v>
      </c>
      <c r="P274" s="145">
        <f>Variables!$E$29</f>
        <v>48.483938529092256</v>
      </c>
      <c r="Q274" s="146">
        <f t="shared" si="31"/>
        <v>3328818.3230775362</v>
      </c>
    </row>
    <row r="275" spans="1:17">
      <c r="A275" s="101">
        <v>37</v>
      </c>
      <c r="B275" s="132" t="s">
        <v>57</v>
      </c>
      <c r="C275" s="101">
        <v>2024</v>
      </c>
      <c r="D275" s="133">
        <f>Population!I38</f>
        <v>131718.36246105825</v>
      </c>
      <c r="E275" s="133" t="str">
        <f t="shared" si="32"/>
        <v>Medium</v>
      </c>
      <c r="F275" s="133"/>
      <c r="G275" s="134">
        <f>Variables!$C$3*POWER(SUM(1,Variables!$C$2/100),C275-2017)</f>
        <v>18477.269698315173</v>
      </c>
      <c r="H275" s="134">
        <f t="shared" si="27"/>
        <v>383.99611222916292</v>
      </c>
      <c r="I275" s="135">
        <f>VLOOKUP(B275,'Waste per capita'!$B$2:$F$48,4,FALSE)*(H275/Variables!$C$6)</f>
        <v>149.52456530575535</v>
      </c>
      <c r="J275" s="134">
        <f t="shared" si="28"/>
        <v>19695.130889775657</v>
      </c>
      <c r="K275" s="136">
        <f>Variables!$C$15</f>
        <v>1</v>
      </c>
      <c r="L275" s="137">
        <f t="shared" si="29"/>
        <v>19695.130889775657</v>
      </c>
      <c r="N275" s="138">
        <f>Variables!$E$30*Variables!$C$19</f>
        <v>2.2291759999999998</v>
      </c>
      <c r="O275" s="87">
        <f t="shared" si="30"/>
        <v>43903.913096346536</v>
      </c>
      <c r="P275" s="145">
        <f>Variables!$E$29</f>
        <v>48.483938529092256</v>
      </c>
      <c r="Q275" s="146">
        <f t="shared" si="31"/>
        <v>954897.5153823091</v>
      </c>
    </row>
    <row r="276" spans="1:17">
      <c r="A276" s="101">
        <v>38</v>
      </c>
      <c r="B276" s="132" t="s">
        <v>58</v>
      </c>
      <c r="C276" s="101">
        <v>2024</v>
      </c>
      <c r="D276" s="133">
        <f>Population!I39</f>
        <v>38878.4686927445</v>
      </c>
      <c r="E276" s="133" t="str">
        <f t="shared" si="32"/>
        <v>Small</v>
      </c>
      <c r="F276" s="133"/>
      <c r="G276" s="134">
        <f>Variables!$C$3*POWER(SUM(1,Variables!$C$2/100),C276-2017)</f>
        <v>18477.269698315173</v>
      </c>
      <c r="H276" s="134">
        <f t="shared" si="27"/>
        <v>383.99611222916292</v>
      </c>
      <c r="I276" s="135">
        <f>VLOOKUP(B276,'Waste per capita'!$B$2:$F$48,4,FALSE)*(H276/Variables!$C$6)</f>
        <v>328.2038587832036</v>
      </c>
      <c r="J276" s="134">
        <f t="shared" si="28"/>
        <v>12760.063448540717</v>
      </c>
      <c r="K276" s="136">
        <f>Variables!$C$15</f>
        <v>1</v>
      </c>
      <c r="L276" s="137">
        <f t="shared" si="29"/>
        <v>12760.063448540717</v>
      </c>
      <c r="N276" s="138">
        <f>Variables!$E$30*Variables!$C$19</f>
        <v>2.2291759999999998</v>
      </c>
      <c r="O276" s="87">
        <f t="shared" si="30"/>
        <v>28444.4271979642</v>
      </c>
      <c r="P276" s="145">
        <f>Variables!$E$29</f>
        <v>48.483938529092256</v>
      </c>
      <c r="Q276" s="146">
        <f t="shared" si="31"/>
        <v>618658.13186636509</v>
      </c>
    </row>
    <row r="277" spans="1:17">
      <c r="A277" s="101">
        <v>39</v>
      </c>
      <c r="B277" s="132" t="s">
        <v>59</v>
      </c>
      <c r="C277" s="101">
        <v>2024</v>
      </c>
      <c r="D277" s="133">
        <f>Population!I40</f>
        <v>73389.724989302093</v>
      </c>
      <c r="E277" s="133" t="str">
        <f t="shared" si="32"/>
        <v>Small</v>
      </c>
      <c r="F277" s="133"/>
      <c r="G277" s="134">
        <f>Variables!$C$3*POWER(SUM(1,Variables!$C$2/100),C277-2017)</f>
        <v>18477.269698315173</v>
      </c>
      <c r="H277" s="134">
        <f t="shared" si="27"/>
        <v>383.99611222916292</v>
      </c>
      <c r="I277" s="135">
        <f>VLOOKUP(B277,'Waste per capita'!$B$2:$F$48,4,FALSE)*(H277/Variables!$C$6)</f>
        <v>164.36807311492987</v>
      </c>
      <c r="J277" s="134">
        <f t="shared" si="28"/>
        <v>12062.927682926202</v>
      </c>
      <c r="K277" s="136">
        <f>Variables!$C$15</f>
        <v>1</v>
      </c>
      <c r="L277" s="137">
        <f t="shared" si="29"/>
        <v>12062.927682926202</v>
      </c>
      <c r="N277" s="138">
        <f>Variables!$E$30*Variables!$C$19</f>
        <v>2.2291759999999998</v>
      </c>
      <c r="O277" s="87">
        <f t="shared" si="30"/>
        <v>26890.388880514696</v>
      </c>
      <c r="P277" s="145">
        <f>Variables!$E$29</f>
        <v>48.483938529092256</v>
      </c>
      <c r="Q277" s="146">
        <f t="shared" si="31"/>
        <v>584858.24425987923</v>
      </c>
    </row>
    <row r="278" spans="1:17">
      <c r="A278" s="101">
        <v>40</v>
      </c>
      <c r="B278" s="132" t="s">
        <v>60</v>
      </c>
      <c r="C278" s="101">
        <v>2024</v>
      </c>
      <c r="D278" s="133">
        <f>Population!I41</f>
        <v>3319.6937493298542</v>
      </c>
      <c r="E278" s="133" t="str">
        <f t="shared" si="32"/>
        <v>Small</v>
      </c>
      <c r="F278" s="133"/>
      <c r="G278" s="134">
        <f>Variables!$C$3*POWER(SUM(1,Variables!$C$2/100),C278-2017)</f>
        <v>18477.269698315173</v>
      </c>
      <c r="H278" s="134">
        <f t="shared" si="27"/>
        <v>383.99611222916292</v>
      </c>
      <c r="I278" s="135">
        <f>VLOOKUP(B278,'Waste per capita'!$B$2:$F$48,4,FALSE)*(H278/Variables!$C$6)</f>
        <v>170.49551105620966</v>
      </c>
      <c r="J278" s="134">
        <f t="shared" si="28"/>
        <v>565.99288234209826</v>
      </c>
      <c r="K278" s="136">
        <f>Variables!$C$15</f>
        <v>1</v>
      </c>
      <c r="L278" s="137">
        <f t="shared" si="29"/>
        <v>565.99288234209826</v>
      </c>
      <c r="N278" s="138">
        <f>Variables!$E$30*Variables!$C$19</f>
        <v>2.2291759999999998</v>
      </c>
      <c r="O278" s="87">
        <f t="shared" si="30"/>
        <v>1261.697749487829</v>
      </c>
      <c r="P278" s="145">
        <f>Variables!$E$29</f>
        <v>48.483938529092256</v>
      </c>
      <c r="Q278" s="146">
        <f t="shared" si="31"/>
        <v>27441.564115378038</v>
      </c>
    </row>
    <row r="279" spans="1:17">
      <c r="A279" s="101">
        <v>41</v>
      </c>
      <c r="B279" s="132" t="s">
        <v>61</v>
      </c>
      <c r="C279" s="101">
        <v>2024</v>
      </c>
      <c r="D279" s="133">
        <f>Population!I42</f>
        <v>57210.045012742848</v>
      </c>
      <c r="E279" s="133" t="str">
        <f t="shared" si="32"/>
        <v>Small</v>
      </c>
      <c r="F279" s="133"/>
      <c r="G279" s="134">
        <f>Variables!$C$3*POWER(SUM(1,Variables!$C$2/100),C279-2017)</f>
        <v>18477.269698315173</v>
      </c>
      <c r="H279" s="134">
        <f t="shared" si="27"/>
        <v>383.99611222916292</v>
      </c>
      <c r="I279" s="135">
        <f>VLOOKUP(B279,'Waste per capita'!$B$2:$F$48,4,FALSE)*(H279/Variables!$C$6)</f>
        <v>164.36807311492987</v>
      </c>
      <c r="J279" s="134">
        <f t="shared" si="28"/>
        <v>9403.5048615629457</v>
      </c>
      <c r="K279" s="136">
        <f>Variables!$C$15</f>
        <v>1</v>
      </c>
      <c r="L279" s="137">
        <f t="shared" si="29"/>
        <v>9403.5048615629457</v>
      </c>
      <c r="N279" s="138">
        <f>Variables!$E$30*Variables!$C$19</f>
        <v>2.2291759999999998</v>
      </c>
      <c r="O279" s="87">
        <f t="shared" si="30"/>
        <v>20962.067353279439</v>
      </c>
      <c r="P279" s="145">
        <f>Variables!$E$29</f>
        <v>48.483938529092256</v>
      </c>
      <c r="Q279" s="146">
        <f t="shared" si="31"/>
        <v>455918.95166603808</v>
      </c>
    </row>
    <row r="280" spans="1:17">
      <c r="A280" s="101">
        <v>42</v>
      </c>
      <c r="B280" s="139" t="s">
        <v>62</v>
      </c>
      <c r="C280" s="101">
        <v>2024</v>
      </c>
      <c r="D280" s="133">
        <f>Population!I43</f>
        <v>49774.630817932899</v>
      </c>
      <c r="E280" s="133" t="str">
        <f t="shared" si="32"/>
        <v>Small</v>
      </c>
      <c r="F280" s="133"/>
      <c r="G280" s="134">
        <f>Variables!$C$3*POWER(SUM(1,Variables!$C$2/100),C280-2017)</f>
        <v>18477.269698315173</v>
      </c>
      <c r="H280" s="134">
        <f t="shared" si="27"/>
        <v>383.99611222916292</v>
      </c>
      <c r="I280" s="135">
        <f>VLOOKUP(B280,'Waste per capita'!$B$2:$F$48,4,FALSE)*(H280/Variables!$C$6)</f>
        <v>164.36807311492987</v>
      </c>
      <c r="J280" s="134">
        <f t="shared" si="28"/>
        <v>8181.3601575506364</v>
      </c>
      <c r="K280" s="136">
        <f>Variables!$C$15</f>
        <v>1</v>
      </c>
      <c r="L280" s="137">
        <f t="shared" si="29"/>
        <v>8181.3601575506364</v>
      </c>
      <c r="N280" s="138">
        <f>Variables!$E$30*Variables!$C$19</f>
        <v>2.2291759999999998</v>
      </c>
      <c r="O280" s="87">
        <f t="shared" si="30"/>
        <v>18237.691710568095</v>
      </c>
      <c r="P280" s="145">
        <f>Variables!$E$29</f>
        <v>48.483938529092256</v>
      </c>
      <c r="Q280" s="146">
        <f t="shared" si="31"/>
        <v>396664.56296304957</v>
      </c>
    </row>
    <row r="281" spans="1:17">
      <c r="A281" s="101">
        <v>43</v>
      </c>
      <c r="B281" s="139" t="s">
        <v>63</v>
      </c>
      <c r="C281" s="101">
        <v>2024</v>
      </c>
      <c r="D281" s="133">
        <f>Population!I44</f>
        <v>26283.09573538923</v>
      </c>
      <c r="E281" s="133" t="str">
        <f t="shared" si="32"/>
        <v>Small</v>
      </c>
      <c r="F281" s="133"/>
      <c r="G281" s="134">
        <f>Variables!$C$3*POWER(SUM(1,Variables!$C$2/100),C281-2017)</f>
        <v>18477.269698315173</v>
      </c>
      <c r="H281" s="134">
        <f t="shared" si="27"/>
        <v>383.99611222916292</v>
      </c>
      <c r="I281" s="135">
        <f>VLOOKUP(B281,'Waste per capita'!$B$2:$F$48,4,FALSE)*(H281/Variables!$C$6)</f>
        <v>164.36807311492987</v>
      </c>
      <c r="J281" s="134">
        <f t="shared" si="28"/>
        <v>4320.1018015211584</v>
      </c>
      <c r="K281" s="136">
        <f>Variables!$C$15</f>
        <v>1</v>
      </c>
      <c r="L281" s="137">
        <f t="shared" si="29"/>
        <v>4320.1018015211584</v>
      </c>
      <c r="N281" s="138">
        <f>Variables!$E$30*Variables!$C$19</f>
        <v>2.2291759999999998</v>
      </c>
      <c r="O281" s="87">
        <f t="shared" si="30"/>
        <v>9630.267253507729</v>
      </c>
      <c r="P281" s="145">
        <f>Variables!$E$29</f>
        <v>48.483938529092256</v>
      </c>
      <c r="Q281" s="146">
        <f t="shared" si="31"/>
        <v>209455.55018437255</v>
      </c>
    </row>
    <row r="282" spans="1:17">
      <c r="A282" s="101">
        <v>44</v>
      </c>
      <c r="B282" s="85" t="s">
        <v>108</v>
      </c>
      <c r="C282" s="101">
        <v>2024</v>
      </c>
      <c r="D282" s="133">
        <f>Population!I45</f>
        <v>72507.316275300385</v>
      </c>
      <c r="E282" s="133" t="str">
        <f t="shared" si="32"/>
        <v>Small</v>
      </c>
      <c r="F282" s="133"/>
      <c r="G282" s="134">
        <f>Variables!$C$3*POWER(SUM(1,Variables!$C$2/100),C282-2017)</f>
        <v>18477.269698315173</v>
      </c>
      <c r="H282" s="134">
        <f t="shared" si="27"/>
        <v>383.99611222916292</v>
      </c>
      <c r="I282" s="135">
        <f>VLOOKUP(B282,'Waste per capita'!$B$2:$F$48,4,FALSE)*(H282/Variables!$C$6)</f>
        <v>164.36807311492987</v>
      </c>
      <c r="J282" s="134">
        <f t="shared" si="28"/>
        <v>11917.887862905918</v>
      </c>
      <c r="K282" s="136">
        <f>Variables!$C$15</f>
        <v>1</v>
      </c>
      <c r="L282" s="137">
        <f t="shared" si="29"/>
        <v>11917.887862905918</v>
      </c>
      <c r="N282" s="138">
        <f>Variables!$E$30*Variables!$C$19</f>
        <v>2.2291759999999998</v>
      </c>
      <c r="O282" s="87">
        <f t="shared" si="30"/>
        <v>26567.069594681161</v>
      </c>
      <c r="P282" s="145">
        <f>Variables!$E$29</f>
        <v>48.483938529092256</v>
      </c>
      <c r="Q282" s="146">
        <f t="shared" si="31"/>
        <v>577826.14254174521</v>
      </c>
    </row>
    <row r="283" spans="1:17">
      <c r="A283" s="101">
        <v>45</v>
      </c>
      <c r="B283" s="139" t="s">
        <v>64</v>
      </c>
      <c r="C283" s="101">
        <v>2024</v>
      </c>
      <c r="D283" s="133">
        <f>Population!I46</f>
        <v>25822.75612126938</v>
      </c>
      <c r="E283" s="133" t="str">
        <f t="shared" si="32"/>
        <v>Small</v>
      </c>
      <c r="F283" s="133"/>
      <c r="G283" s="134">
        <f>Variables!$C$3*POWER(SUM(1,Variables!$C$2/100),C283-2017)</f>
        <v>18477.269698315173</v>
      </c>
      <c r="H283" s="134">
        <f t="shared" si="27"/>
        <v>383.99611222916292</v>
      </c>
      <c r="I283" s="135">
        <f>VLOOKUP(B283,'Waste per capita'!$B$2:$F$48,4,FALSE)*(H283/Variables!$C$6)</f>
        <v>164.36807311492987</v>
      </c>
      <c r="J283" s="134">
        <f t="shared" si="28"/>
        <v>4244.4366661698086</v>
      </c>
      <c r="K283" s="136">
        <f>Variables!$C$15</f>
        <v>1</v>
      </c>
      <c r="L283" s="137">
        <f t="shared" si="29"/>
        <v>4244.4366661698086</v>
      </c>
      <c r="N283" s="138">
        <f>Variables!$E$30*Variables!$C$19</f>
        <v>2.2291759999999998</v>
      </c>
      <c r="O283" s="87">
        <f t="shared" si="30"/>
        <v>9461.5963497457487</v>
      </c>
      <c r="P283" s="145">
        <f>Variables!$E$29</f>
        <v>48.483938529092256</v>
      </c>
      <c r="Q283" s="146">
        <f t="shared" si="31"/>
        <v>205787.00641320227</v>
      </c>
    </row>
    <row r="284" spans="1:17">
      <c r="A284" s="101">
        <v>46</v>
      </c>
      <c r="B284" s="139" t="s">
        <v>65</v>
      </c>
      <c r="C284" s="101">
        <v>2024</v>
      </c>
      <c r="D284" s="133">
        <f>Population!I47</f>
        <v>33003.398035580693</v>
      </c>
      <c r="E284" s="133" t="str">
        <f t="shared" si="32"/>
        <v>Small</v>
      </c>
      <c r="F284" s="133"/>
      <c r="G284" s="134">
        <f>Variables!$C$3*POWER(SUM(1,Variables!$C$2/100),C284-2017)</f>
        <v>18477.269698315173</v>
      </c>
      <c r="H284" s="134">
        <f t="shared" si="27"/>
        <v>383.99611222916292</v>
      </c>
      <c r="I284" s="135">
        <f>VLOOKUP(B284,'Waste per capita'!$B$2:$F$48,4,FALSE)*(H284/Variables!$C$6)</f>
        <v>181.82181693576851</v>
      </c>
      <c r="J284" s="134">
        <f t="shared" si="28"/>
        <v>6000.7377958836551</v>
      </c>
      <c r="K284" s="136">
        <f>Variables!$C$15</f>
        <v>1</v>
      </c>
      <c r="L284" s="137">
        <f t="shared" si="29"/>
        <v>6000.7377958836551</v>
      </c>
      <c r="N284" s="138">
        <f>Variables!$E$30*Variables!$C$19</f>
        <v>2.2291759999999998</v>
      </c>
      <c r="O284" s="87">
        <f t="shared" si="30"/>
        <v>13376.700676876742</v>
      </c>
      <c r="P284" s="145">
        <f>Variables!$E$29</f>
        <v>48.483938529092256</v>
      </c>
      <c r="Q284" s="146">
        <f t="shared" si="31"/>
        <v>290939.40242482367</v>
      </c>
    </row>
    <row r="285" spans="1:17">
      <c r="A285" s="101">
        <v>47</v>
      </c>
      <c r="B285" s="85" t="s">
        <v>107</v>
      </c>
      <c r="C285" s="101">
        <v>2024</v>
      </c>
      <c r="D285" s="133">
        <f>Population!I48</f>
        <v>73764.776028834414</v>
      </c>
      <c r="E285" s="133" t="str">
        <f t="shared" si="32"/>
        <v>Small</v>
      </c>
      <c r="F285" s="133"/>
      <c r="G285" s="134">
        <f>Variables!$C$3*POWER(SUM(1,Variables!$C$2/100),C285-2017)</f>
        <v>18477.269698315173</v>
      </c>
      <c r="H285" s="134">
        <f t="shared" si="27"/>
        <v>383.99611222916292</v>
      </c>
      <c r="I285" s="135">
        <f>VLOOKUP(B285,'Waste per capita'!$B$2:$F$48,4,FALSE)*(H285/Variables!$C$6)</f>
        <v>164.36807311492987</v>
      </c>
      <c r="J285" s="134">
        <f t="shared" si="28"/>
        <v>12124.574099613881</v>
      </c>
      <c r="K285" s="136">
        <f>Variables!$C$15</f>
        <v>1</v>
      </c>
      <c r="L285" s="137">
        <f t="shared" si="29"/>
        <v>12124.574099613881</v>
      </c>
      <c r="N285" s="138">
        <f>Variables!$E$30*Variables!$C$19</f>
        <v>2.2291759999999998</v>
      </c>
      <c r="O285" s="87">
        <f t="shared" si="30"/>
        <v>27027.80959308087</v>
      </c>
      <c r="P285" s="145">
        <f>Variables!$E$29</f>
        <v>48.483938529092256</v>
      </c>
      <c r="Q285" s="146">
        <f t="shared" si="31"/>
        <v>587847.10533710348</v>
      </c>
    </row>
    <row r="286" spans="1:17">
      <c r="A286" s="101">
        <v>1</v>
      </c>
      <c r="B286" s="132" t="s">
        <v>21</v>
      </c>
      <c r="C286" s="101">
        <v>2025</v>
      </c>
      <c r="D286" s="133">
        <f>Population!J2</f>
        <v>7970316.8368118266</v>
      </c>
      <c r="E286" s="133" t="str">
        <f t="shared" si="32"/>
        <v>Large</v>
      </c>
      <c r="F286" s="133"/>
      <c r="G286" s="134">
        <f>Variables!$C$3*POWER(SUM(1,Variables!$C$2/100),C286-2017)</f>
        <v>19126.930500907933</v>
      </c>
      <c r="H286" s="134">
        <f t="shared" si="27"/>
        <v>389.57846470099548</v>
      </c>
      <c r="I286" s="135">
        <f>VLOOKUP(B286,'Waste per capita'!$B$2:$F$48,4,FALSE)*(H286/Variables!$C$6)</f>
        <v>346.66659821347116</v>
      </c>
      <c r="J286" s="134">
        <f t="shared" si="28"/>
        <v>2763042.6245011101</v>
      </c>
      <c r="K286" s="136">
        <f>Variables!$C$15</f>
        <v>1</v>
      </c>
      <c r="L286" s="137">
        <f t="shared" si="29"/>
        <v>2763042.6245011101</v>
      </c>
      <c r="N286" s="138">
        <f>Variables!$E$30*Variables!$C$19</f>
        <v>2.2291759999999998</v>
      </c>
      <c r="O286" s="87">
        <f t="shared" si="30"/>
        <v>6159308.305514886</v>
      </c>
      <c r="P286" s="145">
        <f>Variables!$E$29</f>
        <v>48.483938529092256</v>
      </c>
      <c r="Q286" s="146">
        <f t="shared" si="31"/>
        <v>133963188.75957356</v>
      </c>
    </row>
    <row r="287" spans="1:17">
      <c r="A287" s="101">
        <v>2</v>
      </c>
      <c r="B287" s="132" t="s">
        <v>22</v>
      </c>
      <c r="C287" s="101">
        <v>2025</v>
      </c>
      <c r="D287" s="133">
        <f>Population!J3</f>
        <v>2632918.3822242776</v>
      </c>
      <c r="E287" s="133" t="str">
        <f t="shared" si="32"/>
        <v>Large</v>
      </c>
      <c r="F287" s="133"/>
      <c r="G287" s="134">
        <f>Variables!$C$3*POWER(SUM(1,Variables!$C$2/100),C287-2017)</f>
        <v>19126.930500907933</v>
      </c>
      <c r="H287" s="134">
        <f t="shared" si="27"/>
        <v>389.57846470099548</v>
      </c>
      <c r="I287" s="135">
        <f>VLOOKUP(B287,'Waste per capita'!$B$2:$F$48,4,FALSE)*(H287/Variables!$C$6)</f>
        <v>155.3345613140286</v>
      </c>
      <c r="J287" s="134">
        <f t="shared" si="28"/>
        <v>408983.22187845001</v>
      </c>
      <c r="K287" s="136">
        <f>Variables!$C$15</f>
        <v>1</v>
      </c>
      <c r="L287" s="137">
        <f t="shared" si="29"/>
        <v>408983.22187845001</v>
      </c>
      <c r="N287" s="138">
        <f>Variables!$E$30*Variables!$C$19</f>
        <v>2.2291759999999998</v>
      </c>
      <c r="O287" s="87">
        <f t="shared" si="30"/>
        <v>911695.58261411567</v>
      </c>
      <c r="P287" s="145">
        <f>Variables!$E$29</f>
        <v>48.483938529092256</v>
      </c>
      <c r="Q287" s="146">
        <f t="shared" si="31"/>
        <v>19829117.38898487</v>
      </c>
    </row>
    <row r="288" spans="1:17">
      <c r="A288" s="101">
        <v>3</v>
      </c>
      <c r="B288" s="132" t="s">
        <v>23</v>
      </c>
      <c r="C288" s="101">
        <v>2025</v>
      </c>
      <c r="D288" s="133">
        <f>Population!J4</f>
        <v>2023101.8865363533</v>
      </c>
      <c r="E288" s="133" t="str">
        <f t="shared" si="32"/>
        <v>Large</v>
      </c>
      <c r="F288" s="133"/>
      <c r="G288" s="134">
        <f>Variables!$C$3*POWER(SUM(1,Variables!$C$2/100),C288-2017)</f>
        <v>19126.930500907933</v>
      </c>
      <c r="H288" s="134">
        <f t="shared" si="27"/>
        <v>389.57846470099548</v>
      </c>
      <c r="I288" s="135">
        <f>VLOOKUP(B288,'Waste per capita'!$B$2:$F$48,4,FALSE)*(H288/Variables!$C$6)</f>
        <v>115.50081172511679</v>
      </c>
      <c r="J288" s="134">
        <f t="shared" si="28"/>
        <v>233669.91009756393</v>
      </c>
      <c r="K288" s="136">
        <f>Variables!$C$15</f>
        <v>1</v>
      </c>
      <c r="L288" s="137">
        <f t="shared" si="29"/>
        <v>233669.91009756393</v>
      </c>
      <c r="N288" s="138">
        <f>Variables!$E$30*Variables!$C$19</f>
        <v>2.2291759999999998</v>
      </c>
      <c r="O288" s="87">
        <f t="shared" si="30"/>
        <v>520891.35551164713</v>
      </c>
      <c r="P288" s="145">
        <f>Variables!$E$29</f>
        <v>48.483938529092256</v>
      </c>
      <c r="Q288" s="146">
        <f t="shared" si="31"/>
        <v>11329237.557268804</v>
      </c>
    </row>
    <row r="289" spans="1:17">
      <c r="A289" s="101">
        <v>4</v>
      </c>
      <c r="B289" s="132" t="s">
        <v>24</v>
      </c>
      <c r="C289" s="101">
        <v>2025</v>
      </c>
      <c r="D289" s="133">
        <f>Population!J5</f>
        <v>1243140.6164760215</v>
      </c>
      <c r="E289" s="133" t="str">
        <f t="shared" si="32"/>
        <v>Large</v>
      </c>
      <c r="F289" s="133"/>
      <c r="G289" s="134">
        <f>Variables!$C$3*POWER(SUM(1,Variables!$C$2/100),C289-2017)</f>
        <v>19126.930500907933</v>
      </c>
      <c r="H289" s="134">
        <f t="shared" si="27"/>
        <v>389.57846470099548</v>
      </c>
      <c r="I289" s="135">
        <f>VLOOKUP(B289,'Waste per capita'!$B$2:$F$48,4,FALSE)*(H289/Variables!$C$6)</f>
        <v>397.8361292754023</v>
      </c>
      <c r="J289" s="134">
        <f t="shared" si="28"/>
        <v>494566.25100385782</v>
      </c>
      <c r="K289" s="136">
        <f>Variables!$C$15</f>
        <v>1</v>
      </c>
      <c r="L289" s="137">
        <f t="shared" si="29"/>
        <v>494566.25100385782</v>
      </c>
      <c r="N289" s="138">
        <f>Variables!$E$30*Variables!$C$19</f>
        <v>2.2291759999999998</v>
      </c>
      <c r="O289" s="87">
        <f t="shared" si="30"/>
        <v>1102475.2171477757</v>
      </c>
      <c r="P289" s="145">
        <f>Variables!$E$29</f>
        <v>48.483938529092256</v>
      </c>
      <c r="Q289" s="146">
        <f t="shared" si="31"/>
        <v>23978519.712234654</v>
      </c>
    </row>
    <row r="290" spans="1:17">
      <c r="A290" s="101">
        <v>5</v>
      </c>
      <c r="B290" s="132" t="s">
        <v>25</v>
      </c>
      <c r="C290" s="101">
        <v>2025</v>
      </c>
      <c r="D290" s="133">
        <f>Population!J6</f>
        <v>586947.03141267039</v>
      </c>
      <c r="E290" s="133" t="str">
        <f t="shared" si="32"/>
        <v>Medium</v>
      </c>
      <c r="F290" s="133"/>
      <c r="G290" s="134">
        <f>Variables!$C$3*POWER(SUM(1,Variables!$C$2/100),C290-2017)</f>
        <v>19126.930500907933</v>
      </c>
      <c r="H290" s="134">
        <f t="shared" si="27"/>
        <v>389.57846470099548</v>
      </c>
      <c r="I290" s="135">
        <f>VLOOKUP(B290,'Waste per capita'!$B$2:$F$48,4,FALSE)*(H290/Variables!$C$6)</f>
        <v>151.69828217462862</v>
      </c>
      <c r="J290" s="134">
        <f t="shared" si="28"/>
        <v>89038.856392799891</v>
      </c>
      <c r="K290" s="136">
        <f>Variables!$C$15</f>
        <v>1</v>
      </c>
      <c r="L290" s="137">
        <f t="shared" si="29"/>
        <v>89038.856392799891</v>
      </c>
      <c r="N290" s="138">
        <f>Variables!$E$30*Variables!$C$19</f>
        <v>2.2291759999999998</v>
      </c>
      <c r="O290" s="87">
        <f t="shared" si="30"/>
        <v>198483.28173827607</v>
      </c>
      <c r="P290" s="145">
        <f>Variables!$E$29</f>
        <v>48.483938529092256</v>
      </c>
      <c r="Q290" s="146">
        <f t="shared" si="31"/>
        <v>4316954.4400491826</v>
      </c>
    </row>
    <row r="291" spans="1:17">
      <c r="A291" s="101">
        <v>6</v>
      </c>
      <c r="B291" s="132" t="s">
        <v>26</v>
      </c>
      <c r="C291" s="101">
        <v>2025</v>
      </c>
      <c r="D291" s="133">
        <f>Population!J7</f>
        <v>985482.35103148315</v>
      </c>
      <c r="E291" s="133" t="str">
        <f t="shared" si="32"/>
        <v>Medium</v>
      </c>
      <c r="F291" s="133"/>
      <c r="G291" s="134">
        <f>Variables!$C$3*POWER(SUM(1,Variables!$C$2/100),C291-2017)</f>
        <v>19126.930500907933</v>
      </c>
      <c r="H291" s="134">
        <f t="shared" si="27"/>
        <v>389.57846470099548</v>
      </c>
      <c r="I291" s="135">
        <f>VLOOKUP(B291,'Waste per capita'!$B$2:$F$48,4,FALSE)*(H291/Variables!$C$6)</f>
        <v>151.69828217462862</v>
      </c>
      <c r="J291" s="134">
        <f t="shared" si="28"/>
        <v>149495.97976489033</v>
      </c>
      <c r="K291" s="136">
        <f>Variables!$C$15</f>
        <v>1</v>
      </c>
      <c r="L291" s="137">
        <f t="shared" si="29"/>
        <v>149495.97976489033</v>
      </c>
      <c r="N291" s="138">
        <f>Variables!$E$30*Variables!$C$19</f>
        <v>2.2291759999999998</v>
      </c>
      <c r="O291" s="87">
        <f t="shared" si="30"/>
        <v>333252.85018837918</v>
      </c>
      <c r="P291" s="145">
        <f>Variables!$E$29</f>
        <v>48.483938529092256</v>
      </c>
      <c r="Q291" s="146">
        <f t="shared" si="31"/>
        <v>7248153.8932673624</v>
      </c>
    </row>
    <row r="292" spans="1:17">
      <c r="A292" s="101">
        <v>7</v>
      </c>
      <c r="B292" s="132" t="s">
        <v>27</v>
      </c>
      <c r="C292" s="101">
        <v>2025</v>
      </c>
      <c r="D292" s="133">
        <f>Population!J8</f>
        <v>698551.92600916035</v>
      </c>
      <c r="E292" s="133" t="str">
        <f t="shared" si="32"/>
        <v>Medium</v>
      </c>
      <c r="F292" s="133"/>
      <c r="G292" s="134">
        <f>Variables!$C$3*POWER(SUM(1,Variables!$C$2/100),C292-2017)</f>
        <v>19126.930500907933</v>
      </c>
      <c r="H292" s="134">
        <f t="shared" si="27"/>
        <v>389.57846470099548</v>
      </c>
      <c r="I292" s="135">
        <f>VLOOKUP(B292,'Waste per capita'!$B$2:$F$48,4,FALSE)*(H292/Variables!$C$6)</f>
        <v>151.69828217462862</v>
      </c>
      <c r="J292" s="134">
        <f t="shared" si="28"/>
        <v>105969.12718536789</v>
      </c>
      <c r="K292" s="136">
        <f>Variables!$C$15</f>
        <v>1</v>
      </c>
      <c r="L292" s="137">
        <f t="shared" si="29"/>
        <v>105969.12718536789</v>
      </c>
      <c r="N292" s="138">
        <f>Variables!$E$30*Variables!$C$19</f>
        <v>2.2291759999999998</v>
      </c>
      <c r="O292" s="87">
        <f t="shared" si="30"/>
        <v>236223.83506256965</v>
      </c>
      <c r="P292" s="145">
        <f>Variables!$E$29</f>
        <v>48.483938529092256</v>
      </c>
      <c r="Q292" s="146">
        <f t="shared" si="31"/>
        <v>5137800.6484369356</v>
      </c>
    </row>
    <row r="293" spans="1:17">
      <c r="A293" s="101">
        <v>8</v>
      </c>
      <c r="B293" s="132" t="s">
        <v>28</v>
      </c>
      <c r="C293" s="101">
        <v>2025</v>
      </c>
      <c r="D293" s="133">
        <f>Population!J9</f>
        <v>454670.16546847182</v>
      </c>
      <c r="E293" s="133" t="str">
        <f t="shared" si="32"/>
        <v>Medium</v>
      </c>
      <c r="F293" s="133"/>
      <c r="G293" s="134">
        <f>Variables!$C$3*POWER(SUM(1,Variables!$C$2/100),C293-2017)</f>
        <v>19126.930500907933</v>
      </c>
      <c r="H293" s="134">
        <f t="shared" si="27"/>
        <v>389.57846470099548</v>
      </c>
      <c r="I293" s="135">
        <f>VLOOKUP(B293,'Waste per capita'!$B$2:$F$48,4,FALSE)*(H293/Variables!$C$6)</f>
        <v>151.69828217462862</v>
      </c>
      <c r="J293" s="134">
        <f t="shared" si="28"/>
        <v>68972.683057621325</v>
      </c>
      <c r="K293" s="136">
        <f>Variables!$C$15</f>
        <v>1</v>
      </c>
      <c r="L293" s="137">
        <f t="shared" si="29"/>
        <v>68972.683057621325</v>
      </c>
      <c r="N293" s="138">
        <f>Variables!$E$30*Variables!$C$19</f>
        <v>2.2291759999999998</v>
      </c>
      <c r="O293" s="87">
        <f t="shared" si="30"/>
        <v>153752.24972765608</v>
      </c>
      <c r="P293" s="145">
        <f>Variables!$E$29</f>
        <v>48.483938529092256</v>
      </c>
      <c r="Q293" s="146">
        <f t="shared" si="31"/>
        <v>3344067.3255522754</v>
      </c>
    </row>
    <row r="294" spans="1:17">
      <c r="A294" s="101">
        <v>9</v>
      </c>
      <c r="B294" s="132" t="s">
        <v>29</v>
      </c>
      <c r="C294" s="101">
        <v>2025</v>
      </c>
      <c r="D294" s="133">
        <f>Population!J10</f>
        <v>532562.4109906574</v>
      </c>
      <c r="E294" s="133" t="str">
        <f t="shared" si="32"/>
        <v>Medium</v>
      </c>
      <c r="F294" s="133"/>
      <c r="G294" s="134">
        <f>Variables!$C$3*POWER(SUM(1,Variables!$C$2/100),C294-2017)</f>
        <v>19126.930500907933</v>
      </c>
      <c r="H294" s="134">
        <f t="shared" si="27"/>
        <v>389.57846470099548</v>
      </c>
      <c r="I294" s="135">
        <f>VLOOKUP(B294,'Waste per capita'!$B$2:$F$48,4,FALSE)*(H294/Variables!$C$6)</f>
        <v>151.69828217462862</v>
      </c>
      <c r="J294" s="134">
        <f t="shared" si="28"/>
        <v>80788.802898061273</v>
      </c>
      <c r="K294" s="136">
        <f>Variables!$C$15</f>
        <v>1</v>
      </c>
      <c r="L294" s="137">
        <f t="shared" si="29"/>
        <v>80788.802898061273</v>
      </c>
      <c r="N294" s="138">
        <f>Variables!$E$30*Variables!$C$19</f>
        <v>2.2291759999999998</v>
      </c>
      <c r="O294" s="87">
        <f t="shared" si="30"/>
        <v>180092.46048908861</v>
      </c>
      <c r="P294" s="145">
        <f>Variables!$E$29</f>
        <v>48.483938529092256</v>
      </c>
      <c r="Q294" s="146">
        <f t="shared" si="31"/>
        <v>3916959.3535485533</v>
      </c>
    </row>
    <row r="295" spans="1:17">
      <c r="A295" s="101">
        <v>10</v>
      </c>
      <c r="B295" s="132" t="s">
        <v>30</v>
      </c>
      <c r="C295" s="101">
        <v>2025</v>
      </c>
      <c r="D295" s="133">
        <f>Population!J11</f>
        <v>555683.81006114022</v>
      </c>
      <c r="E295" s="133" t="str">
        <f t="shared" si="32"/>
        <v>Medium</v>
      </c>
      <c r="F295" s="133"/>
      <c r="G295" s="134">
        <f>Variables!$C$3*POWER(SUM(1,Variables!$C$2/100),C295-2017)</f>
        <v>19126.930500907933</v>
      </c>
      <c r="H295" s="134">
        <f t="shared" si="27"/>
        <v>389.57846470099548</v>
      </c>
      <c r="I295" s="135">
        <f>VLOOKUP(B295,'Waste per capita'!$B$2:$F$48,4,FALSE)*(H295/Variables!$C$6)</f>
        <v>151.69828217462862</v>
      </c>
      <c r="J295" s="134">
        <f t="shared" si="28"/>
        <v>84296.279418527585</v>
      </c>
      <c r="K295" s="136">
        <f>Variables!$C$15</f>
        <v>1</v>
      </c>
      <c r="L295" s="137">
        <f t="shared" si="29"/>
        <v>84296.279418527585</v>
      </c>
      <c r="N295" s="138">
        <f>Variables!$E$30*Variables!$C$19</f>
        <v>2.2291759999999998</v>
      </c>
      <c r="O295" s="87">
        <f t="shared" si="30"/>
        <v>187911.24296907563</v>
      </c>
      <c r="P295" s="145">
        <f>Variables!$E$29</f>
        <v>48.483938529092256</v>
      </c>
      <c r="Q295" s="146">
        <f t="shared" si="31"/>
        <v>4087015.6295590764</v>
      </c>
    </row>
    <row r="296" spans="1:17">
      <c r="A296" s="101">
        <v>11</v>
      </c>
      <c r="B296" s="132" t="s">
        <v>31</v>
      </c>
      <c r="C296" s="101">
        <v>2025</v>
      </c>
      <c r="D296" s="133">
        <f>Population!J12</f>
        <v>391027.21878303221</v>
      </c>
      <c r="E296" s="133" t="str">
        <f t="shared" si="32"/>
        <v>Medium</v>
      </c>
      <c r="F296" s="133"/>
      <c r="G296" s="134">
        <f>Variables!$C$3*POWER(SUM(1,Variables!$C$2/100),C296-2017)</f>
        <v>19126.930500907933</v>
      </c>
      <c r="H296" s="134">
        <f t="shared" si="27"/>
        <v>389.57846470099548</v>
      </c>
      <c r="I296" s="135">
        <f>VLOOKUP(B296,'Waste per capita'!$B$2:$F$48,4,FALSE)*(H296/Variables!$C$6)</f>
        <v>151.69828217462862</v>
      </c>
      <c r="J296" s="134">
        <f t="shared" si="28"/>
        <v>59318.157372908659</v>
      </c>
      <c r="K296" s="136">
        <f>Variables!$C$15</f>
        <v>1</v>
      </c>
      <c r="L296" s="137">
        <f t="shared" si="29"/>
        <v>59318.157372908659</v>
      </c>
      <c r="N296" s="138">
        <f>Variables!$E$30*Variables!$C$19</f>
        <v>2.2291759999999998</v>
      </c>
      <c r="O296" s="87">
        <f t="shared" si="30"/>
        <v>132230.61277991103</v>
      </c>
      <c r="P296" s="145">
        <f>Variables!$E$29</f>
        <v>48.483938529092256</v>
      </c>
      <c r="Q296" s="146">
        <f t="shared" si="31"/>
        <v>2875977.8957271241</v>
      </c>
    </row>
    <row r="297" spans="1:17">
      <c r="A297" s="101">
        <v>12</v>
      </c>
      <c r="B297" s="132" t="s">
        <v>32</v>
      </c>
      <c r="C297" s="101">
        <v>2025</v>
      </c>
      <c r="D297" s="133">
        <f>Population!J13</f>
        <v>444421.85754273681</v>
      </c>
      <c r="E297" s="133" t="str">
        <f t="shared" si="32"/>
        <v>Medium</v>
      </c>
      <c r="F297" s="133"/>
      <c r="G297" s="134">
        <f>Variables!$C$3*POWER(SUM(1,Variables!$C$2/100),C297-2017)</f>
        <v>19126.930500907933</v>
      </c>
      <c r="H297" s="134">
        <f t="shared" si="27"/>
        <v>389.57846470099548</v>
      </c>
      <c r="I297" s="135">
        <f>VLOOKUP(B297,'Waste per capita'!$B$2:$F$48,4,FALSE)*(H297/Variables!$C$6)</f>
        <v>151.69828217462862</v>
      </c>
      <c r="J297" s="134">
        <f t="shared" si="28"/>
        <v>67418.032350090682</v>
      </c>
      <c r="K297" s="136">
        <f>Variables!$C$15</f>
        <v>1</v>
      </c>
      <c r="L297" s="137">
        <f t="shared" si="29"/>
        <v>67418.032350090682</v>
      </c>
      <c r="N297" s="138">
        <f>Variables!$E$30*Variables!$C$19</f>
        <v>2.2291759999999998</v>
      </c>
      <c r="O297" s="87">
        <f t="shared" si="30"/>
        <v>150286.65968204572</v>
      </c>
      <c r="P297" s="145">
        <f>Variables!$E$29</f>
        <v>48.483938529092256</v>
      </c>
      <c r="Q297" s="146">
        <f t="shared" si="31"/>
        <v>3268691.7362141497</v>
      </c>
    </row>
    <row r="298" spans="1:17">
      <c r="A298" s="101">
        <v>13</v>
      </c>
      <c r="B298" s="132" t="s">
        <v>33</v>
      </c>
      <c r="C298" s="101">
        <v>2025</v>
      </c>
      <c r="D298" s="133">
        <f>Population!J14</f>
        <v>500775.34284023754</v>
      </c>
      <c r="E298" s="133" t="str">
        <f t="shared" si="32"/>
        <v>Medium</v>
      </c>
      <c r="F298" s="133"/>
      <c r="G298" s="134">
        <f>Variables!$C$3*POWER(SUM(1,Variables!$C$2/100),C298-2017)</f>
        <v>19126.930500907933</v>
      </c>
      <c r="H298" s="134">
        <f t="shared" si="27"/>
        <v>389.57846470099548</v>
      </c>
      <c r="I298" s="135">
        <f>VLOOKUP(B298,'Waste per capita'!$B$2:$F$48,4,FALSE)*(H298/Variables!$C$6)</f>
        <v>151.69828217462862</v>
      </c>
      <c r="J298" s="134">
        <f t="shared" si="28"/>
        <v>75966.759264274748</v>
      </c>
      <c r="K298" s="136">
        <f>Variables!$C$15</f>
        <v>1</v>
      </c>
      <c r="L298" s="137">
        <f t="shared" si="29"/>
        <v>75966.759264274748</v>
      </c>
      <c r="N298" s="138">
        <f>Variables!$E$30*Variables!$C$19</f>
        <v>2.2291759999999998</v>
      </c>
      <c r="O298" s="87">
        <f t="shared" si="30"/>
        <v>169343.2765496989</v>
      </c>
      <c r="P298" s="145">
        <f>Variables!$E$29</f>
        <v>48.483938529092256</v>
      </c>
      <c r="Q298" s="146">
        <f t="shared" si="31"/>
        <v>3683167.6864234465</v>
      </c>
    </row>
    <row r="299" spans="1:17">
      <c r="A299" s="101">
        <v>14</v>
      </c>
      <c r="B299" s="132" t="s">
        <v>34</v>
      </c>
      <c r="C299" s="101">
        <v>2025</v>
      </c>
      <c r="D299" s="133">
        <f>Population!J15</f>
        <v>349075.08107534499</v>
      </c>
      <c r="E299" s="133" t="str">
        <f t="shared" si="32"/>
        <v>Medium</v>
      </c>
      <c r="F299" s="133"/>
      <c r="G299" s="134">
        <f>Variables!$C$3*POWER(SUM(1,Variables!$C$2/100),C299-2017)</f>
        <v>19126.930500907933</v>
      </c>
      <c r="H299" s="134">
        <f t="shared" si="27"/>
        <v>389.57846470099548</v>
      </c>
      <c r="I299" s="135">
        <f>VLOOKUP(B299,'Waste per capita'!$B$2:$F$48,4,FALSE)*(H299/Variables!$C$6)</f>
        <v>151.69828217462862</v>
      </c>
      <c r="J299" s="134">
        <f t="shared" si="28"/>
        <v>52954.090149099044</v>
      </c>
      <c r="K299" s="136">
        <f>Variables!$C$15</f>
        <v>1</v>
      </c>
      <c r="L299" s="137">
        <f t="shared" si="29"/>
        <v>52954.090149099044</v>
      </c>
      <c r="N299" s="138">
        <f>Variables!$E$30*Variables!$C$19</f>
        <v>2.2291759999999998</v>
      </c>
      <c r="O299" s="87">
        <f t="shared" si="30"/>
        <v>118043.986862208</v>
      </c>
      <c r="P299" s="145">
        <f>Variables!$E$29</f>
        <v>48.483938529092256</v>
      </c>
      <c r="Q299" s="146">
        <f t="shared" si="31"/>
        <v>2567422.8516529277</v>
      </c>
    </row>
    <row r="300" spans="1:17">
      <c r="A300" s="101">
        <v>15</v>
      </c>
      <c r="B300" s="132" t="s">
        <v>35</v>
      </c>
      <c r="C300" s="101">
        <v>2025</v>
      </c>
      <c r="D300" s="133">
        <f>Population!J16</f>
        <v>305918.76163715927</v>
      </c>
      <c r="E300" s="133" t="str">
        <f t="shared" si="32"/>
        <v>Medium</v>
      </c>
      <c r="F300" s="133"/>
      <c r="G300" s="134">
        <f>Variables!$C$3*POWER(SUM(1,Variables!$C$2/100),C300-2017)</f>
        <v>19126.930500907933</v>
      </c>
      <c r="H300" s="134">
        <f t="shared" si="27"/>
        <v>389.57846470099548</v>
      </c>
      <c r="I300" s="135">
        <f>VLOOKUP(B300,'Waste per capita'!$B$2:$F$48,4,FALSE)*(H300/Variables!$C$6)</f>
        <v>94.010235084876811</v>
      </c>
      <c r="J300" s="134">
        <f t="shared" si="28"/>
        <v>28759.494698383736</v>
      </c>
      <c r="K300" s="136">
        <f>Variables!$C$15</f>
        <v>1</v>
      </c>
      <c r="L300" s="137">
        <f t="shared" si="29"/>
        <v>28759.494698383736</v>
      </c>
      <c r="N300" s="138">
        <f>Variables!$E$30*Variables!$C$19</f>
        <v>2.2291759999999998</v>
      </c>
      <c r="O300" s="87">
        <f t="shared" si="30"/>
        <v>64109.975353764261</v>
      </c>
      <c r="P300" s="145">
        <f>Variables!$E$29</f>
        <v>48.483938529092256</v>
      </c>
      <c r="Q300" s="146">
        <f t="shared" si="31"/>
        <v>1394373.5730841917</v>
      </c>
    </row>
    <row r="301" spans="1:17">
      <c r="A301" s="101">
        <v>16</v>
      </c>
      <c r="B301" s="132" t="s">
        <v>36</v>
      </c>
      <c r="C301" s="101">
        <v>2025</v>
      </c>
      <c r="D301" s="133">
        <f>Population!J17</f>
        <v>509806.15089651931</v>
      </c>
      <c r="E301" s="133" t="str">
        <f t="shared" si="32"/>
        <v>Medium</v>
      </c>
      <c r="F301" s="133"/>
      <c r="G301" s="134">
        <f>Variables!$C$3*POWER(SUM(1,Variables!$C$2/100),C301-2017)</f>
        <v>19126.930500907933</v>
      </c>
      <c r="H301" s="134">
        <f t="shared" si="27"/>
        <v>389.57846470099548</v>
      </c>
      <c r="I301" s="135">
        <f>VLOOKUP(B301,'Waste per capita'!$B$2:$F$48,4,FALSE)*(H301/Variables!$C$6)</f>
        <v>151.69828217462862</v>
      </c>
      <c r="J301" s="134">
        <f t="shared" si="28"/>
        <v>77336.71733306149</v>
      </c>
      <c r="K301" s="136">
        <f>Variables!$C$15</f>
        <v>1</v>
      </c>
      <c r="L301" s="137">
        <f t="shared" si="29"/>
        <v>77336.71733306149</v>
      </c>
      <c r="N301" s="138">
        <f>Variables!$E$30*Variables!$C$19</f>
        <v>2.2291759999999998</v>
      </c>
      <c r="O301" s="87">
        <f t="shared" si="30"/>
        <v>172397.15419764468</v>
      </c>
      <c r="P301" s="145">
        <f>Variables!$E$29</f>
        <v>48.483938529092256</v>
      </c>
      <c r="Q301" s="146">
        <f t="shared" si="31"/>
        <v>3749588.6492179367</v>
      </c>
    </row>
    <row r="302" spans="1:17">
      <c r="A302" s="101">
        <v>17</v>
      </c>
      <c r="B302" s="132" t="s">
        <v>37</v>
      </c>
      <c r="C302" s="101">
        <v>2025</v>
      </c>
      <c r="D302" s="133">
        <f>Population!J18</f>
        <v>481365.26515849837</v>
      </c>
      <c r="E302" s="133" t="str">
        <f t="shared" si="32"/>
        <v>Medium</v>
      </c>
      <c r="F302" s="133"/>
      <c r="G302" s="134">
        <f>Variables!$C$3*POWER(SUM(1,Variables!$C$2/100),C302-2017)</f>
        <v>19126.930500907933</v>
      </c>
      <c r="H302" s="134">
        <f t="shared" si="27"/>
        <v>389.57846470099548</v>
      </c>
      <c r="I302" s="135">
        <f>VLOOKUP(B302,'Waste per capita'!$B$2:$F$48,4,FALSE)*(H302/Variables!$C$6)</f>
        <v>151.69828217462862</v>
      </c>
      <c r="J302" s="134">
        <f t="shared" si="28"/>
        <v>73022.283823078818</v>
      </c>
      <c r="K302" s="136">
        <f>Variables!$C$15</f>
        <v>1</v>
      </c>
      <c r="L302" s="137">
        <f t="shared" si="29"/>
        <v>73022.283823078818</v>
      </c>
      <c r="N302" s="138">
        <f>Variables!$E$30*Variables!$C$19</f>
        <v>2.2291759999999998</v>
      </c>
      <c r="O302" s="87">
        <f t="shared" si="30"/>
        <v>162779.52256359553</v>
      </c>
      <c r="P302" s="145">
        <f>Variables!$E$29</f>
        <v>48.483938529092256</v>
      </c>
      <c r="Q302" s="146">
        <f t="shared" si="31"/>
        <v>3540407.9201320815</v>
      </c>
    </row>
    <row r="303" spans="1:17">
      <c r="A303" s="101">
        <v>18</v>
      </c>
      <c r="B303" s="132" t="s">
        <v>38</v>
      </c>
      <c r="C303" s="101">
        <v>2025</v>
      </c>
      <c r="D303" s="133">
        <f>Population!J19</f>
        <v>304787.82967091241</v>
      </c>
      <c r="E303" s="133" t="str">
        <f t="shared" si="32"/>
        <v>Medium</v>
      </c>
      <c r="F303" s="133"/>
      <c r="G303" s="134">
        <f>Variables!$C$3*POWER(SUM(1,Variables!$C$2/100),C303-2017)</f>
        <v>19126.930500907933</v>
      </c>
      <c r="H303" s="134">
        <f t="shared" si="27"/>
        <v>389.57846470099548</v>
      </c>
      <c r="I303" s="135">
        <f>VLOOKUP(B303,'Waste per capita'!$B$2:$F$48,4,FALSE)*(H303/Variables!$C$6)</f>
        <v>151.69828217462862</v>
      </c>
      <c r="J303" s="134">
        <f t="shared" si="28"/>
        <v>46235.790188810715</v>
      </c>
      <c r="K303" s="136">
        <f>Variables!$C$15</f>
        <v>1</v>
      </c>
      <c r="L303" s="137">
        <f t="shared" si="29"/>
        <v>46235.790188810715</v>
      </c>
      <c r="N303" s="138">
        <f>Variables!$E$30*Variables!$C$19</f>
        <v>2.2291759999999998</v>
      </c>
      <c r="O303" s="87">
        <f t="shared" si="30"/>
        <v>103067.71382993231</v>
      </c>
      <c r="P303" s="145">
        <f>Variables!$E$29</f>
        <v>48.483938529092256</v>
      </c>
      <c r="Q303" s="146">
        <f t="shared" si="31"/>
        <v>2241693.2093583057</v>
      </c>
    </row>
    <row r="304" spans="1:17">
      <c r="A304" s="101">
        <v>19</v>
      </c>
      <c r="B304" s="132" t="s">
        <v>39</v>
      </c>
      <c r="C304" s="101">
        <v>2025</v>
      </c>
      <c r="D304" s="133">
        <f>Population!J20</f>
        <v>307726.69900027628</v>
      </c>
      <c r="E304" s="133" t="str">
        <f t="shared" si="32"/>
        <v>Medium</v>
      </c>
      <c r="F304" s="133"/>
      <c r="G304" s="134">
        <f>Variables!$C$3*POWER(SUM(1,Variables!$C$2/100),C304-2017)</f>
        <v>19126.930500907933</v>
      </c>
      <c r="H304" s="134">
        <f t="shared" si="27"/>
        <v>389.57846470099548</v>
      </c>
      <c r="I304" s="135">
        <f>VLOOKUP(B304,'Waste per capita'!$B$2:$F$48,4,FALSE)*(H304/Variables!$C$6)</f>
        <v>151.69828217462862</v>
      </c>
      <c r="J304" s="134">
        <f t="shared" si="28"/>
        <v>46681.611617610914</v>
      </c>
      <c r="K304" s="136">
        <f>Variables!$C$15</f>
        <v>1</v>
      </c>
      <c r="L304" s="137">
        <f t="shared" si="29"/>
        <v>46681.611617610914</v>
      </c>
      <c r="N304" s="138">
        <f>Variables!$E$30*Variables!$C$19</f>
        <v>2.2291759999999998</v>
      </c>
      <c r="O304" s="87">
        <f t="shared" si="30"/>
        <v>104061.52825929942</v>
      </c>
      <c r="P304" s="145">
        <f>Variables!$E$29</f>
        <v>48.483938529092256</v>
      </c>
      <c r="Q304" s="146">
        <f t="shared" si="31"/>
        <v>2263308.3881072067</v>
      </c>
    </row>
    <row r="305" spans="1:17">
      <c r="A305" s="101">
        <v>20</v>
      </c>
      <c r="B305" s="132" t="s">
        <v>40</v>
      </c>
      <c r="C305" s="101">
        <v>2025</v>
      </c>
      <c r="D305" s="133">
        <f>Population!J21</f>
        <v>186443.95676328277</v>
      </c>
      <c r="E305" s="133" t="str">
        <f t="shared" si="32"/>
        <v>Medium</v>
      </c>
      <c r="F305" s="133"/>
      <c r="G305" s="134">
        <f>Variables!$C$3*POWER(SUM(1,Variables!$C$2/100),C305-2017)</f>
        <v>19126.930500907933</v>
      </c>
      <c r="H305" s="134">
        <f t="shared" si="27"/>
        <v>389.57846470099548</v>
      </c>
      <c r="I305" s="135">
        <f>VLOOKUP(B305,'Waste per capita'!$B$2:$F$48,4,FALSE)*(H305/Variables!$C$6)</f>
        <v>151.69828217462862</v>
      </c>
      <c r="J305" s="134">
        <f t="shared" si="28"/>
        <v>28283.227962830726</v>
      </c>
      <c r="K305" s="136">
        <f>Variables!$C$15</f>
        <v>1</v>
      </c>
      <c r="L305" s="137">
        <f t="shared" si="29"/>
        <v>28283.227962830726</v>
      </c>
      <c r="N305" s="138">
        <f>Variables!$E$30*Variables!$C$19</f>
        <v>2.2291759999999998</v>
      </c>
      <c r="O305" s="87">
        <f t="shared" si="30"/>
        <v>63048.292977271143</v>
      </c>
      <c r="P305" s="145">
        <f>Variables!$E$29</f>
        <v>48.483938529092256</v>
      </c>
      <c r="Q305" s="146">
        <f t="shared" si="31"/>
        <v>1371282.2859541881</v>
      </c>
    </row>
    <row r="306" spans="1:17">
      <c r="A306" s="101">
        <v>21</v>
      </c>
      <c r="B306" s="132" t="s">
        <v>41</v>
      </c>
      <c r="C306" s="101">
        <v>2025</v>
      </c>
      <c r="D306" s="133">
        <f>Population!J22</f>
        <v>197078.49071870762</v>
      </c>
      <c r="E306" s="133" t="str">
        <f t="shared" si="32"/>
        <v>Medium</v>
      </c>
      <c r="F306" s="133"/>
      <c r="G306" s="134">
        <f>Variables!$C$3*POWER(SUM(1,Variables!$C$2/100),C306-2017)</f>
        <v>19126.930500907933</v>
      </c>
      <c r="H306" s="134">
        <f t="shared" si="27"/>
        <v>389.57846470099548</v>
      </c>
      <c r="I306" s="135">
        <f>VLOOKUP(B306,'Waste per capita'!$B$2:$F$48,4,FALSE)*(H306/Variables!$C$6)</f>
        <v>151.69828217462862</v>
      </c>
      <c r="J306" s="134">
        <f t="shared" si="28"/>
        <v>29896.468495596437</v>
      </c>
      <c r="K306" s="136">
        <f>Variables!$C$15</f>
        <v>1</v>
      </c>
      <c r="L306" s="137">
        <f t="shared" si="29"/>
        <v>29896.468495596437</v>
      </c>
      <c r="N306" s="138">
        <f>Variables!$E$30*Variables!$C$19</f>
        <v>2.2291759999999998</v>
      </c>
      <c r="O306" s="87">
        <f t="shared" si="30"/>
        <v>66644.490055139671</v>
      </c>
      <c r="P306" s="145">
        <f>Variables!$E$29</f>
        <v>48.483938529092256</v>
      </c>
      <c r="Q306" s="146">
        <f t="shared" si="31"/>
        <v>1449498.5407774409</v>
      </c>
    </row>
    <row r="307" spans="1:17">
      <c r="A307" s="101">
        <v>22</v>
      </c>
      <c r="B307" s="132" t="s">
        <v>42</v>
      </c>
      <c r="C307" s="101">
        <v>2025</v>
      </c>
      <c r="D307" s="133">
        <f>Population!J23</f>
        <v>174011.47404895705</v>
      </c>
      <c r="E307" s="133" t="str">
        <f t="shared" si="32"/>
        <v>Medium</v>
      </c>
      <c r="F307" s="133"/>
      <c r="G307" s="134">
        <f>Variables!$C$3*POWER(SUM(1,Variables!$C$2/100),C307-2017)</f>
        <v>19126.930500907933</v>
      </c>
      <c r="H307" s="134">
        <f t="shared" si="27"/>
        <v>389.57846470099548</v>
      </c>
      <c r="I307" s="135">
        <f>VLOOKUP(B307,'Waste per capita'!$B$2:$F$48,4,FALSE)*(H307/Variables!$C$6)</f>
        <v>114.68419352509233</v>
      </c>
      <c r="J307" s="134">
        <f t="shared" si="28"/>
        <v>19956.365565417171</v>
      </c>
      <c r="K307" s="136">
        <f>Variables!$C$15</f>
        <v>1</v>
      </c>
      <c r="L307" s="137">
        <f t="shared" si="29"/>
        <v>19956.365565417171</v>
      </c>
      <c r="N307" s="138">
        <f>Variables!$E$30*Variables!$C$19</f>
        <v>2.2291759999999998</v>
      </c>
      <c r="O307" s="87">
        <f t="shared" si="30"/>
        <v>44486.251165654387</v>
      </c>
      <c r="P307" s="145">
        <f>Variables!$E$29</f>
        <v>48.483938529092256</v>
      </c>
      <c r="Q307" s="146">
        <f t="shared" si="31"/>
        <v>967563.20133777952</v>
      </c>
    </row>
    <row r="308" spans="1:17">
      <c r="A308" s="101">
        <v>23</v>
      </c>
      <c r="B308" s="132" t="s">
        <v>43</v>
      </c>
      <c r="C308" s="101">
        <v>2025</v>
      </c>
      <c r="D308" s="133">
        <f>Population!J24</f>
        <v>133934.97424407379</v>
      </c>
      <c r="E308" s="133" t="str">
        <f t="shared" si="32"/>
        <v>Medium</v>
      </c>
      <c r="F308" s="133"/>
      <c r="G308" s="134">
        <f>Variables!$C$3*POWER(SUM(1,Variables!$C$2/100),C308-2017)</f>
        <v>19126.930500907933</v>
      </c>
      <c r="H308" s="134">
        <f t="shared" ref="H308:H371" si="33">1647.41-417.73*LN(G308)+29.43*(LN(G308))^2</f>
        <v>389.57846470099548</v>
      </c>
      <c r="I308" s="135">
        <f>VLOOKUP(B308,'Waste per capita'!$B$2:$F$48,4,FALSE)*(H308/Variables!$C$6)</f>
        <v>112.55163620747697</v>
      </c>
      <c r="J308" s="134">
        <f t="shared" ref="J308:J371" si="34">I308*D308/1000</f>
        <v>15074.600496576792</v>
      </c>
      <c r="K308" s="136">
        <f>Variables!$C$15</f>
        <v>1</v>
      </c>
      <c r="L308" s="137">
        <f t="shared" ref="L308:L371" si="35">J308*K308</f>
        <v>15074.600496576792</v>
      </c>
      <c r="N308" s="138">
        <f>Variables!$E$30*Variables!$C$19</f>
        <v>2.2291759999999998</v>
      </c>
      <c r="O308" s="87">
        <f t="shared" ref="O308:O371" si="36">N308*L308</f>
        <v>33603.937636557064</v>
      </c>
      <c r="P308" s="145">
        <f>Variables!$E$29</f>
        <v>48.483938529092256</v>
      </c>
      <c r="Q308" s="146">
        <f t="shared" ref="Q308:Q371" si="37">P308*J308</f>
        <v>730876.00382665277</v>
      </c>
    </row>
    <row r="309" spans="1:17">
      <c r="A309" s="101">
        <v>24</v>
      </c>
      <c r="B309" s="132" t="s">
        <v>44</v>
      </c>
      <c r="C309" s="101">
        <v>2025</v>
      </c>
      <c r="D309" s="133">
        <f>Population!J25</f>
        <v>84054.104478616238</v>
      </c>
      <c r="E309" s="133" t="str">
        <f t="shared" si="32"/>
        <v>Small</v>
      </c>
      <c r="F309" s="133"/>
      <c r="G309" s="134">
        <f>Variables!$C$3*POWER(SUM(1,Variables!$C$2/100),C309-2017)</f>
        <v>19126.930500907933</v>
      </c>
      <c r="H309" s="134">
        <f t="shared" si="33"/>
        <v>389.57846470099548</v>
      </c>
      <c r="I309" s="135">
        <f>VLOOKUP(B309,'Waste per capita'!$B$2:$F$48,4,FALSE)*(H309/Variables!$C$6)</f>
        <v>114.03580903961301</v>
      </c>
      <c r="J309" s="134">
        <f t="shared" si="34"/>
        <v>9585.1778073191617</v>
      </c>
      <c r="K309" s="136">
        <f>Variables!$C$15</f>
        <v>1</v>
      </c>
      <c r="L309" s="137">
        <f t="shared" si="35"/>
        <v>9585.1778073191617</v>
      </c>
      <c r="N309" s="138">
        <f>Variables!$E$30*Variables!$C$19</f>
        <v>2.2291759999999998</v>
      </c>
      <c r="O309" s="87">
        <f t="shared" si="36"/>
        <v>21367.048323808496</v>
      </c>
      <c r="P309" s="145">
        <f>Variables!$E$29</f>
        <v>48.483938529092256</v>
      </c>
      <c r="Q309" s="146">
        <f t="shared" si="37"/>
        <v>464727.17160048155</v>
      </c>
    </row>
    <row r="310" spans="1:17">
      <c r="A310" s="101">
        <v>25</v>
      </c>
      <c r="B310" s="132" t="s">
        <v>45</v>
      </c>
      <c r="C310" s="101">
        <v>2025</v>
      </c>
      <c r="D310" s="133">
        <f>Population!J26</f>
        <v>174181.28032063102</v>
      </c>
      <c r="E310" s="133" t="str">
        <f t="shared" si="32"/>
        <v>Medium</v>
      </c>
      <c r="F310" s="133"/>
      <c r="G310" s="134">
        <f>Variables!$C$3*POWER(SUM(1,Variables!$C$2/100),C310-2017)</f>
        <v>19126.930500907933</v>
      </c>
      <c r="H310" s="134">
        <f t="shared" si="33"/>
        <v>389.57846470099548</v>
      </c>
      <c r="I310" s="135">
        <f>VLOOKUP(B310,'Waste per capita'!$B$2:$F$48,4,FALSE)*(H310/Variables!$C$6)</f>
        <v>113.68420839509211</v>
      </c>
      <c r="J310" s="134">
        <f t="shared" si="34"/>
        <v>19801.660970494573</v>
      </c>
      <c r="K310" s="136">
        <f>Variables!$C$15</f>
        <v>1</v>
      </c>
      <c r="L310" s="137">
        <f t="shared" si="35"/>
        <v>19801.660970494573</v>
      </c>
      <c r="N310" s="138">
        <f>Variables!$E$30*Variables!$C$19</f>
        <v>2.2291759999999998</v>
      </c>
      <c r="O310" s="87">
        <f t="shared" si="36"/>
        <v>44141.387395563208</v>
      </c>
      <c r="P310" s="145">
        <f>Variables!$E$29</f>
        <v>48.483938529092256</v>
      </c>
      <c r="Q310" s="146">
        <f t="shared" si="37"/>
        <v>960062.51326738414</v>
      </c>
    </row>
    <row r="311" spans="1:17">
      <c r="A311" s="101">
        <v>26</v>
      </c>
      <c r="B311" s="132" t="s">
        <v>46</v>
      </c>
      <c r="C311" s="101">
        <v>2025</v>
      </c>
      <c r="D311" s="133">
        <f>Population!J27</f>
        <v>47550.195448363826</v>
      </c>
      <c r="E311" s="133" t="str">
        <f t="shared" si="32"/>
        <v>Small</v>
      </c>
      <c r="F311" s="133"/>
      <c r="G311" s="134">
        <f>Variables!$C$3*POWER(SUM(1,Variables!$C$2/100),C311-2017)</f>
        <v>19126.930500907933</v>
      </c>
      <c r="H311" s="134">
        <f t="shared" si="33"/>
        <v>389.57846470099548</v>
      </c>
      <c r="I311" s="135">
        <f>VLOOKUP(B311,'Waste per capita'!$B$2:$F$48,4,FALSE)*(H311/Variables!$C$6)</f>
        <v>114.85621054349512</v>
      </c>
      <c r="J311" s="134">
        <f t="shared" si="34"/>
        <v>5461.4352598016185</v>
      </c>
      <c r="K311" s="136">
        <f>Variables!$C$15</f>
        <v>1</v>
      </c>
      <c r="L311" s="137">
        <f t="shared" si="35"/>
        <v>5461.4352598016185</v>
      </c>
      <c r="N311" s="138">
        <f>Variables!$E$30*Variables!$C$19</f>
        <v>2.2291759999999998</v>
      </c>
      <c r="O311" s="87">
        <f t="shared" si="36"/>
        <v>12174.500406703532</v>
      </c>
      <c r="P311" s="145">
        <f>Variables!$E$29</f>
        <v>48.483938529092256</v>
      </c>
      <c r="Q311" s="146">
        <f t="shared" si="37"/>
        <v>264791.89141683868</v>
      </c>
    </row>
    <row r="312" spans="1:17">
      <c r="A312" s="101">
        <v>27</v>
      </c>
      <c r="B312" s="132" t="s">
        <v>47</v>
      </c>
      <c r="C312" s="101">
        <v>2025</v>
      </c>
      <c r="D312" s="133">
        <f>Population!J28</f>
        <v>8917.6038751657943</v>
      </c>
      <c r="E312" s="133" t="str">
        <f t="shared" si="32"/>
        <v>Small</v>
      </c>
      <c r="F312" s="133"/>
      <c r="G312" s="134">
        <f>Variables!$C$3*POWER(SUM(1,Variables!$C$2/100),C312-2017)</f>
        <v>19126.930500907933</v>
      </c>
      <c r="H312" s="134">
        <f t="shared" si="33"/>
        <v>389.57846470099548</v>
      </c>
      <c r="I312" s="135">
        <f>VLOOKUP(B312,'Waste per capita'!$B$2:$F$48,4,FALSE)*(H312/Variables!$C$6)</f>
        <v>113.73639027281884</v>
      </c>
      <c r="J312" s="134">
        <f t="shared" si="34"/>
        <v>1014.2560746442584</v>
      </c>
      <c r="K312" s="136">
        <f>Variables!$C$15</f>
        <v>1</v>
      </c>
      <c r="L312" s="137">
        <f t="shared" si="35"/>
        <v>1014.2560746442584</v>
      </c>
      <c r="N312" s="138">
        <f>Variables!$E$30*Variables!$C$19</f>
        <v>2.2291759999999998</v>
      </c>
      <c r="O312" s="87">
        <f t="shared" si="36"/>
        <v>2260.9552994511891</v>
      </c>
      <c r="P312" s="145">
        <f>Variables!$E$29</f>
        <v>48.483938529092256</v>
      </c>
      <c r="Q312" s="146">
        <f t="shared" si="37"/>
        <v>49175.129175810631</v>
      </c>
    </row>
    <row r="313" spans="1:17">
      <c r="A313" s="101">
        <v>28</v>
      </c>
      <c r="B313" s="132" t="s">
        <v>48</v>
      </c>
      <c r="C313" s="101">
        <v>2025</v>
      </c>
      <c r="D313" s="133">
        <f>Population!J29</f>
        <v>53368.002481794952</v>
      </c>
      <c r="E313" s="133" t="str">
        <f t="shared" si="32"/>
        <v>Small</v>
      </c>
      <c r="F313" s="133"/>
      <c r="G313" s="134">
        <f>Variables!$C$3*POWER(SUM(1,Variables!$C$2/100),C313-2017)</f>
        <v>19126.930500907933</v>
      </c>
      <c r="H313" s="134">
        <f t="shared" si="33"/>
        <v>389.57846470099548</v>
      </c>
      <c r="I313" s="135">
        <f>VLOOKUP(B313,'Waste per capita'!$B$2:$F$48,4,FALSE)*(H313/Variables!$C$6)</f>
        <v>166.75757782610233</v>
      </c>
      <c r="J313" s="134">
        <f t="shared" si="34"/>
        <v>8899.5188272815449</v>
      </c>
      <c r="K313" s="136">
        <f>Variables!$C$15</f>
        <v>1</v>
      </c>
      <c r="L313" s="137">
        <f t="shared" si="35"/>
        <v>8899.5188272815449</v>
      </c>
      <c r="N313" s="138">
        <f>Variables!$E$30*Variables!$C$19</f>
        <v>2.2291759999999998</v>
      </c>
      <c r="O313" s="87">
        <f t="shared" si="36"/>
        <v>19838.593781324165</v>
      </c>
      <c r="P313" s="145">
        <f>Variables!$E$29</f>
        <v>48.483938529092256</v>
      </c>
      <c r="Q313" s="146">
        <f t="shared" si="37"/>
        <v>431483.7237604176</v>
      </c>
    </row>
    <row r="314" spans="1:17">
      <c r="A314" s="101">
        <v>29</v>
      </c>
      <c r="B314" s="132" t="s">
        <v>49</v>
      </c>
      <c r="C314" s="101">
        <v>2025</v>
      </c>
      <c r="D314" s="133">
        <f>Population!J30</f>
        <v>53740.91037252995</v>
      </c>
      <c r="E314" s="133" t="str">
        <f t="shared" si="32"/>
        <v>Small</v>
      </c>
      <c r="F314" s="133"/>
      <c r="G314" s="134">
        <f>Variables!$C$3*POWER(SUM(1,Variables!$C$2/100),C314-2017)</f>
        <v>19126.930500907933</v>
      </c>
      <c r="H314" s="134">
        <f t="shared" si="33"/>
        <v>389.57846470099548</v>
      </c>
      <c r="I314" s="135">
        <f>VLOOKUP(B314,'Waste per capita'!$B$2:$F$48,4,FALSE)*(H314/Variables!$C$6)</f>
        <v>166.75757782610233</v>
      </c>
      <c r="J314" s="134">
        <f t="shared" si="34"/>
        <v>8961.7040438927543</v>
      </c>
      <c r="K314" s="136">
        <f>Variables!$C$15</f>
        <v>1</v>
      </c>
      <c r="L314" s="137">
        <f t="shared" si="35"/>
        <v>8961.7040438927543</v>
      </c>
      <c r="N314" s="138">
        <f>Variables!$E$30*Variables!$C$19</f>
        <v>2.2291759999999998</v>
      </c>
      <c r="O314" s="87">
        <f t="shared" si="36"/>
        <v>19977.215573748672</v>
      </c>
      <c r="P314" s="145">
        <f>Variables!$E$29</f>
        <v>48.483938529092256</v>
      </c>
      <c r="Q314" s="146">
        <f t="shared" si="37"/>
        <v>434498.7079800138</v>
      </c>
    </row>
    <row r="315" spans="1:17">
      <c r="A315" s="101">
        <v>30</v>
      </c>
      <c r="B315" s="132" t="s">
        <v>50</v>
      </c>
      <c r="C315" s="101">
        <v>2025</v>
      </c>
      <c r="D315" s="133">
        <f>Population!J31</f>
        <v>21961.611136500404</v>
      </c>
      <c r="E315" s="133" t="str">
        <f t="shared" si="32"/>
        <v>Small</v>
      </c>
      <c r="F315" s="133"/>
      <c r="G315" s="134">
        <f>Variables!$C$3*POWER(SUM(1,Variables!$C$2/100),C315-2017)</f>
        <v>19126.930500907933</v>
      </c>
      <c r="H315" s="134">
        <f t="shared" si="33"/>
        <v>389.57846470099548</v>
      </c>
      <c r="I315" s="135">
        <f>VLOOKUP(B315,'Waste per capita'!$B$2:$F$48,4,FALSE)*(H315/Variables!$C$6)</f>
        <v>166.75757782610233</v>
      </c>
      <c r="J315" s="134">
        <f t="shared" si="34"/>
        <v>3662.2650782815617</v>
      </c>
      <c r="K315" s="136">
        <f>Variables!$C$15</f>
        <v>1</v>
      </c>
      <c r="L315" s="137">
        <f t="shared" si="35"/>
        <v>3662.2650782815617</v>
      </c>
      <c r="N315" s="138">
        <f>Variables!$E$30*Variables!$C$19</f>
        <v>2.2291759999999998</v>
      </c>
      <c r="O315" s="87">
        <f t="shared" si="36"/>
        <v>8163.8334181433784</v>
      </c>
      <c r="P315" s="145">
        <f>Variables!$E$29</f>
        <v>48.483938529092256</v>
      </c>
      <c r="Q315" s="146">
        <f t="shared" si="37"/>
        <v>177561.03493264448</v>
      </c>
    </row>
    <row r="316" spans="1:17">
      <c r="A316" s="101">
        <v>31</v>
      </c>
      <c r="B316" s="132" t="s">
        <v>51</v>
      </c>
      <c r="C316" s="101">
        <v>2025</v>
      </c>
      <c r="D316" s="133">
        <f>Population!J32</f>
        <v>33410.771257995155</v>
      </c>
      <c r="E316" s="133" t="str">
        <f t="shared" si="32"/>
        <v>Small</v>
      </c>
      <c r="F316" s="133"/>
      <c r="G316" s="134">
        <f>Variables!$C$3*POWER(SUM(1,Variables!$C$2/100),C316-2017)</f>
        <v>19126.930500907933</v>
      </c>
      <c r="H316" s="134">
        <f t="shared" si="33"/>
        <v>389.57846470099548</v>
      </c>
      <c r="I316" s="135">
        <f>VLOOKUP(B316,'Waste per capita'!$B$2:$F$48,4,FALSE)*(H316/Variables!$C$6)</f>
        <v>166.75757782610233</v>
      </c>
      <c r="J316" s="134">
        <f t="shared" si="34"/>
        <v>5571.4992882852303</v>
      </c>
      <c r="K316" s="136">
        <f>Variables!$C$15</f>
        <v>1</v>
      </c>
      <c r="L316" s="137">
        <f t="shared" si="35"/>
        <v>5571.4992882852303</v>
      </c>
      <c r="N316" s="138">
        <f>Variables!$E$30*Variables!$C$19</f>
        <v>2.2291759999999998</v>
      </c>
      <c r="O316" s="87">
        <f t="shared" si="36"/>
        <v>12419.852497462516</v>
      </c>
      <c r="P316" s="145">
        <f>Variables!$E$29</f>
        <v>48.483938529092256</v>
      </c>
      <c r="Q316" s="146">
        <f t="shared" si="37"/>
        <v>270128.22900810238</v>
      </c>
    </row>
    <row r="317" spans="1:17">
      <c r="A317" s="101">
        <v>32</v>
      </c>
      <c r="B317" s="132" t="s">
        <v>52</v>
      </c>
      <c r="C317" s="101">
        <v>2025</v>
      </c>
      <c r="D317" s="133">
        <f>Population!J33</f>
        <v>30752.692691595399</v>
      </c>
      <c r="E317" s="133" t="str">
        <f t="shared" si="32"/>
        <v>Small</v>
      </c>
      <c r="F317" s="133"/>
      <c r="G317" s="134">
        <f>Variables!$C$3*POWER(SUM(1,Variables!$C$2/100),C317-2017)</f>
        <v>19126.930500907933</v>
      </c>
      <c r="H317" s="134">
        <f t="shared" si="33"/>
        <v>389.57846470099548</v>
      </c>
      <c r="I317" s="135">
        <f>VLOOKUP(B317,'Waste per capita'!$B$2:$F$48,4,FALSE)*(H317/Variables!$C$6)</f>
        <v>166.75757782610233</v>
      </c>
      <c r="J317" s="134">
        <f t="shared" si="34"/>
        <v>5128.2445448809285</v>
      </c>
      <c r="K317" s="136">
        <f>Variables!$C$15</f>
        <v>1</v>
      </c>
      <c r="L317" s="137">
        <f t="shared" si="35"/>
        <v>5128.2445448809285</v>
      </c>
      <c r="N317" s="138">
        <f>Variables!$E$30*Variables!$C$19</f>
        <v>2.2291759999999998</v>
      </c>
      <c r="O317" s="87">
        <f t="shared" si="36"/>
        <v>11431.759661579488</v>
      </c>
      <c r="P317" s="145">
        <f>Variables!$E$29</f>
        <v>48.483938529092256</v>
      </c>
      <c r="Q317" s="146">
        <f t="shared" si="37"/>
        <v>248637.49327615963</v>
      </c>
    </row>
    <row r="318" spans="1:17">
      <c r="A318" s="101">
        <v>33</v>
      </c>
      <c r="B318" s="132" t="s">
        <v>53</v>
      </c>
      <c r="C318" s="101">
        <v>2025</v>
      </c>
      <c r="D318" s="133">
        <f>Population!J34</f>
        <v>131852.90518747005</v>
      </c>
      <c r="E318" s="133" t="str">
        <f t="shared" si="32"/>
        <v>Medium</v>
      </c>
      <c r="F318" s="133"/>
      <c r="G318" s="134">
        <f>Variables!$C$3*POWER(SUM(1,Variables!$C$2/100),C318-2017)</f>
        <v>19126.930500907933</v>
      </c>
      <c r="H318" s="134">
        <f t="shared" si="33"/>
        <v>389.57846470099548</v>
      </c>
      <c r="I318" s="135">
        <f>VLOOKUP(B318,'Waste per capita'!$B$2:$F$48,4,FALSE)*(H318/Variables!$C$6)</f>
        <v>218.16819992522059</v>
      </c>
      <c r="J318" s="134">
        <f t="shared" si="34"/>
        <v>28766.110979661124</v>
      </c>
      <c r="K318" s="136">
        <f>Variables!$C$15</f>
        <v>1</v>
      </c>
      <c r="L318" s="137">
        <f t="shared" si="35"/>
        <v>28766.110979661124</v>
      </c>
      <c r="N318" s="138">
        <f>Variables!$E$30*Variables!$C$19</f>
        <v>2.2291759999999998</v>
      </c>
      <c r="O318" s="87">
        <f t="shared" si="36"/>
        <v>64124.724209197062</v>
      </c>
      <c r="P318" s="145">
        <f>Variables!$E$29</f>
        <v>48.483938529092256</v>
      </c>
      <c r="Q318" s="146">
        <f t="shared" si="37"/>
        <v>1394694.3564589357</v>
      </c>
    </row>
    <row r="319" spans="1:17">
      <c r="A319" s="101">
        <v>34</v>
      </c>
      <c r="B319" s="132" t="s">
        <v>54</v>
      </c>
      <c r="C319" s="101">
        <v>2025</v>
      </c>
      <c r="D319" s="133">
        <f>Population!J35</f>
        <v>117107.50567465703</v>
      </c>
      <c r="E319" s="133" t="str">
        <f t="shared" si="32"/>
        <v>Medium</v>
      </c>
      <c r="F319" s="133"/>
      <c r="G319" s="134">
        <f>Variables!$C$3*POWER(SUM(1,Variables!$C$2/100),C319-2017)</f>
        <v>19126.930500907933</v>
      </c>
      <c r="H319" s="134">
        <f t="shared" si="33"/>
        <v>389.57846470099548</v>
      </c>
      <c r="I319" s="135">
        <f>VLOOKUP(B319,'Waste per capita'!$B$2:$F$48,4,FALSE)*(H319/Variables!$C$6)</f>
        <v>151.69828217462862</v>
      </c>
      <c r="J319" s="134">
        <f t="shared" si="34"/>
        <v>17765.007440601043</v>
      </c>
      <c r="K319" s="136">
        <f>Variables!$C$15</f>
        <v>1</v>
      </c>
      <c r="L319" s="137">
        <f t="shared" si="35"/>
        <v>17765.007440601043</v>
      </c>
      <c r="N319" s="138">
        <f>Variables!$E$30*Variables!$C$19</f>
        <v>2.2291759999999998</v>
      </c>
      <c r="O319" s="87">
        <f t="shared" si="36"/>
        <v>39601.328226409263</v>
      </c>
      <c r="P319" s="145">
        <f>Variables!$E$29</f>
        <v>48.483938529092256</v>
      </c>
      <c r="Q319" s="146">
        <f t="shared" si="37"/>
        <v>861317.52871896746</v>
      </c>
    </row>
    <row r="320" spans="1:17">
      <c r="A320" s="101">
        <v>35</v>
      </c>
      <c r="B320" s="132" t="s">
        <v>55</v>
      </c>
      <c r="C320" s="101">
        <v>2025</v>
      </c>
      <c r="D320" s="133">
        <f>Population!J36</f>
        <v>534835.37337228027</v>
      </c>
      <c r="E320" s="133" t="str">
        <f t="shared" si="32"/>
        <v>Medium</v>
      </c>
      <c r="F320" s="133"/>
      <c r="G320" s="134">
        <f>Variables!$C$3*POWER(SUM(1,Variables!$C$2/100),C320-2017)</f>
        <v>19126.930500907933</v>
      </c>
      <c r="H320" s="134">
        <f t="shared" si="33"/>
        <v>389.57846470099548</v>
      </c>
      <c r="I320" s="135">
        <f>VLOOKUP(B320,'Waste per capita'!$B$2:$F$48,4,FALSE)*(H320/Variables!$C$6)</f>
        <v>151.69828217462862</v>
      </c>
      <c r="J320" s="134">
        <f t="shared" si="34"/>
        <v>81133.607386801013</v>
      </c>
      <c r="K320" s="136">
        <f>Variables!$C$15</f>
        <v>1</v>
      </c>
      <c r="L320" s="137">
        <f t="shared" si="35"/>
        <v>81133.607386801013</v>
      </c>
      <c r="N320" s="138">
        <f>Variables!$E$30*Variables!$C$19</f>
        <v>2.2291759999999998</v>
      </c>
      <c r="O320" s="87">
        <f t="shared" si="36"/>
        <v>180861.09038007952</v>
      </c>
      <c r="P320" s="145">
        <f>Variables!$E$29</f>
        <v>48.483938529092256</v>
      </c>
      <c r="Q320" s="146">
        <f t="shared" si="37"/>
        <v>3933676.8331851657</v>
      </c>
    </row>
    <row r="321" spans="1:17">
      <c r="A321" s="101">
        <v>36</v>
      </c>
      <c r="B321" s="132" t="s">
        <v>56</v>
      </c>
      <c r="C321" s="101">
        <v>2025</v>
      </c>
      <c r="D321" s="133">
        <f>Population!J37</f>
        <v>286833.86851490033</v>
      </c>
      <c r="E321" s="133" t="str">
        <f t="shared" si="32"/>
        <v>Medium</v>
      </c>
      <c r="F321" s="133"/>
      <c r="G321" s="134">
        <f>Variables!$C$3*POWER(SUM(1,Variables!$C$2/100),C321-2017)</f>
        <v>19126.930500907933</v>
      </c>
      <c r="H321" s="134">
        <f t="shared" si="33"/>
        <v>389.57846470099548</v>
      </c>
      <c r="I321" s="135">
        <f>VLOOKUP(B321,'Waste per capita'!$B$2:$F$48,4,FALSE)*(H321/Variables!$C$6)</f>
        <v>246.48808329437458</v>
      </c>
      <c r="J321" s="134">
        <f t="shared" si="34"/>
        <v>70701.130474148435</v>
      </c>
      <c r="K321" s="136">
        <f>Variables!$C$15</f>
        <v>1</v>
      </c>
      <c r="L321" s="137">
        <f t="shared" si="35"/>
        <v>70701.130474148435</v>
      </c>
      <c r="N321" s="138">
        <f>Variables!$E$30*Variables!$C$19</f>
        <v>2.2291759999999998</v>
      </c>
      <c r="O321" s="87">
        <f t="shared" si="36"/>
        <v>157605.26322584029</v>
      </c>
      <c r="P321" s="145">
        <f>Variables!$E$29</f>
        <v>48.483938529092256</v>
      </c>
      <c r="Q321" s="146">
        <f t="shared" si="37"/>
        <v>3427869.2638459438</v>
      </c>
    </row>
    <row r="322" spans="1:17">
      <c r="A322" s="101">
        <v>37</v>
      </c>
      <c r="B322" s="132" t="s">
        <v>57</v>
      </c>
      <c r="C322" s="101">
        <v>2025</v>
      </c>
      <c r="D322" s="133">
        <f>Population!J38</f>
        <v>133694.13789797411</v>
      </c>
      <c r="E322" s="133" t="str">
        <f t="shared" si="32"/>
        <v>Medium</v>
      </c>
      <c r="F322" s="133"/>
      <c r="G322" s="134">
        <f>Variables!$C$3*POWER(SUM(1,Variables!$C$2/100),C322-2017)</f>
        <v>19126.930500907933</v>
      </c>
      <c r="H322" s="134">
        <f t="shared" si="33"/>
        <v>389.57846470099548</v>
      </c>
      <c r="I322" s="135">
        <f>VLOOKUP(B322,'Waste per capita'!$B$2:$F$48,4,FALSE)*(H322/Variables!$C$6)</f>
        <v>151.69828217462862</v>
      </c>
      <c r="J322" s="134">
        <f t="shared" si="34"/>
        <v>20281.171055940587</v>
      </c>
      <c r="K322" s="136">
        <f>Variables!$C$15</f>
        <v>1</v>
      </c>
      <c r="L322" s="137">
        <f t="shared" si="35"/>
        <v>20281.171055940587</v>
      </c>
      <c r="N322" s="138">
        <f>Variables!$E$30*Variables!$C$19</f>
        <v>2.2291759999999998</v>
      </c>
      <c r="O322" s="87">
        <f t="shared" si="36"/>
        <v>45210.299769797413</v>
      </c>
      <c r="P322" s="145">
        <f>Variables!$E$29</f>
        <v>48.483938529092256</v>
      </c>
      <c r="Q322" s="146">
        <f t="shared" si="37"/>
        <v>983311.05077422853</v>
      </c>
    </row>
    <row r="323" spans="1:17">
      <c r="A323" s="101">
        <v>38</v>
      </c>
      <c r="B323" s="132" t="s">
        <v>58</v>
      </c>
      <c r="C323" s="101">
        <v>2025</v>
      </c>
      <c r="D323" s="133">
        <f>Population!J39</f>
        <v>39461.645723135662</v>
      </c>
      <c r="E323" s="133" t="str">
        <f t="shared" si="32"/>
        <v>Small</v>
      </c>
      <c r="F323" s="133"/>
      <c r="G323" s="134">
        <f>Variables!$C$3*POWER(SUM(1,Variables!$C$2/100),C323-2017)</f>
        <v>19126.930500907933</v>
      </c>
      <c r="H323" s="134">
        <f t="shared" si="33"/>
        <v>389.57846470099548</v>
      </c>
      <c r="I323" s="135">
        <f>VLOOKUP(B323,'Waste per capita'!$B$2:$F$48,4,FALSE)*(H323/Variables!$C$6)</f>
        <v>332.97513006433053</v>
      </c>
      <c r="J323" s="134">
        <f t="shared" si="34"/>
        <v>13139.74661721363</v>
      </c>
      <c r="K323" s="136">
        <f>Variables!$C$15</f>
        <v>1</v>
      </c>
      <c r="L323" s="137">
        <f t="shared" si="35"/>
        <v>13139.74661721363</v>
      </c>
      <c r="N323" s="138">
        <f>Variables!$E$30*Variables!$C$19</f>
        <v>2.2291759999999998</v>
      </c>
      <c r="O323" s="87">
        <f t="shared" si="36"/>
        <v>29290.807805173808</v>
      </c>
      <c r="P323" s="145">
        <f>Variables!$E$29</f>
        <v>48.483938529092256</v>
      </c>
      <c r="Q323" s="146">
        <f t="shared" si="37"/>
        <v>637066.66727683356</v>
      </c>
    </row>
    <row r="324" spans="1:17">
      <c r="A324" s="101">
        <v>39</v>
      </c>
      <c r="B324" s="132" t="s">
        <v>59</v>
      </c>
      <c r="C324" s="101">
        <v>2025</v>
      </c>
      <c r="D324" s="133">
        <f>Population!J40</f>
        <v>74490.570864141613</v>
      </c>
      <c r="E324" s="133" t="str">
        <f t="shared" si="32"/>
        <v>Small</v>
      </c>
      <c r="F324" s="133"/>
      <c r="G324" s="134">
        <f>Variables!$C$3*POWER(SUM(1,Variables!$C$2/100),C324-2017)</f>
        <v>19126.930500907933</v>
      </c>
      <c r="H324" s="134">
        <f t="shared" si="33"/>
        <v>389.57846470099548</v>
      </c>
      <c r="I324" s="135">
        <f>VLOOKUP(B324,'Waste per capita'!$B$2:$F$48,4,FALSE)*(H324/Variables!$C$6)</f>
        <v>166.75757782610233</v>
      </c>
      <c r="J324" s="134">
        <f t="shared" si="34"/>
        <v>12421.867168187886</v>
      </c>
      <c r="K324" s="136">
        <f>Variables!$C$15</f>
        <v>1</v>
      </c>
      <c r="L324" s="137">
        <f t="shared" si="35"/>
        <v>12421.867168187886</v>
      </c>
      <c r="N324" s="138">
        <f>Variables!$E$30*Variables!$C$19</f>
        <v>2.2291759999999998</v>
      </c>
      <c r="O324" s="87">
        <f t="shared" si="36"/>
        <v>27690.528166512395</v>
      </c>
      <c r="P324" s="145">
        <f>Variables!$E$29</f>
        <v>48.483938529092256</v>
      </c>
      <c r="Q324" s="146">
        <f t="shared" si="37"/>
        <v>602261.04419897078</v>
      </c>
    </row>
    <row r="325" spans="1:17">
      <c r="A325" s="101">
        <v>40</v>
      </c>
      <c r="B325" s="132" t="s">
        <v>60</v>
      </c>
      <c r="C325" s="101">
        <v>2025</v>
      </c>
      <c r="D325" s="133">
        <f>Population!J41</f>
        <v>3369.4891555698014</v>
      </c>
      <c r="E325" s="133" t="str">
        <f t="shared" ref="E325:E388" si="38">IF(D325&lt;100000,"Small",IF(D325&lt;1000000,"Medium","Large"))</f>
        <v>Small</v>
      </c>
      <c r="F325" s="133"/>
      <c r="G325" s="134">
        <f>Variables!$C$3*POWER(SUM(1,Variables!$C$2/100),C325-2017)</f>
        <v>19126.930500907933</v>
      </c>
      <c r="H325" s="134">
        <f t="shared" si="33"/>
        <v>389.57846470099548</v>
      </c>
      <c r="I325" s="135">
        <f>VLOOKUP(B325,'Waste per capita'!$B$2:$F$48,4,FALSE)*(H325/Variables!$C$6)</f>
        <v>172.97409353991199</v>
      </c>
      <c r="J325" s="134">
        <f t="shared" si="34"/>
        <v>582.83433237724989</v>
      </c>
      <c r="K325" s="136">
        <f>Variables!$C$15</f>
        <v>1</v>
      </c>
      <c r="L325" s="137">
        <f t="shared" si="35"/>
        <v>582.83433237724989</v>
      </c>
      <c r="N325" s="138">
        <f>Variables!$E$30*Variables!$C$19</f>
        <v>2.2291759999999998</v>
      </c>
      <c r="O325" s="87">
        <f t="shared" si="36"/>
        <v>1299.2403057113884</v>
      </c>
      <c r="P325" s="145">
        <f>Variables!$E$29</f>
        <v>48.483938529092256</v>
      </c>
      <c r="Q325" s="146">
        <f t="shared" si="37"/>
        <v>28258.103943623108</v>
      </c>
    </row>
    <row r="326" spans="1:17">
      <c r="A326" s="101">
        <v>41</v>
      </c>
      <c r="B326" s="132" t="s">
        <v>61</v>
      </c>
      <c r="C326" s="101">
        <v>2025</v>
      </c>
      <c r="D326" s="133">
        <f>Population!J42</f>
        <v>58068.195687933985</v>
      </c>
      <c r="E326" s="133" t="str">
        <f t="shared" si="38"/>
        <v>Small</v>
      </c>
      <c r="F326" s="133"/>
      <c r="G326" s="134">
        <f>Variables!$C$3*POWER(SUM(1,Variables!$C$2/100),C326-2017)</f>
        <v>19126.930500907933</v>
      </c>
      <c r="H326" s="134">
        <f t="shared" si="33"/>
        <v>389.57846470099548</v>
      </c>
      <c r="I326" s="135">
        <f>VLOOKUP(B326,'Waste per capita'!$B$2:$F$48,4,FALSE)*(H326/Variables!$C$6)</f>
        <v>166.75757782610233</v>
      </c>
      <c r="J326" s="134">
        <f t="shared" si="34"/>
        <v>9683.311661651991</v>
      </c>
      <c r="K326" s="136">
        <f>Variables!$C$15</f>
        <v>1</v>
      </c>
      <c r="L326" s="137">
        <f t="shared" si="35"/>
        <v>9683.311661651991</v>
      </c>
      <c r="N326" s="138">
        <f>Variables!$E$30*Variables!$C$19</f>
        <v>2.2291759999999998</v>
      </c>
      <c r="O326" s="87">
        <f t="shared" si="36"/>
        <v>21585.805956674736</v>
      </c>
      <c r="P326" s="145">
        <f>Variables!$E$29</f>
        <v>48.483938529092256</v>
      </c>
      <c r="Q326" s="146">
        <f t="shared" si="37"/>
        <v>469485.08736157732</v>
      </c>
    </row>
    <row r="327" spans="1:17">
      <c r="A327" s="101">
        <v>42</v>
      </c>
      <c r="B327" s="139" t="s">
        <v>62</v>
      </c>
      <c r="C327" s="101">
        <v>2025</v>
      </c>
      <c r="D327" s="133">
        <f>Population!J43</f>
        <v>50521.250280201886</v>
      </c>
      <c r="E327" s="133" t="str">
        <f t="shared" si="38"/>
        <v>Small</v>
      </c>
      <c r="F327" s="133"/>
      <c r="G327" s="134">
        <f>Variables!$C$3*POWER(SUM(1,Variables!$C$2/100),C327-2017)</f>
        <v>19126.930500907933</v>
      </c>
      <c r="H327" s="134">
        <f t="shared" si="33"/>
        <v>389.57846470099548</v>
      </c>
      <c r="I327" s="135">
        <f>VLOOKUP(B327,'Waste per capita'!$B$2:$F$48,4,FALSE)*(H327/Variables!$C$6)</f>
        <v>166.75757782610233</v>
      </c>
      <c r="J327" s="134">
        <f t="shared" si="34"/>
        <v>8424.8013254727612</v>
      </c>
      <c r="K327" s="136">
        <f>Variables!$C$15</f>
        <v>1</v>
      </c>
      <c r="L327" s="137">
        <f t="shared" si="35"/>
        <v>8424.8013254727612</v>
      </c>
      <c r="N327" s="138">
        <f>Variables!$E$30*Variables!$C$19</f>
        <v>2.2291759999999998</v>
      </c>
      <c r="O327" s="87">
        <f t="shared" si="36"/>
        <v>18780.364919512067</v>
      </c>
      <c r="P327" s="145">
        <f>Variables!$E$29</f>
        <v>48.483938529092256</v>
      </c>
      <c r="Q327" s="146">
        <f t="shared" si="37"/>
        <v>408467.54958403634</v>
      </c>
    </row>
    <row r="328" spans="1:17">
      <c r="A328" s="101">
        <v>43</v>
      </c>
      <c r="B328" s="139" t="s">
        <v>63</v>
      </c>
      <c r="C328" s="101">
        <v>2025</v>
      </c>
      <c r="D328" s="133">
        <f>Population!J44</f>
        <v>26677.342171420063</v>
      </c>
      <c r="E328" s="133" t="str">
        <f t="shared" si="38"/>
        <v>Small</v>
      </c>
      <c r="F328" s="133"/>
      <c r="G328" s="134">
        <f>Variables!$C$3*POWER(SUM(1,Variables!$C$2/100),C328-2017)</f>
        <v>19126.930500907933</v>
      </c>
      <c r="H328" s="134">
        <f t="shared" si="33"/>
        <v>389.57846470099548</v>
      </c>
      <c r="I328" s="135">
        <f>VLOOKUP(B328,'Waste per capita'!$B$2:$F$48,4,FALSE)*(H328/Variables!$C$6)</f>
        <v>166.75757782610233</v>
      </c>
      <c r="J328" s="134">
        <f t="shared" si="34"/>
        <v>4448.6489633441424</v>
      </c>
      <c r="K328" s="136">
        <f>Variables!$C$15</f>
        <v>1</v>
      </c>
      <c r="L328" s="137">
        <f t="shared" si="35"/>
        <v>4448.6489633441424</v>
      </c>
      <c r="N328" s="138">
        <f>Variables!$E$30*Variables!$C$19</f>
        <v>2.2291759999999998</v>
      </c>
      <c r="O328" s="87">
        <f t="shared" si="36"/>
        <v>9916.8215015116421</v>
      </c>
      <c r="P328" s="145">
        <f>Variables!$E$29</f>
        <v>48.483938529092256</v>
      </c>
      <c r="Q328" s="146">
        <f t="shared" si="37"/>
        <v>215688.0228762874</v>
      </c>
    </row>
    <row r="329" spans="1:17">
      <c r="A329" s="101">
        <v>44</v>
      </c>
      <c r="B329" s="85" t="s">
        <v>108</v>
      </c>
      <c r="C329" s="101">
        <v>2025</v>
      </c>
      <c r="D329" s="133">
        <f>Population!J45</f>
        <v>73594.926019429869</v>
      </c>
      <c r="E329" s="133" t="str">
        <f t="shared" si="38"/>
        <v>Small</v>
      </c>
      <c r="F329" s="133"/>
      <c r="G329" s="134">
        <f>Variables!$C$3*POWER(SUM(1,Variables!$C$2/100),C329-2017)</f>
        <v>19126.930500907933</v>
      </c>
      <c r="H329" s="134">
        <f t="shared" si="33"/>
        <v>389.57846470099548</v>
      </c>
      <c r="I329" s="135">
        <f>VLOOKUP(B329,'Waste per capita'!$B$2:$F$48,4,FALSE)*(H329/Variables!$C$6)</f>
        <v>166.75757782610233</v>
      </c>
      <c r="J329" s="134">
        <f t="shared" si="34"/>
        <v>12272.511603291319</v>
      </c>
      <c r="K329" s="136">
        <f>Variables!$C$15</f>
        <v>1</v>
      </c>
      <c r="L329" s="137">
        <f t="shared" si="35"/>
        <v>12272.511603291319</v>
      </c>
      <c r="N329" s="138">
        <f>Variables!$E$30*Variables!$C$19</f>
        <v>2.2291759999999998</v>
      </c>
      <c r="O329" s="87">
        <f t="shared" si="36"/>
        <v>27357.588325778528</v>
      </c>
      <c r="P329" s="145">
        <f>Variables!$E$29</f>
        <v>48.483938529092256</v>
      </c>
      <c r="Q329" s="146">
        <f t="shared" si="37"/>
        <v>595019.69817154773</v>
      </c>
    </row>
    <row r="330" spans="1:17">
      <c r="A330" s="101">
        <v>45</v>
      </c>
      <c r="B330" s="139" t="s">
        <v>64</v>
      </c>
      <c r="C330" s="101">
        <v>2025</v>
      </c>
      <c r="D330" s="133">
        <f>Population!J46</f>
        <v>26210.097463088416</v>
      </c>
      <c r="E330" s="133" t="str">
        <f t="shared" si="38"/>
        <v>Small</v>
      </c>
      <c r="F330" s="133"/>
      <c r="G330" s="134">
        <f>Variables!$C$3*POWER(SUM(1,Variables!$C$2/100),C330-2017)</f>
        <v>19126.930500907933</v>
      </c>
      <c r="H330" s="134">
        <f t="shared" si="33"/>
        <v>389.57846470099548</v>
      </c>
      <c r="I330" s="135">
        <f>VLOOKUP(B330,'Waste per capita'!$B$2:$F$48,4,FALSE)*(H330/Variables!$C$6)</f>
        <v>166.75757782610233</v>
      </c>
      <c r="J330" s="134">
        <f t="shared" si="34"/>
        <v>4370.7323675306943</v>
      </c>
      <c r="K330" s="136">
        <f>Variables!$C$15</f>
        <v>1</v>
      </c>
      <c r="L330" s="137">
        <f t="shared" si="35"/>
        <v>4370.7323675306943</v>
      </c>
      <c r="N330" s="138">
        <f>Variables!$E$30*Variables!$C$19</f>
        <v>2.2291759999999998</v>
      </c>
      <c r="O330" s="87">
        <f t="shared" si="36"/>
        <v>9743.1316961226021</v>
      </c>
      <c r="P330" s="145">
        <f>Variables!$E$29</f>
        <v>48.483938529092256</v>
      </c>
      <c r="Q330" s="146">
        <f t="shared" si="37"/>
        <v>211910.31943447204</v>
      </c>
    </row>
    <row r="331" spans="1:17">
      <c r="A331" s="101">
        <v>46</v>
      </c>
      <c r="B331" s="139" t="s">
        <v>65</v>
      </c>
      <c r="C331" s="101">
        <v>2025</v>
      </c>
      <c r="D331" s="133">
        <f>Population!J47</f>
        <v>33498.449006114402</v>
      </c>
      <c r="E331" s="133" t="str">
        <f t="shared" si="38"/>
        <v>Small</v>
      </c>
      <c r="F331" s="133"/>
      <c r="G331" s="134">
        <f>Variables!$C$3*POWER(SUM(1,Variables!$C$2/100),C331-2017)</f>
        <v>19126.930500907933</v>
      </c>
      <c r="H331" s="134">
        <f t="shared" si="33"/>
        <v>389.57846470099548</v>
      </c>
      <c r="I331" s="135">
        <f>VLOOKUP(B331,'Waste per capita'!$B$2:$F$48,4,FALSE)*(H331/Variables!$C$6)</f>
        <v>184.46505585637183</v>
      </c>
      <c r="J331" s="134">
        <f t="shared" si="34"/>
        <v>6179.2932670147165</v>
      </c>
      <c r="K331" s="136">
        <f>Variables!$C$15</f>
        <v>1</v>
      </c>
      <c r="L331" s="137">
        <f t="shared" si="35"/>
        <v>6179.2932670147165</v>
      </c>
      <c r="N331" s="138">
        <f>Variables!$E$30*Variables!$C$19</f>
        <v>2.2291759999999998</v>
      </c>
      <c r="O331" s="87">
        <f t="shared" si="36"/>
        <v>13774.732247790796</v>
      </c>
      <c r="P331" s="145">
        <f>Variables!$E$29</f>
        <v>48.483938529092256</v>
      </c>
      <c r="Q331" s="146">
        <f t="shared" si="37"/>
        <v>299596.4749111752</v>
      </c>
    </row>
    <row r="332" spans="1:17">
      <c r="A332" s="101">
        <v>47</v>
      </c>
      <c r="B332" s="85" t="s">
        <v>107</v>
      </c>
      <c r="C332" s="101">
        <v>2025</v>
      </c>
      <c r="D332" s="133">
        <f>Population!J48</f>
        <v>74871.247669266915</v>
      </c>
      <c r="E332" s="133" t="str">
        <f t="shared" si="38"/>
        <v>Small</v>
      </c>
      <c r="F332" s="133"/>
      <c r="G332" s="134">
        <f>Variables!$C$3*POWER(SUM(1,Variables!$C$2/100),C332-2017)</f>
        <v>19126.930500907933</v>
      </c>
      <c r="H332" s="134">
        <f t="shared" si="33"/>
        <v>389.57846470099548</v>
      </c>
      <c r="I332" s="135">
        <f>VLOOKUP(B332,'Waste per capita'!$B$2:$F$48,4,FALSE)*(H332/Variables!$C$6)</f>
        <v>166.75757782610233</v>
      </c>
      <c r="J332" s="134">
        <f t="shared" si="34"/>
        <v>12485.347910145159</v>
      </c>
      <c r="K332" s="136">
        <f>Variables!$C$15</f>
        <v>1</v>
      </c>
      <c r="L332" s="137">
        <f t="shared" si="35"/>
        <v>12485.347910145159</v>
      </c>
      <c r="N332" s="138">
        <f>Variables!$E$30*Variables!$C$19</f>
        <v>2.2291759999999998</v>
      </c>
      <c r="O332" s="87">
        <f t="shared" si="36"/>
        <v>27832.037912945743</v>
      </c>
      <c r="P332" s="145">
        <f>Variables!$E$29</f>
        <v>48.483938529092256</v>
      </c>
      <c r="Q332" s="146">
        <f t="shared" si="37"/>
        <v>605338.84058980842</v>
      </c>
    </row>
    <row r="333" spans="1:17">
      <c r="A333" s="101">
        <v>1</v>
      </c>
      <c r="B333" s="132" t="s">
        <v>21</v>
      </c>
      <c r="C333" s="101">
        <v>2026</v>
      </c>
      <c r="D333" s="133">
        <f>Population!K2</f>
        <v>8089871.5893640034</v>
      </c>
      <c r="E333" s="133" t="str">
        <f t="shared" si="38"/>
        <v>Large</v>
      </c>
      <c r="F333" s="133"/>
      <c r="G333" s="134">
        <f>Variables!$C$3*POWER(SUM(1,Variables!$C$2/100),C333-2017)</f>
        <v>19799.43337731986</v>
      </c>
      <c r="H333" s="134">
        <f t="shared" si="33"/>
        <v>395.23110292430101</v>
      </c>
      <c r="I333" s="135">
        <f>VLOOKUP(B333,'Waste per capita'!$B$2:$F$48,4,FALSE)*(H333/Variables!$C$6)</f>
        <v>351.69660125870814</v>
      </c>
      <c r="J333" s="134">
        <f t="shared" si="34"/>
        <v>2845180.3425987032</v>
      </c>
      <c r="K333" s="136">
        <f>Variables!$C$15</f>
        <v>1</v>
      </c>
      <c r="L333" s="137">
        <f t="shared" si="35"/>
        <v>2845180.3425987032</v>
      </c>
      <c r="N333" s="138">
        <f>Variables!$E$30*Variables!$C$19</f>
        <v>2.2291759999999998</v>
      </c>
      <c r="O333" s="87">
        <f t="shared" si="36"/>
        <v>6342407.7353928061</v>
      </c>
      <c r="P333" s="145">
        <f>Variables!$E$29</f>
        <v>48.483938529092256</v>
      </c>
      <c r="Q333" s="146">
        <f t="shared" si="37"/>
        <v>137945548.83473718</v>
      </c>
    </row>
    <row r="334" spans="1:17">
      <c r="A334" s="101">
        <v>2</v>
      </c>
      <c r="B334" s="132" t="s">
        <v>22</v>
      </c>
      <c r="C334" s="101">
        <v>2026</v>
      </c>
      <c r="D334" s="133">
        <f>Population!K3</f>
        <v>2672412.1579576414</v>
      </c>
      <c r="E334" s="133" t="str">
        <f t="shared" si="38"/>
        <v>Large</v>
      </c>
      <c r="F334" s="133"/>
      <c r="G334" s="134">
        <f>Variables!$C$3*POWER(SUM(1,Variables!$C$2/100),C334-2017)</f>
        <v>19799.43337731986</v>
      </c>
      <c r="H334" s="134">
        <f t="shared" si="33"/>
        <v>395.23110292430101</v>
      </c>
      <c r="I334" s="135">
        <f>VLOOKUP(B334,'Waste per capita'!$B$2:$F$48,4,FALSE)*(H334/Variables!$C$6)</f>
        <v>157.58840786419145</v>
      </c>
      <c r="J334" s="134">
        <f t="shared" si="34"/>
        <v>421141.17712945282</v>
      </c>
      <c r="K334" s="136">
        <f>Variables!$C$15</f>
        <v>1</v>
      </c>
      <c r="L334" s="137">
        <f t="shared" si="35"/>
        <v>421141.17712945282</v>
      </c>
      <c r="N334" s="138">
        <f>Variables!$E$30*Variables!$C$19</f>
        <v>2.2291759999999998</v>
      </c>
      <c r="O334" s="87">
        <f t="shared" si="36"/>
        <v>938797.804668725</v>
      </c>
      <c r="P334" s="145">
        <f>Variables!$E$29</f>
        <v>48.483938529092256</v>
      </c>
      <c r="Q334" s="146">
        <f t="shared" si="37"/>
        <v>20418582.944013946</v>
      </c>
    </row>
    <row r="335" spans="1:17">
      <c r="A335" s="101">
        <v>3</v>
      </c>
      <c r="B335" s="132" t="s">
        <v>23</v>
      </c>
      <c r="C335" s="101">
        <v>2026</v>
      </c>
      <c r="D335" s="133">
        <f>Population!K4</f>
        <v>2053448.4148343983</v>
      </c>
      <c r="E335" s="133" t="str">
        <f t="shared" si="38"/>
        <v>Large</v>
      </c>
      <c r="F335" s="133"/>
      <c r="G335" s="134">
        <f>Variables!$C$3*POWER(SUM(1,Variables!$C$2/100),C335-2017)</f>
        <v>19799.43337731986</v>
      </c>
      <c r="H335" s="134">
        <f t="shared" si="33"/>
        <v>395.23110292430101</v>
      </c>
      <c r="I335" s="135">
        <f>VLOOKUP(B335,'Waste per capita'!$B$2:$F$48,4,FALSE)*(H335/Variables!$C$6)</f>
        <v>117.17668542537714</v>
      </c>
      <c r="J335" s="134">
        <f t="shared" si="34"/>
        <v>240616.27894228965</v>
      </c>
      <c r="K335" s="136">
        <f>Variables!$C$15</f>
        <v>1</v>
      </c>
      <c r="L335" s="137">
        <f t="shared" si="35"/>
        <v>240616.27894228965</v>
      </c>
      <c r="N335" s="138">
        <f>Variables!$E$30*Variables!$C$19</f>
        <v>2.2291759999999998</v>
      </c>
      <c r="O335" s="87">
        <f t="shared" si="36"/>
        <v>536376.03422745736</v>
      </c>
      <c r="P335" s="145">
        <f>Variables!$E$29</f>
        <v>48.483938529092256</v>
      </c>
      <c r="Q335" s="146">
        <f t="shared" si="37"/>
        <v>11666024.877336888</v>
      </c>
    </row>
    <row r="336" spans="1:17">
      <c r="A336" s="101">
        <v>4</v>
      </c>
      <c r="B336" s="132" t="s">
        <v>24</v>
      </c>
      <c r="C336" s="101">
        <v>2026</v>
      </c>
      <c r="D336" s="133">
        <f>Population!K5</f>
        <v>1261787.7257231618</v>
      </c>
      <c r="E336" s="133" t="str">
        <f t="shared" si="38"/>
        <v>Large</v>
      </c>
      <c r="F336" s="133"/>
      <c r="G336" s="134">
        <f>Variables!$C$3*POWER(SUM(1,Variables!$C$2/100),C336-2017)</f>
        <v>19799.43337731986</v>
      </c>
      <c r="H336" s="134">
        <f t="shared" si="33"/>
        <v>395.23110292430101</v>
      </c>
      <c r="I336" s="135">
        <f>VLOOKUP(B336,'Waste per capita'!$B$2:$F$48,4,FALSE)*(H336/Variables!$C$6)</f>
        <v>403.60858313185463</v>
      </c>
      <c r="J336" s="134">
        <f t="shared" si="34"/>
        <v>509268.35619229055</v>
      </c>
      <c r="K336" s="136">
        <f>Variables!$C$15</f>
        <v>1</v>
      </c>
      <c r="L336" s="137">
        <f t="shared" si="35"/>
        <v>509268.35619229055</v>
      </c>
      <c r="N336" s="138">
        <f>Variables!$E$30*Variables!$C$19</f>
        <v>2.2291759999999998</v>
      </c>
      <c r="O336" s="87">
        <f t="shared" si="36"/>
        <v>1135248.7971833055</v>
      </c>
      <c r="P336" s="145">
        <f>Variables!$E$29</f>
        <v>48.483938529092256</v>
      </c>
      <c r="Q336" s="146">
        <f t="shared" si="37"/>
        <v>24691335.676438875</v>
      </c>
    </row>
    <row r="337" spans="1:17">
      <c r="A337" s="101">
        <v>5</v>
      </c>
      <c r="B337" s="132" t="s">
        <v>25</v>
      </c>
      <c r="C337" s="101">
        <v>2026</v>
      </c>
      <c r="D337" s="133">
        <f>Population!K6</f>
        <v>595751.23688386043</v>
      </c>
      <c r="E337" s="133" t="str">
        <f t="shared" si="38"/>
        <v>Medium</v>
      </c>
      <c r="F337" s="133"/>
      <c r="G337" s="134">
        <f>Variables!$C$3*POWER(SUM(1,Variables!$C$2/100),C337-2017)</f>
        <v>19799.43337731986</v>
      </c>
      <c r="H337" s="134">
        <f t="shared" si="33"/>
        <v>395.23110292430101</v>
      </c>
      <c r="I337" s="135">
        <f>VLOOKUP(B337,'Waste per capita'!$B$2:$F$48,4,FALSE)*(H337/Variables!$C$6)</f>
        <v>153.89936767068707</v>
      </c>
      <c r="J337" s="134">
        <f t="shared" si="34"/>
        <v>91685.738645455829</v>
      </c>
      <c r="K337" s="136">
        <f>Variables!$C$15</f>
        <v>1</v>
      </c>
      <c r="L337" s="137">
        <f t="shared" si="35"/>
        <v>91685.738645455829</v>
      </c>
      <c r="N337" s="138">
        <f>Variables!$E$30*Variables!$C$19</f>
        <v>2.2291759999999998</v>
      </c>
      <c r="O337" s="87">
        <f t="shared" si="36"/>
        <v>204383.64813072263</v>
      </c>
      <c r="P337" s="145">
        <f>Variables!$E$29</f>
        <v>48.483938529092256</v>
      </c>
      <c r="Q337" s="146">
        <f t="shared" si="37"/>
        <v>4445285.7164806984</v>
      </c>
    </row>
    <row r="338" spans="1:17">
      <c r="A338" s="101">
        <v>6</v>
      </c>
      <c r="B338" s="132" t="s">
        <v>26</v>
      </c>
      <c r="C338" s="101">
        <v>2026</v>
      </c>
      <c r="D338" s="133">
        <f>Population!K7</f>
        <v>1000264.5862969554</v>
      </c>
      <c r="E338" s="133" t="str">
        <f t="shared" si="38"/>
        <v>Large</v>
      </c>
      <c r="F338" s="133"/>
      <c r="G338" s="134">
        <f>Variables!$C$3*POWER(SUM(1,Variables!$C$2/100),C338-2017)</f>
        <v>19799.43337731986</v>
      </c>
      <c r="H338" s="134">
        <f t="shared" si="33"/>
        <v>395.23110292430101</v>
      </c>
      <c r="I338" s="135">
        <f>VLOOKUP(B338,'Waste per capita'!$B$2:$F$48,4,FALSE)*(H338/Variables!$C$6)</f>
        <v>153.89936767068707</v>
      </c>
      <c r="J338" s="134">
        <f t="shared" si="34"/>
        <v>153940.08733448281</v>
      </c>
      <c r="K338" s="136">
        <f>Variables!$C$15</f>
        <v>1</v>
      </c>
      <c r="L338" s="137">
        <f t="shared" si="35"/>
        <v>153940.08733448281</v>
      </c>
      <c r="N338" s="138">
        <f>Variables!$E$30*Variables!$C$19</f>
        <v>2.2291759999999998</v>
      </c>
      <c r="O338" s="87">
        <f t="shared" si="36"/>
        <v>343159.54812393303</v>
      </c>
      <c r="P338" s="145">
        <f>Variables!$E$29</f>
        <v>48.483938529092256</v>
      </c>
      <c r="Q338" s="146">
        <f t="shared" si="37"/>
        <v>7463621.731488158</v>
      </c>
    </row>
    <row r="339" spans="1:17">
      <c r="A339" s="101">
        <v>7</v>
      </c>
      <c r="B339" s="132" t="s">
        <v>27</v>
      </c>
      <c r="C339" s="101">
        <v>2026</v>
      </c>
      <c r="D339" s="133">
        <f>Population!K8</f>
        <v>709030.20489929779</v>
      </c>
      <c r="E339" s="133" t="str">
        <f t="shared" si="38"/>
        <v>Medium</v>
      </c>
      <c r="F339" s="133"/>
      <c r="G339" s="134">
        <f>Variables!$C$3*POWER(SUM(1,Variables!$C$2/100),C339-2017)</f>
        <v>19799.43337731986</v>
      </c>
      <c r="H339" s="134">
        <f t="shared" si="33"/>
        <v>395.23110292430101</v>
      </c>
      <c r="I339" s="135">
        <f>VLOOKUP(B339,'Waste per capita'!$B$2:$F$48,4,FALSE)*(H339/Variables!$C$6)</f>
        <v>153.89936767068707</v>
      </c>
      <c r="J339" s="134">
        <f t="shared" si="34"/>
        <v>109119.30019341962</v>
      </c>
      <c r="K339" s="136">
        <f>Variables!$C$15</f>
        <v>1</v>
      </c>
      <c r="L339" s="137">
        <f t="shared" si="35"/>
        <v>109119.30019341962</v>
      </c>
      <c r="N339" s="138">
        <f>Variables!$E$30*Variables!$C$19</f>
        <v>2.2291759999999998</v>
      </c>
      <c r="O339" s="87">
        <f t="shared" si="36"/>
        <v>243246.12512796637</v>
      </c>
      <c r="P339" s="145">
        <f>Variables!$E$29</f>
        <v>48.483938529092256</v>
      </c>
      <c r="Q339" s="146">
        <f t="shared" si="37"/>
        <v>5290533.4429153213</v>
      </c>
    </row>
    <row r="340" spans="1:17">
      <c r="A340" s="101">
        <v>8</v>
      </c>
      <c r="B340" s="132" t="s">
        <v>28</v>
      </c>
      <c r="C340" s="101">
        <v>2026</v>
      </c>
      <c r="D340" s="133">
        <f>Population!K9</f>
        <v>461490.21795049892</v>
      </c>
      <c r="E340" s="133" t="str">
        <f t="shared" si="38"/>
        <v>Medium</v>
      </c>
      <c r="F340" s="133"/>
      <c r="G340" s="134">
        <f>Variables!$C$3*POWER(SUM(1,Variables!$C$2/100),C340-2017)</f>
        <v>19799.43337731986</v>
      </c>
      <c r="H340" s="134">
        <f t="shared" si="33"/>
        <v>395.23110292430101</v>
      </c>
      <c r="I340" s="135">
        <f>VLOOKUP(B340,'Waste per capita'!$B$2:$F$48,4,FALSE)*(H340/Variables!$C$6)</f>
        <v>153.89936767068707</v>
      </c>
      <c r="J340" s="134">
        <f t="shared" si="34"/>
        <v>71023.052728789349</v>
      </c>
      <c r="K340" s="136">
        <f>Variables!$C$15</f>
        <v>1</v>
      </c>
      <c r="L340" s="137">
        <f t="shared" si="35"/>
        <v>71023.052728789349</v>
      </c>
      <c r="N340" s="138">
        <f>Variables!$E$30*Variables!$C$19</f>
        <v>2.2291759999999998</v>
      </c>
      <c r="O340" s="87">
        <f t="shared" si="36"/>
        <v>158322.88458975172</v>
      </c>
      <c r="P340" s="145">
        <f>Variables!$E$29</f>
        <v>48.483938529092256</v>
      </c>
      <c r="Q340" s="146">
        <f t="shared" si="37"/>
        <v>3443477.3226511008</v>
      </c>
    </row>
    <row r="341" spans="1:17">
      <c r="A341" s="101">
        <v>9</v>
      </c>
      <c r="B341" s="132" t="s">
        <v>29</v>
      </c>
      <c r="C341" s="101">
        <v>2026</v>
      </c>
      <c r="D341" s="133">
        <f>Population!K10</f>
        <v>540550.8471555172</v>
      </c>
      <c r="E341" s="133" t="str">
        <f t="shared" si="38"/>
        <v>Medium</v>
      </c>
      <c r="F341" s="133"/>
      <c r="G341" s="134">
        <f>Variables!$C$3*POWER(SUM(1,Variables!$C$2/100),C341-2017)</f>
        <v>19799.43337731986</v>
      </c>
      <c r="H341" s="134">
        <f t="shared" si="33"/>
        <v>395.23110292430101</v>
      </c>
      <c r="I341" s="135">
        <f>VLOOKUP(B341,'Waste per capita'!$B$2:$F$48,4,FALSE)*(H341/Variables!$C$6)</f>
        <v>153.89936767068707</v>
      </c>
      <c r="J341" s="134">
        <f t="shared" si="34"/>
        <v>83190.433571088317</v>
      </c>
      <c r="K341" s="136">
        <f>Variables!$C$15</f>
        <v>1</v>
      </c>
      <c r="L341" s="137">
        <f t="shared" si="35"/>
        <v>83190.433571088317</v>
      </c>
      <c r="N341" s="138">
        <f>Variables!$E$30*Variables!$C$19</f>
        <v>2.2291759999999998</v>
      </c>
      <c r="O341" s="87">
        <f t="shared" si="36"/>
        <v>185446.11794626436</v>
      </c>
      <c r="P341" s="145">
        <f>Variables!$E$29</f>
        <v>48.483938529092256</v>
      </c>
      <c r="Q341" s="146">
        <f t="shared" si="37"/>
        <v>4033399.867469179</v>
      </c>
    </row>
    <row r="342" spans="1:17">
      <c r="A342" s="101">
        <v>10</v>
      </c>
      <c r="B342" s="132" t="s">
        <v>30</v>
      </c>
      <c r="C342" s="101">
        <v>2026</v>
      </c>
      <c r="D342" s="133">
        <f>Population!K11</f>
        <v>564019.06721205718</v>
      </c>
      <c r="E342" s="133" t="str">
        <f t="shared" si="38"/>
        <v>Medium</v>
      </c>
      <c r="F342" s="133"/>
      <c r="G342" s="134">
        <f>Variables!$C$3*POWER(SUM(1,Variables!$C$2/100),C342-2017)</f>
        <v>19799.43337731986</v>
      </c>
      <c r="H342" s="134">
        <f t="shared" si="33"/>
        <v>395.23110292430101</v>
      </c>
      <c r="I342" s="135">
        <f>VLOOKUP(B342,'Waste per capita'!$B$2:$F$48,4,FALSE)*(H342/Variables!$C$6)</f>
        <v>153.89936767068707</v>
      </c>
      <c r="J342" s="134">
        <f t="shared" si="34"/>
        <v>86802.177798146353</v>
      </c>
      <c r="K342" s="136">
        <f>Variables!$C$15</f>
        <v>1</v>
      </c>
      <c r="L342" s="137">
        <f t="shared" si="35"/>
        <v>86802.177798146353</v>
      </c>
      <c r="N342" s="138">
        <f>Variables!$E$30*Variables!$C$19</f>
        <v>2.2291759999999998</v>
      </c>
      <c r="O342" s="87">
        <f t="shared" si="36"/>
        <v>193497.33149536068</v>
      </c>
      <c r="P342" s="145">
        <f>Variables!$E$29</f>
        <v>48.483938529092256</v>
      </c>
      <c r="Q342" s="146">
        <f t="shared" si="37"/>
        <v>4208511.4525566641</v>
      </c>
    </row>
    <row r="343" spans="1:17">
      <c r="A343" s="101">
        <v>11</v>
      </c>
      <c r="B343" s="132" t="s">
        <v>31</v>
      </c>
      <c r="C343" s="101">
        <v>2026</v>
      </c>
      <c r="D343" s="133">
        <f>Population!K12</f>
        <v>396892.62706477765</v>
      </c>
      <c r="E343" s="133" t="str">
        <f t="shared" si="38"/>
        <v>Medium</v>
      </c>
      <c r="F343" s="133"/>
      <c r="G343" s="134">
        <f>Variables!$C$3*POWER(SUM(1,Variables!$C$2/100),C343-2017)</f>
        <v>19799.43337731986</v>
      </c>
      <c r="H343" s="134">
        <f t="shared" si="33"/>
        <v>395.23110292430101</v>
      </c>
      <c r="I343" s="135">
        <f>VLOOKUP(B343,'Waste per capita'!$B$2:$F$48,4,FALSE)*(H343/Variables!$C$6)</f>
        <v>153.89936767068707</v>
      </c>
      <c r="J343" s="134">
        <f t="shared" si="34"/>
        <v>61081.524338427102</v>
      </c>
      <c r="K343" s="136">
        <f>Variables!$C$15</f>
        <v>1</v>
      </c>
      <c r="L343" s="137">
        <f t="shared" si="35"/>
        <v>61081.524338427102</v>
      </c>
      <c r="N343" s="138">
        <f>Variables!$E$30*Variables!$C$19</f>
        <v>2.2291759999999998</v>
      </c>
      <c r="O343" s="87">
        <f t="shared" si="36"/>
        <v>136161.46809863756</v>
      </c>
      <c r="P343" s="145">
        <f>Variables!$E$29</f>
        <v>48.483938529092256</v>
      </c>
      <c r="Q343" s="146">
        <f t="shared" si="37"/>
        <v>2961472.8712875522</v>
      </c>
    </row>
    <row r="344" spans="1:17">
      <c r="A344" s="101">
        <v>12</v>
      </c>
      <c r="B344" s="132" t="s">
        <v>32</v>
      </c>
      <c r="C344" s="101">
        <v>2026</v>
      </c>
      <c r="D344" s="133">
        <f>Population!K13</f>
        <v>451088.18540587783</v>
      </c>
      <c r="E344" s="133" t="str">
        <f t="shared" si="38"/>
        <v>Medium</v>
      </c>
      <c r="F344" s="133"/>
      <c r="G344" s="134">
        <f>Variables!$C$3*POWER(SUM(1,Variables!$C$2/100),C344-2017)</f>
        <v>19799.43337731986</v>
      </c>
      <c r="H344" s="134">
        <f t="shared" si="33"/>
        <v>395.23110292430101</v>
      </c>
      <c r="I344" s="135">
        <f>VLOOKUP(B344,'Waste per capita'!$B$2:$F$48,4,FALSE)*(H344/Variables!$C$6)</f>
        <v>153.89936767068707</v>
      </c>
      <c r="J344" s="134">
        <f t="shared" si="34"/>
        <v>69422.18649768224</v>
      </c>
      <c r="K344" s="136">
        <f>Variables!$C$15</f>
        <v>1</v>
      </c>
      <c r="L344" s="137">
        <f t="shared" si="35"/>
        <v>69422.18649768224</v>
      </c>
      <c r="N344" s="138">
        <f>Variables!$E$30*Variables!$C$19</f>
        <v>2.2291759999999998</v>
      </c>
      <c r="O344" s="87">
        <f t="shared" si="36"/>
        <v>154754.27200815731</v>
      </c>
      <c r="P344" s="145">
        <f>Variables!$E$29</f>
        <v>48.483938529092256</v>
      </c>
      <c r="Q344" s="146">
        <f t="shared" si="37"/>
        <v>3365861.0227088043</v>
      </c>
    </row>
    <row r="345" spans="1:17">
      <c r="A345" s="101">
        <v>13</v>
      </c>
      <c r="B345" s="132" t="s">
        <v>33</v>
      </c>
      <c r="C345" s="101">
        <v>2026</v>
      </c>
      <c r="D345" s="133">
        <f>Population!K14</f>
        <v>508286.97298284108</v>
      </c>
      <c r="E345" s="133" t="str">
        <f t="shared" si="38"/>
        <v>Medium</v>
      </c>
      <c r="F345" s="133"/>
      <c r="G345" s="134">
        <f>Variables!$C$3*POWER(SUM(1,Variables!$C$2/100),C345-2017)</f>
        <v>19799.43337731986</v>
      </c>
      <c r="H345" s="134">
        <f t="shared" si="33"/>
        <v>395.23110292430101</v>
      </c>
      <c r="I345" s="135">
        <f>VLOOKUP(B345,'Waste per capita'!$B$2:$F$48,4,FALSE)*(H345/Variables!$C$6)</f>
        <v>153.89936767068707</v>
      </c>
      <c r="J345" s="134">
        <f t="shared" si="34"/>
        <v>78225.043737306842</v>
      </c>
      <c r="K345" s="136">
        <f>Variables!$C$15</f>
        <v>1</v>
      </c>
      <c r="L345" s="137">
        <f t="shared" si="35"/>
        <v>78225.043737306842</v>
      </c>
      <c r="N345" s="138">
        <f>Variables!$E$30*Variables!$C$19</f>
        <v>2.2291759999999998</v>
      </c>
      <c r="O345" s="87">
        <f t="shared" si="36"/>
        <v>174377.39009815469</v>
      </c>
      <c r="P345" s="145">
        <f>Variables!$E$29</f>
        <v>48.483938529092256</v>
      </c>
      <c r="Q345" s="146">
        <f t="shared" si="37"/>
        <v>3792658.2119951383</v>
      </c>
    </row>
    <row r="346" spans="1:17">
      <c r="A346" s="101">
        <v>14</v>
      </c>
      <c r="B346" s="132" t="s">
        <v>34</v>
      </c>
      <c r="C346" s="101">
        <v>2026</v>
      </c>
      <c r="D346" s="133">
        <f>Population!K15</f>
        <v>354311.20729147515</v>
      </c>
      <c r="E346" s="133" t="str">
        <f t="shared" si="38"/>
        <v>Medium</v>
      </c>
      <c r="F346" s="133"/>
      <c r="G346" s="134">
        <f>Variables!$C$3*POWER(SUM(1,Variables!$C$2/100),C346-2017)</f>
        <v>19799.43337731986</v>
      </c>
      <c r="H346" s="134">
        <f t="shared" si="33"/>
        <v>395.23110292430101</v>
      </c>
      <c r="I346" s="135">
        <f>VLOOKUP(B346,'Waste per capita'!$B$2:$F$48,4,FALSE)*(H346/Variables!$C$6)</f>
        <v>153.89936767068707</v>
      </c>
      <c r="J346" s="134">
        <f t="shared" si="34"/>
        <v>54528.270760795756</v>
      </c>
      <c r="K346" s="136">
        <f>Variables!$C$15</f>
        <v>1</v>
      </c>
      <c r="L346" s="137">
        <f t="shared" si="35"/>
        <v>54528.270760795756</v>
      </c>
      <c r="N346" s="138">
        <f>Variables!$E$30*Variables!$C$19</f>
        <v>2.2291759999999998</v>
      </c>
      <c r="O346" s="87">
        <f t="shared" si="36"/>
        <v>121553.11250146764</v>
      </c>
      <c r="P346" s="145">
        <f>Variables!$E$29</f>
        <v>48.483938529092256</v>
      </c>
      <c r="Q346" s="146">
        <f t="shared" si="37"/>
        <v>2643745.3276641201</v>
      </c>
    </row>
    <row r="347" spans="1:17">
      <c r="A347" s="101">
        <v>15</v>
      </c>
      <c r="B347" s="132" t="s">
        <v>35</v>
      </c>
      <c r="C347" s="101">
        <v>2026</v>
      </c>
      <c r="D347" s="133">
        <f>Population!K16</f>
        <v>310507.54306171666</v>
      </c>
      <c r="E347" s="133" t="str">
        <f t="shared" si="38"/>
        <v>Medium</v>
      </c>
      <c r="F347" s="133"/>
      <c r="G347" s="134">
        <f>Variables!$C$3*POWER(SUM(1,Variables!$C$2/100),C347-2017)</f>
        <v>19799.43337731986</v>
      </c>
      <c r="H347" s="134">
        <f t="shared" si="33"/>
        <v>395.23110292430101</v>
      </c>
      <c r="I347" s="135">
        <f>VLOOKUP(B347,'Waste per capita'!$B$2:$F$48,4,FALSE)*(H347/Variables!$C$6)</f>
        <v>95.374288533340831</v>
      </c>
      <c r="J347" s="134">
        <f t="shared" si="34"/>
        <v>29614.436003746916</v>
      </c>
      <c r="K347" s="136">
        <f>Variables!$C$15</f>
        <v>1</v>
      </c>
      <c r="L347" s="137">
        <f t="shared" si="35"/>
        <v>29614.436003746916</v>
      </c>
      <c r="N347" s="138">
        <f>Variables!$E$30*Variables!$C$19</f>
        <v>2.2291759999999998</v>
      </c>
      <c r="O347" s="87">
        <f t="shared" si="36"/>
        <v>66015.789993088532</v>
      </c>
      <c r="P347" s="145">
        <f>Variables!$E$29</f>
        <v>48.483938529092256</v>
      </c>
      <c r="Q347" s="146">
        <f t="shared" si="37"/>
        <v>1435824.4947794019</v>
      </c>
    </row>
    <row r="348" spans="1:17">
      <c r="A348" s="101">
        <v>16</v>
      </c>
      <c r="B348" s="132" t="s">
        <v>36</v>
      </c>
      <c r="C348" s="101">
        <v>2026</v>
      </c>
      <c r="D348" s="133">
        <f>Population!K17</f>
        <v>517453.24315996707</v>
      </c>
      <c r="E348" s="133" t="str">
        <f t="shared" si="38"/>
        <v>Medium</v>
      </c>
      <c r="F348" s="133"/>
      <c r="G348" s="134">
        <f>Variables!$C$3*POWER(SUM(1,Variables!$C$2/100),C348-2017)</f>
        <v>19799.43337731986</v>
      </c>
      <c r="H348" s="134">
        <f t="shared" si="33"/>
        <v>395.23110292430101</v>
      </c>
      <c r="I348" s="135">
        <f>VLOOKUP(B348,'Waste per capita'!$B$2:$F$48,4,FALSE)*(H348/Variables!$C$6)</f>
        <v>153.89936767068707</v>
      </c>
      <c r="J348" s="134">
        <f t="shared" si="34"/>
        <v>79635.726921465219</v>
      </c>
      <c r="K348" s="136">
        <f>Variables!$C$15</f>
        <v>1</v>
      </c>
      <c r="L348" s="137">
        <f t="shared" si="35"/>
        <v>79635.726921465219</v>
      </c>
      <c r="N348" s="138">
        <f>Variables!$E$30*Variables!$C$19</f>
        <v>2.2291759999999998</v>
      </c>
      <c r="O348" s="87">
        <f t="shared" si="36"/>
        <v>177522.05119588412</v>
      </c>
      <c r="P348" s="145">
        <f>Variables!$E$29</f>
        <v>48.483938529092256</v>
      </c>
      <c r="Q348" s="146">
        <f t="shared" si="37"/>
        <v>3861053.6887798971</v>
      </c>
    </row>
    <row r="349" spans="1:17">
      <c r="A349" s="101">
        <v>17</v>
      </c>
      <c r="B349" s="132" t="s">
        <v>37</v>
      </c>
      <c r="C349" s="101">
        <v>2026</v>
      </c>
      <c r="D349" s="133">
        <f>Population!K18</f>
        <v>488585.74413587578</v>
      </c>
      <c r="E349" s="133" t="str">
        <f t="shared" si="38"/>
        <v>Medium</v>
      </c>
      <c r="F349" s="133"/>
      <c r="G349" s="134">
        <f>Variables!$C$3*POWER(SUM(1,Variables!$C$2/100),C349-2017)</f>
        <v>19799.43337731986</v>
      </c>
      <c r="H349" s="134">
        <f t="shared" si="33"/>
        <v>395.23110292430101</v>
      </c>
      <c r="I349" s="135">
        <f>VLOOKUP(B349,'Waste per capita'!$B$2:$F$48,4,FALSE)*(H349/Variables!$C$6)</f>
        <v>153.89936767068707</v>
      </c>
      <c r="J349" s="134">
        <f t="shared" si="34"/>
        <v>75193.037075423388</v>
      </c>
      <c r="K349" s="136">
        <f>Variables!$C$15</f>
        <v>1</v>
      </c>
      <c r="L349" s="137">
        <f t="shared" si="35"/>
        <v>75193.037075423388</v>
      </c>
      <c r="N349" s="138">
        <f>Variables!$E$30*Variables!$C$19</f>
        <v>2.2291759999999998</v>
      </c>
      <c r="O349" s="87">
        <f t="shared" si="36"/>
        <v>167618.51361564398</v>
      </c>
      <c r="P349" s="145">
        <f>Variables!$E$29</f>
        <v>48.483938529092256</v>
      </c>
      <c r="Q349" s="146">
        <f t="shared" si="37"/>
        <v>3645654.5873805825</v>
      </c>
    </row>
    <row r="350" spans="1:17">
      <c r="A350" s="101">
        <v>18</v>
      </c>
      <c r="B350" s="132" t="s">
        <v>38</v>
      </c>
      <c r="C350" s="101">
        <v>2026</v>
      </c>
      <c r="D350" s="133">
        <f>Population!K19</f>
        <v>309359.64711597603</v>
      </c>
      <c r="E350" s="133" t="str">
        <f t="shared" si="38"/>
        <v>Medium</v>
      </c>
      <c r="F350" s="133"/>
      <c r="G350" s="134">
        <f>Variables!$C$3*POWER(SUM(1,Variables!$C$2/100),C350-2017)</f>
        <v>19799.43337731986</v>
      </c>
      <c r="H350" s="134">
        <f t="shared" si="33"/>
        <v>395.23110292430101</v>
      </c>
      <c r="I350" s="135">
        <f>VLOOKUP(B350,'Waste per capita'!$B$2:$F$48,4,FALSE)*(H350/Variables!$C$6)</f>
        <v>153.89936767068707</v>
      </c>
      <c r="J350" s="134">
        <f t="shared" si="34"/>
        <v>47610.2540739756</v>
      </c>
      <c r="K350" s="136">
        <f>Variables!$C$15</f>
        <v>1</v>
      </c>
      <c r="L350" s="137">
        <f t="shared" si="35"/>
        <v>47610.2540739756</v>
      </c>
      <c r="N350" s="138">
        <f>Variables!$E$30*Variables!$C$19</f>
        <v>2.2291759999999998</v>
      </c>
      <c r="O350" s="87">
        <f t="shared" si="36"/>
        <v>106131.63573560862</v>
      </c>
      <c r="P350" s="145">
        <f>Variables!$E$29</f>
        <v>48.483938529092256</v>
      </c>
      <c r="Q350" s="146">
        <f t="shared" si="37"/>
        <v>2308332.6318770973</v>
      </c>
    </row>
    <row r="351" spans="1:17">
      <c r="A351" s="101">
        <v>19</v>
      </c>
      <c r="B351" s="132" t="s">
        <v>39</v>
      </c>
      <c r="C351" s="101">
        <v>2026</v>
      </c>
      <c r="D351" s="133">
        <f>Population!K20</f>
        <v>312342.5994852804</v>
      </c>
      <c r="E351" s="133" t="str">
        <f t="shared" si="38"/>
        <v>Medium</v>
      </c>
      <c r="F351" s="133"/>
      <c r="G351" s="134">
        <f>Variables!$C$3*POWER(SUM(1,Variables!$C$2/100),C351-2017)</f>
        <v>19799.43337731986</v>
      </c>
      <c r="H351" s="134">
        <f t="shared" si="33"/>
        <v>395.23110292430101</v>
      </c>
      <c r="I351" s="135">
        <f>VLOOKUP(B351,'Waste per capita'!$B$2:$F$48,4,FALSE)*(H351/Variables!$C$6)</f>
        <v>153.89936767068707</v>
      </c>
      <c r="J351" s="134">
        <f t="shared" si="34"/>
        <v>48069.328557403322</v>
      </c>
      <c r="K351" s="136">
        <f>Variables!$C$15</f>
        <v>1</v>
      </c>
      <c r="L351" s="137">
        <f t="shared" si="35"/>
        <v>48069.328557403322</v>
      </c>
      <c r="N351" s="138">
        <f>Variables!$E$30*Variables!$C$19</f>
        <v>2.2291759999999998</v>
      </c>
      <c r="O351" s="87">
        <f t="shared" si="36"/>
        <v>107154.9935562781</v>
      </c>
      <c r="P351" s="145">
        <f>Variables!$E$29</f>
        <v>48.483938529092256</v>
      </c>
      <c r="Q351" s="146">
        <f t="shared" si="37"/>
        <v>2330590.3709118818</v>
      </c>
    </row>
    <row r="352" spans="1:17">
      <c r="A352" s="101">
        <v>20</v>
      </c>
      <c r="B352" s="132" t="s">
        <v>40</v>
      </c>
      <c r="C352" s="101">
        <v>2026</v>
      </c>
      <c r="D352" s="133">
        <f>Population!K21</f>
        <v>189240.61611473199</v>
      </c>
      <c r="E352" s="133" t="str">
        <f t="shared" si="38"/>
        <v>Medium</v>
      </c>
      <c r="F352" s="133"/>
      <c r="G352" s="134">
        <f>Variables!$C$3*POWER(SUM(1,Variables!$C$2/100),C352-2017)</f>
        <v>19799.43337731986</v>
      </c>
      <c r="H352" s="134">
        <f t="shared" si="33"/>
        <v>395.23110292430101</v>
      </c>
      <c r="I352" s="135">
        <f>VLOOKUP(B352,'Waste per capita'!$B$2:$F$48,4,FALSE)*(H352/Variables!$C$6)</f>
        <v>153.89936767068707</v>
      </c>
      <c r="J352" s="134">
        <f t="shared" si="34"/>
        <v>29124.011157668487</v>
      </c>
      <c r="K352" s="136">
        <f>Variables!$C$15</f>
        <v>1</v>
      </c>
      <c r="L352" s="137">
        <f t="shared" si="35"/>
        <v>29124.011157668487</v>
      </c>
      <c r="N352" s="138">
        <f>Variables!$E$30*Variables!$C$19</f>
        <v>2.2291759999999998</v>
      </c>
      <c r="O352" s="87">
        <f t="shared" si="36"/>
        <v>64922.546696406804</v>
      </c>
      <c r="P352" s="145">
        <f>Variables!$E$29</f>
        <v>48.483938529092256</v>
      </c>
      <c r="Q352" s="146">
        <f t="shared" si="37"/>
        <v>1412046.766688996</v>
      </c>
    </row>
    <row r="353" spans="1:17">
      <c r="A353" s="101">
        <v>21</v>
      </c>
      <c r="B353" s="132" t="s">
        <v>41</v>
      </c>
      <c r="C353" s="101">
        <v>2026</v>
      </c>
      <c r="D353" s="133">
        <f>Population!K22</f>
        <v>200034.66807948821</v>
      </c>
      <c r="E353" s="133" t="str">
        <f t="shared" si="38"/>
        <v>Medium</v>
      </c>
      <c r="F353" s="133"/>
      <c r="G353" s="134">
        <f>Variables!$C$3*POWER(SUM(1,Variables!$C$2/100),C353-2017)</f>
        <v>19799.43337731986</v>
      </c>
      <c r="H353" s="134">
        <f t="shared" si="33"/>
        <v>395.23110292430101</v>
      </c>
      <c r="I353" s="135">
        <f>VLOOKUP(B353,'Waste per capita'!$B$2:$F$48,4,FALSE)*(H353/Variables!$C$6)</f>
        <v>153.89936767068707</v>
      </c>
      <c r="J353" s="134">
        <f t="shared" si="34"/>
        <v>30785.208929649005</v>
      </c>
      <c r="K353" s="136">
        <f>Variables!$C$15</f>
        <v>1</v>
      </c>
      <c r="L353" s="137">
        <f t="shared" si="35"/>
        <v>30785.208929649005</v>
      </c>
      <c r="N353" s="138">
        <f>Variables!$E$30*Variables!$C$19</f>
        <v>2.2291759999999998</v>
      </c>
      <c r="O353" s="87">
        <f t="shared" si="36"/>
        <v>68625.648900959248</v>
      </c>
      <c r="P353" s="145">
        <f>Variables!$E$29</f>
        <v>48.483938529092256</v>
      </c>
      <c r="Q353" s="146">
        <f t="shared" si="37"/>
        <v>1492588.1773503644</v>
      </c>
    </row>
    <row r="354" spans="1:17">
      <c r="A354" s="101">
        <v>22</v>
      </c>
      <c r="B354" s="132" t="s">
        <v>42</v>
      </c>
      <c r="C354" s="101">
        <v>2026</v>
      </c>
      <c r="D354" s="133">
        <f>Population!K23</f>
        <v>176621.64615969139</v>
      </c>
      <c r="E354" s="133" t="str">
        <f t="shared" si="38"/>
        <v>Medium</v>
      </c>
      <c r="F354" s="133"/>
      <c r="G354" s="134">
        <f>Variables!$C$3*POWER(SUM(1,Variables!$C$2/100),C354-2017)</f>
        <v>19799.43337731986</v>
      </c>
      <c r="H354" s="134">
        <f t="shared" si="33"/>
        <v>395.23110292430101</v>
      </c>
      <c r="I354" s="135">
        <f>VLOOKUP(B354,'Waste per capita'!$B$2:$F$48,4,FALSE)*(H354/Variables!$C$6)</f>
        <v>116.34821839984112</v>
      </c>
      <c r="J354" s="134">
        <f t="shared" si="34"/>
        <v>20549.613861527232</v>
      </c>
      <c r="K354" s="136">
        <f>Variables!$C$15</f>
        <v>1</v>
      </c>
      <c r="L354" s="137">
        <f t="shared" si="35"/>
        <v>20549.613861527232</v>
      </c>
      <c r="N354" s="138">
        <f>Variables!$E$30*Variables!$C$19</f>
        <v>2.2291759999999998</v>
      </c>
      <c r="O354" s="87">
        <f t="shared" si="36"/>
        <v>45808.706029383822</v>
      </c>
      <c r="P354" s="145">
        <f>Variables!$E$29</f>
        <v>48.483938529092256</v>
      </c>
      <c r="Q354" s="146">
        <f t="shared" si="37"/>
        <v>996326.21525886853</v>
      </c>
    </row>
    <row r="355" spans="1:17">
      <c r="A355" s="101">
        <v>23</v>
      </c>
      <c r="B355" s="132" t="s">
        <v>43</v>
      </c>
      <c r="C355" s="101">
        <v>2026</v>
      </c>
      <c r="D355" s="133">
        <f>Population!K24</f>
        <v>135943.9988577349</v>
      </c>
      <c r="E355" s="133" t="str">
        <f t="shared" si="38"/>
        <v>Medium</v>
      </c>
      <c r="F355" s="133"/>
      <c r="G355" s="134">
        <f>Variables!$C$3*POWER(SUM(1,Variables!$C$2/100),C355-2017)</f>
        <v>19799.43337731986</v>
      </c>
      <c r="H355" s="134">
        <f t="shared" si="33"/>
        <v>395.23110292430101</v>
      </c>
      <c r="I355" s="135">
        <f>VLOOKUP(B355,'Waste per capita'!$B$2:$F$48,4,FALSE)*(H355/Variables!$C$6)</f>
        <v>114.18471847091845</v>
      </c>
      <c r="J355" s="134">
        <f t="shared" si="34"/>
        <v>15522.727237381319</v>
      </c>
      <c r="K355" s="136">
        <f>Variables!$C$15</f>
        <v>1</v>
      </c>
      <c r="L355" s="137">
        <f t="shared" si="35"/>
        <v>15522.727237381319</v>
      </c>
      <c r="N355" s="138">
        <f>Variables!$E$30*Variables!$C$19</f>
        <v>2.2291759999999998</v>
      </c>
      <c r="O355" s="87">
        <f t="shared" si="36"/>
        <v>34602.891012116736</v>
      </c>
      <c r="P355" s="145">
        <f>Variables!$E$29</f>
        <v>48.483938529092256</v>
      </c>
      <c r="Q355" s="146">
        <f t="shared" si="37"/>
        <v>752602.95318106189</v>
      </c>
    </row>
    <row r="356" spans="1:17">
      <c r="A356" s="101">
        <v>24</v>
      </c>
      <c r="B356" s="132" t="s">
        <v>44</v>
      </c>
      <c r="C356" s="101">
        <v>2026</v>
      </c>
      <c r="D356" s="133">
        <f>Population!K25</f>
        <v>85314.916045795471</v>
      </c>
      <c r="E356" s="133" t="str">
        <f t="shared" si="38"/>
        <v>Small</v>
      </c>
      <c r="F356" s="133"/>
      <c r="G356" s="134">
        <f>Variables!$C$3*POWER(SUM(1,Variables!$C$2/100),C356-2017)</f>
        <v>19799.43337731986</v>
      </c>
      <c r="H356" s="134">
        <f t="shared" si="33"/>
        <v>395.23110292430101</v>
      </c>
      <c r="I356" s="135">
        <f>VLOOKUP(B356,'Waste per capita'!$B$2:$F$48,4,FALSE)*(H356/Variables!$C$6)</f>
        <v>115.69042609730285</v>
      </c>
      <c r="J356" s="134">
        <f t="shared" si="34"/>
        <v>9870.1189897936965</v>
      </c>
      <c r="K356" s="136">
        <f>Variables!$C$15</f>
        <v>1</v>
      </c>
      <c r="L356" s="137">
        <f t="shared" si="35"/>
        <v>9870.1189897936965</v>
      </c>
      <c r="N356" s="138">
        <f>Variables!$E$30*Variables!$C$19</f>
        <v>2.2291759999999998</v>
      </c>
      <c r="O356" s="87">
        <f t="shared" si="36"/>
        <v>22002.232369192352</v>
      </c>
      <c r="P356" s="145">
        <f>Variables!$E$29</f>
        <v>48.483938529092256</v>
      </c>
      <c r="Q356" s="146">
        <f t="shared" si="37"/>
        <v>478542.24237598374</v>
      </c>
    </row>
    <row r="357" spans="1:17">
      <c r="A357" s="101">
        <v>25</v>
      </c>
      <c r="B357" s="132" t="s">
        <v>45</v>
      </c>
      <c r="C357" s="101">
        <v>2026</v>
      </c>
      <c r="D357" s="133">
        <f>Population!K26</f>
        <v>176793.99952544048</v>
      </c>
      <c r="E357" s="133" t="str">
        <f t="shared" si="38"/>
        <v>Medium</v>
      </c>
      <c r="F357" s="133"/>
      <c r="G357" s="134">
        <f>Variables!$C$3*POWER(SUM(1,Variables!$C$2/100),C357-2017)</f>
        <v>19799.43337731986</v>
      </c>
      <c r="H357" s="134">
        <f t="shared" si="33"/>
        <v>395.23110292430101</v>
      </c>
      <c r="I357" s="135">
        <f>VLOOKUP(B357,'Waste per capita'!$B$2:$F$48,4,FALSE)*(H357/Variables!$C$6)</f>
        <v>115.33372385856502</v>
      </c>
      <c r="J357" s="134">
        <f t="shared" si="34"/>
        <v>20390.310321118428</v>
      </c>
      <c r="K357" s="136">
        <f>Variables!$C$15</f>
        <v>1</v>
      </c>
      <c r="L357" s="137">
        <f t="shared" si="35"/>
        <v>20390.310321118428</v>
      </c>
      <c r="N357" s="138">
        <f>Variables!$E$30*Variables!$C$19</f>
        <v>2.2291759999999998</v>
      </c>
      <c r="O357" s="87">
        <f t="shared" si="36"/>
        <v>45453.59040038949</v>
      </c>
      <c r="P357" s="145">
        <f>Variables!$E$29</f>
        <v>48.483938529092256</v>
      </c>
      <c r="Q357" s="146">
        <f t="shared" si="37"/>
        <v>988602.55219822121</v>
      </c>
    </row>
    <row r="358" spans="1:17">
      <c r="A358" s="101">
        <v>26</v>
      </c>
      <c r="B358" s="132" t="s">
        <v>46</v>
      </c>
      <c r="C358" s="101">
        <v>2026</v>
      </c>
      <c r="D358" s="133">
        <f>Population!K27</f>
        <v>48263.448380089278</v>
      </c>
      <c r="E358" s="133" t="str">
        <f t="shared" si="38"/>
        <v>Small</v>
      </c>
      <c r="F358" s="133"/>
      <c r="G358" s="134">
        <f>Variables!$C$3*POWER(SUM(1,Variables!$C$2/100),C358-2017)</f>
        <v>19799.43337731986</v>
      </c>
      <c r="H358" s="134">
        <f t="shared" si="33"/>
        <v>395.23110292430101</v>
      </c>
      <c r="I358" s="135">
        <f>VLOOKUP(B358,'Waste per capita'!$B$2:$F$48,4,FALSE)*(H358/Variables!$C$6)</f>
        <v>116.52273132102445</v>
      </c>
      <c r="J358" s="134">
        <f t="shared" si="34"/>
        <v>5623.7888282192762</v>
      </c>
      <c r="K358" s="136">
        <f>Variables!$C$15</f>
        <v>1</v>
      </c>
      <c r="L358" s="137">
        <f t="shared" si="35"/>
        <v>5623.7888282192762</v>
      </c>
      <c r="N358" s="138">
        <f>Variables!$E$30*Variables!$C$19</f>
        <v>2.2291759999999998</v>
      </c>
      <c r="O358" s="87">
        <f t="shared" si="36"/>
        <v>12536.415084934531</v>
      </c>
      <c r="P358" s="145">
        <f>Variables!$E$29</f>
        <v>48.483938529092256</v>
      </c>
      <c r="Q358" s="146">
        <f t="shared" si="37"/>
        <v>272663.43184797914</v>
      </c>
    </row>
    <row r="359" spans="1:17">
      <c r="A359" s="101">
        <v>27</v>
      </c>
      <c r="B359" s="132" t="s">
        <v>47</v>
      </c>
      <c r="C359" s="101">
        <v>2026</v>
      </c>
      <c r="D359" s="133">
        <f>Population!K28</f>
        <v>9051.3679332932807</v>
      </c>
      <c r="E359" s="133" t="str">
        <f t="shared" si="38"/>
        <v>Small</v>
      </c>
      <c r="F359" s="133"/>
      <c r="G359" s="134">
        <f>Variables!$C$3*POWER(SUM(1,Variables!$C$2/100),C359-2017)</f>
        <v>19799.43337731986</v>
      </c>
      <c r="H359" s="134">
        <f t="shared" si="33"/>
        <v>395.23110292430101</v>
      </c>
      <c r="I359" s="135">
        <f>VLOOKUP(B359,'Waste per capita'!$B$2:$F$48,4,FALSE)*(H359/Variables!$C$6)</f>
        <v>115.38666287587549</v>
      </c>
      <c r="J359" s="134">
        <f t="shared" si="34"/>
        <v>1044.4071402844215</v>
      </c>
      <c r="K359" s="136">
        <f>Variables!$C$15</f>
        <v>1</v>
      </c>
      <c r="L359" s="137">
        <f t="shared" si="35"/>
        <v>1044.4071402844215</v>
      </c>
      <c r="N359" s="138">
        <f>Variables!$E$30*Variables!$C$19</f>
        <v>2.2291759999999998</v>
      </c>
      <c r="O359" s="87">
        <f t="shared" si="36"/>
        <v>2328.1673313506653</v>
      </c>
      <c r="P359" s="145">
        <f>Variables!$E$29</f>
        <v>48.483938529092256</v>
      </c>
      <c r="Q359" s="146">
        <f t="shared" si="37"/>
        <v>50636.971588894929</v>
      </c>
    </row>
    <row r="360" spans="1:17">
      <c r="A360" s="101">
        <v>28</v>
      </c>
      <c r="B360" s="132" t="s">
        <v>48</v>
      </c>
      <c r="C360" s="101">
        <v>2026</v>
      </c>
      <c r="D360" s="133">
        <f>Population!K29</f>
        <v>54168.52251902187</v>
      </c>
      <c r="E360" s="133" t="str">
        <f t="shared" si="38"/>
        <v>Small</v>
      </c>
      <c r="F360" s="133"/>
      <c r="G360" s="134">
        <f>Variables!$C$3*POWER(SUM(1,Variables!$C$2/100),C360-2017)</f>
        <v>19799.43337731986</v>
      </c>
      <c r="H360" s="134">
        <f t="shared" si="33"/>
        <v>395.23110292430101</v>
      </c>
      <c r="I360" s="135">
        <f>VLOOKUP(B360,'Waste per capita'!$B$2:$F$48,4,FALSE)*(H360/Variables!$C$6)</f>
        <v>169.17716808545904</v>
      </c>
      <c r="J360" s="134">
        <f t="shared" si="34"/>
        <v>9164.0772391415376</v>
      </c>
      <c r="K360" s="136">
        <f>Variables!$C$15</f>
        <v>1</v>
      </c>
      <c r="L360" s="137">
        <f t="shared" si="35"/>
        <v>9164.0772391415376</v>
      </c>
      <c r="N360" s="138">
        <f>Variables!$E$30*Variables!$C$19</f>
        <v>2.2291759999999998</v>
      </c>
      <c r="O360" s="87">
        <f t="shared" si="36"/>
        <v>20428.341043640576</v>
      </c>
      <c r="P360" s="145">
        <f>Variables!$E$29</f>
        <v>48.483938529092256</v>
      </c>
      <c r="Q360" s="146">
        <f t="shared" si="37"/>
        <v>444310.55753839179</v>
      </c>
    </row>
    <row r="361" spans="1:17">
      <c r="A361" s="101">
        <v>29</v>
      </c>
      <c r="B361" s="132" t="s">
        <v>49</v>
      </c>
      <c r="C361" s="101">
        <v>2026</v>
      </c>
      <c r="D361" s="133">
        <f>Population!K30</f>
        <v>54547.024028117892</v>
      </c>
      <c r="E361" s="133" t="str">
        <f t="shared" si="38"/>
        <v>Small</v>
      </c>
      <c r="F361" s="133"/>
      <c r="G361" s="134">
        <f>Variables!$C$3*POWER(SUM(1,Variables!$C$2/100),C361-2017)</f>
        <v>19799.43337731986</v>
      </c>
      <c r="H361" s="134">
        <f t="shared" si="33"/>
        <v>395.23110292430101</v>
      </c>
      <c r="I361" s="135">
        <f>VLOOKUP(B361,'Waste per capita'!$B$2:$F$48,4,FALSE)*(H361/Variables!$C$6)</f>
        <v>169.17716808545904</v>
      </c>
      <c r="J361" s="134">
        <f t="shared" si="34"/>
        <v>9228.1110525664735</v>
      </c>
      <c r="K361" s="136">
        <f>Variables!$C$15</f>
        <v>1</v>
      </c>
      <c r="L361" s="137">
        <f t="shared" si="35"/>
        <v>9228.1110525664735</v>
      </c>
      <c r="N361" s="138">
        <f>Variables!$E$30*Variables!$C$19</f>
        <v>2.2291759999999998</v>
      </c>
      <c r="O361" s="87">
        <f t="shared" si="36"/>
        <v>20571.083683715919</v>
      </c>
      <c r="P361" s="145">
        <f>Variables!$E$29</f>
        <v>48.483938529092256</v>
      </c>
      <c r="Q361" s="146">
        <f t="shared" si="37"/>
        <v>447415.16901226976</v>
      </c>
    </row>
    <row r="362" spans="1:17">
      <c r="A362" s="101">
        <v>30</v>
      </c>
      <c r="B362" s="132" t="s">
        <v>50</v>
      </c>
      <c r="C362" s="101">
        <v>2026</v>
      </c>
      <c r="D362" s="133">
        <f>Population!K31</f>
        <v>22291.035303547909</v>
      </c>
      <c r="E362" s="133" t="str">
        <f t="shared" si="38"/>
        <v>Small</v>
      </c>
      <c r="F362" s="133"/>
      <c r="G362" s="134">
        <f>Variables!$C$3*POWER(SUM(1,Variables!$C$2/100),C362-2017)</f>
        <v>19799.43337731986</v>
      </c>
      <c r="H362" s="134">
        <f t="shared" si="33"/>
        <v>395.23110292430101</v>
      </c>
      <c r="I362" s="135">
        <f>VLOOKUP(B362,'Waste per capita'!$B$2:$F$48,4,FALSE)*(H362/Variables!$C$6)</f>
        <v>169.17716808545904</v>
      </c>
      <c r="J362" s="134">
        <f t="shared" si="34"/>
        <v>3771.1342263472261</v>
      </c>
      <c r="K362" s="136">
        <f>Variables!$C$15</f>
        <v>1</v>
      </c>
      <c r="L362" s="137">
        <f t="shared" si="35"/>
        <v>3771.1342263472261</v>
      </c>
      <c r="N362" s="138">
        <f>Variables!$E$30*Variables!$C$19</f>
        <v>2.2291759999999998</v>
      </c>
      <c r="O362" s="87">
        <f t="shared" si="36"/>
        <v>8406.5219101518032</v>
      </c>
      <c r="P362" s="145">
        <f>Variables!$E$29</f>
        <v>48.483938529092256</v>
      </c>
      <c r="Q362" s="146">
        <f t="shared" si="37"/>
        <v>182839.4400151748</v>
      </c>
    </row>
    <row r="363" spans="1:17">
      <c r="A363" s="101">
        <v>31</v>
      </c>
      <c r="B363" s="132" t="s">
        <v>51</v>
      </c>
      <c r="C363" s="101">
        <v>2026</v>
      </c>
      <c r="D363" s="133">
        <f>Population!K32</f>
        <v>33911.932826865086</v>
      </c>
      <c r="E363" s="133" t="str">
        <f t="shared" si="38"/>
        <v>Small</v>
      </c>
      <c r="F363" s="133"/>
      <c r="G363" s="134">
        <f>Variables!$C$3*POWER(SUM(1,Variables!$C$2/100),C363-2017)</f>
        <v>19799.43337731986</v>
      </c>
      <c r="H363" s="134">
        <f t="shared" si="33"/>
        <v>395.23110292430101</v>
      </c>
      <c r="I363" s="135">
        <f>VLOOKUP(B363,'Waste per capita'!$B$2:$F$48,4,FALSE)*(H363/Variables!$C$6)</f>
        <v>169.17716808545904</v>
      </c>
      <c r="J363" s="134">
        <f t="shared" si="34"/>
        <v>5737.1247599533508</v>
      </c>
      <c r="K363" s="136">
        <f>Variables!$C$15</f>
        <v>1</v>
      </c>
      <c r="L363" s="137">
        <f t="shared" si="35"/>
        <v>5737.1247599533508</v>
      </c>
      <c r="N363" s="138">
        <f>Variables!$E$30*Variables!$C$19</f>
        <v>2.2291759999999998</v>
      </c>
      <c r="O363" s="87">
        <f t="shared" si="36"/>
        <v>12789.060823893769</v>
      </c>
      <c r="P363" s="145">
        <f>Variables!$E$29</f>
        <v>48.483938529092256</v>
      </c>
      <c r="Q363" s="146">
        <f t="shared" si="37"/>
        <v>278158.40419531142</v>
      </c>
    </row>
    <row r="364" spans="1:17">
      <c r="A364" s="101">
        <v>32</v>
      </c>
      <c r="B364" s="132" t="s">
        <v>52</v>
      </c>
      <c r="C364" s="101">
        <v>2026</v>
      </c>
      <c r="D364" s="133">
        <f>Population!K33</f>
        <v>31213.983081969327</v>
      </c>
      <c r="E364" s="133" t="str">
        <f t="shared" si="38"/>
        <v>Small</v>
      </c>
      <c r="F364" s="133"/>
      <c r="G364" s="134">
        <f>Variables!$C$3*POWER(SUM(1,Variables!$C$2/100),C364-2017)</f>
        <v>19799.43337731986</v>
      </c>
      <c r="H364" s="134">
        <f t="shared" si="33"/>
        <v>395.23110292430101</v>
      </c>
      <c r="I364" s="135">
        <f>VLOOKUP(B364,'Waste per capita'!$B$2:$F$48,4,FALSE)*(H364/Variables!$C$6)</f>
        <v>169.17716808545904</v>
      </c>
      <c r="J364" s="134">
        <f t="shared" si="34"/>
        <v>5280.6932624749998</v>
      </c>
      <c r="K364" s="136">
        <f>Variables!$C$15</f>
        <v>1</v>
      </c>
      <c r="L364" s="137">
        <f t="shared" si="35"/>
        <v>5280.6932624749998</v>
      </c>
      <c r="N364" s="138">
        <f>Variables!$E$30*Variables!$C$19</f>
        <v>2.2291759999999998</v>
      </c>
      <c r="O364" s="87">
        <f t="shared" si="36"/>
        <v>11771.594684070969</v>
      </c>
      <c r="P364" s="145">
        <f>Variables!$E$29</f>
        <v>48.483938529092256</v>
      </c>
      <c r="Q364" s="146">
        <f t="shared" si="37"/>
        <v>256028.80752882952</v>
      </c>
    </row>
    <row r="365" spans="1:17">
      <c r="A365" s="101">
        <v>33</v>
      </c>
      <c r="B365" s="132" t="s">
        <v>53</v>
      </c>
      <c r="C365" s="101">
        <v>2026</v>
      </c>
      <c r="D365" s="133">
        <f>Population!K34</f>
        <v>133830.69876528211</v>
      </c>
      <c r="E365" s="133" t="str">
        <f t="shared" si="38"/>
        <v>Medium</v>
      </c>
      <c r="F365" s="133"/>
      <c r="G365" s="134">
        <f>Variables!$C$3*POWER(SUM(1,Variables!$C$2/100),C365-2017)</f>
        <v>19799.43337731986</v>
      </c>
      <c r="H365" s="134">
        <f t="shared" si="33"/>
        <v>395.23110292430101</v>
      </c>
      <c r="I365" s="135">
        <f>VLOOKUP(B365,'Waste per capita'!$B$2:$F$48,4,FALSE)*(H365/Variables!$C$6)</f>
        <v>221.33373913682348</v>
      </c>
      <c r="J365" s="134">
        <f t="shared" si="34"/>
        <v>29621.248969013755</v>
      </c>
      <c r="K365" s="136">
        <f>Variables!$C$15</f>
        <v>1</v>
      </c>
      <c r="L365" s="137">
        <f t="shared" si="35"/>
        <v>29621.248969013755</v>
      </c>
      <c r="N365" s="138">
        <f>Variables!$E$30*Variables!$C$19</f>
        <v>2.2291759999999998</v>
      </c>
      <c r="O365" s="87">
        <f t="shared" si="36"/>
        <v>66030.977291750198</v>
      </c>
      <c r="P365" s="145">
        <f>Variables!$E$29</f>
        <v>48.483938529092256</v>
      </c>
      <c r="Q365" s="146">
        <f t="shared" si="37"/>
        <v>1436154.8141686004</v>
      </c>
    </row>
    <row r="366" spans="1:17">
      <c r="A366" s="101">
        <v>34</v>
      </c>
      <c r="B366" s="132" t="s">
        <v>54</v>
      </c>
      <c r="C366" s="101">
        <v>2026</v>
      </c>
      <c r="D366" s="133">
        <f>Population!K35</f>
        <v>118864.11825977688</v>
      </c>
      <c r="E366" s="133" t="str">
        <f t="shared" si="38"/>
        <v>Medium</v>
      </c>
      <c r="F366" s="133"/>
      <c r="G366" s="134">
        <f>Variables!$C$3*POWER(SUM(1,Variables!$C$2/100),C366-2017)</f>
        <v>19799.43337731986</v>
      </c>
      <c r="H366" s="134">
        <f t="shared" si="33"/>
        <v>395.23110292430101</v>
      </c>
      <c r="I366" s="135">
        <f>VLOOKUP(B366,'Waste per capita'!$B$2:$F$48,4,FALSE)*(H366/Variables!$C$6)</f>
        <v>153.89936767068707</v>
      </c>
      <c r="J366" s="134">
        <f t="shared" si="34"/>
        <v>18293.11263891343</v>
      </c>
      <c r="K366" s="136">
        <f>Variables!$C$15</f>
        <v>1</v>
      </c>
      <c r="L366" s="137">
        <f t="shared" si="35"/>
        <v>18293.11263891343</v>
      </c>
      <c r="N366" s="138">
        <f>Variables!$E$30*Variables!$C$19</f>
        <v>2.2291759999999998</v>
      </c>
      <c r="O366" s="87">
        <f t="shared" si="36"/>
        <v>40778.567659962479</v>
      </c>
      <c r="P366" s="145">
        <f>Variables!$E$29</f>
        <v>48.483938529092256</v>
      </c>
      <c r="Q366" s="146">
        <f t="shared" si="37"/>
        <v>886922.1486908393</v>
      </c>
    </row>
    <row r="367" spans="1:17">
      <c r="A367" s="101">
        <v>35</v>
      </c>
      <c r="B367" s="132" t="s">
        <v>55</v>
      </c>
      <c r="C367" s="101">
        <v>2026</v>
      </c>
      <c r="D367" s="133">
        <f>Population!K36</f>
        <v>542857.90397286438</v>
      </c>
      <c r="E367" s="133" t="str">
        <f t="shared" si="38"/>
        <v>Medium</v>
      </c>
      <c r="F367" s="133"/>
      <c r="G367" s="134">
        <f>Variables!$C$3*POWER(SUM(1,Variables!$C$2/100),C367-2017)</f>
        <v>19799.43337731986</v>
      </c>
      <c r="H367" s="134">
        <f t="shared" si="33"/>
        <v>395.23110292430101</v>
      </c>
      <c r="I367" s="135">
        <f>VLOOKUP(B367,'Waste per capita'!$B$2:$F$48,4,FALSE)*(H367/Variables!$C$6)</f>
        <v>153.89936767068707</v>
      </c>
      <c r="J367" s="134">
        <f t="shared" si="34"/>
        <v>83545.488156458392</v>
      </c>
      <c r="K367" s="136">
        <f>Variables!$C$15</f>
        <v>1</v>
      </c>
      <c r="L367" s="137">
        <f t="shared" si="35"/>
        <v>83545.488156458392</v>
      </c>
      <c r="N367" s="138">
        <f>Variables!$E$30*Variables!$C$19</f>
        <v>2.2291759999999998</v>
      </c>
      <c r="O367" s="87">
        <f t="shared" si="36"/>
        <v>186237.59710666127</v>
      </c>
      <c r="P367" s="145">
        <f>Variables!$E$29</f>
        <v>48.483938529092256</v>
      </c>
      <c r="Q367" s="146">
        <f t="shared" si="37"/>
        <v>4050614.3121607336</v>
      </c>
    </row>
    <row r="368" spans="1:17">
      <c r="A368" s="101">
        <v>36</v>
      </c>
      <c r="B368" s="132" t="s">
        <v>56</v>
      </c>
      <c r="C368" s="101">
        <v>2026</v>
      </c>
      <c r="D368" s="133">
        <f>Population!K37</f>
        <v>291136.3765426238</v>
      </c>
      <c r="E368" s="133" t="str">
        <f t="shared" si="38"/>
        <v>Medium</v>
      </c>
      <c r="F368" s="133"/>
      <c r="G368" s="134">
        <f>Variables!$C$3*POWER(SUM(1,Variables!$C$2/100),C368-2017)</f>
        <v>19799.43337731986</v>
      </c>
      <c r="H368" s="134">
        <f t="shared" si="33"/>
        <v>395.23110292430101</v>
      </c>
      <c r="I368" s="135">
        <f>VLOOKUP(B368,'Waste per capita'!$B$2:$F$48,4,FALSE)*(H368/Variables!$C$6)</f>
        <v>250.06453345131141</v>
      </c>
      <c r="J368" s="134">
        <f t="shared" si="34"/>
        <v>72802.882170836543</v>
      </c>
      <c r="K368" s="136">
        <f>Variables!$C$15</f>
        <v>1</v>
      </c>
      <c r="L368" s="137">
        <f t="shared" si="35"/>
        <v>72802.882170836543</v>
      </c>
      <c r="N368" s="138">
        <f>Variables!$E$30*Variables!$C$19</f>
        <v>2.2291759999999998</v>
      </c>
      <c r="O368" s="87">
        <f t="shared" si="36"/>
        <v>162290.43766605671</v>
      </c>
      <c r="P368" s="145">
        <f>Variables!$E$29</f>
        <v>48.483938529092256</v>
      </c>
      <c r="Q368" s="146">
        <f t="shared" si="37"/>
        <v>3529770.4639115855</v>
      </c>
    </row>
    <row r="369" spans="1:17">
      <c r="A369" s="101">
        <v>37</v>
      </c>
      <c r="B369" s="132" t="s">
        <v>57</v>
      </c>
      <c r="C369" s="101">
        <v>2026</v>
      </c>
      <c r="D369" s="133">
        <f>Population!K38</f>
        <v>135699.54996644371</v>
      </c>
      <c r="E369" s="133" t="str">
        <f t="shared" si="38"/>
        <v>Medium</v>
      </c>
      <c r="F369" s="133"/>
      <c r="G369" s="134">
        <f>Variables!$C$3*POWER(SUM(1,Variables!$C$2/100),C369-2017)</f>
        <v>19799.43337731986</v>
      </c>
      <c r="H369" s="134">
        <f t="shared" si="33"/>
        <v>395.23110292430101</v>
      </c>
      <c r="I369" s="135">
        <f>VLOOKUP(B369,'Waste per capita'!$B$2:$F$48,4,FALSE)*(H369/Variables!$C$6)</f>
        <v>153.89936767068707</v>
      </c>
      <c r="J369" s="134">
        <f t="shared" si="34"/>
        <v>20884.074933032491</v>
      </c>
      <c r="K369" s="136">
        <f>Variables!$C$15</f>
        <v>1</v>
      </c>
      <c r="L369" s="137">
        <f t="shared" si="35"/>
        <v>20884.074933032491</v>
      </c>
      <c r="N369" s="138">
        <f>Variables!$E$30*Variables!$C$19</f>
        <v>2.2291759999999998</v>
      </c>
      <c r="O369" s="87">
        <f t="shared" si="36"/>
        <v>46554.278622917634</v>
      </c>
      <c r="P369" s="145">
        <f>Variables!$E$29</f>
        <v>48.483938529092256</v>
      </c>
      <c r="Q369" s="146">
        <f t="shared" si="37"/>
        <v>1012542.2052901038</v>
      </c>
    </row>
    <row r="370" spans="1:17">
      <c r="A370" s="101">
        <v>38</v>
      </c>
      <c r="B370" s="132" t="s">
        <v>58</v>
      </c>
      <c r="C370" s="101">
        <v>2026</v>
      </c>
      <c r="D370" s="133">
        <f>Population!K39</f>
        <v>40053.57040898269</v>
      </c>
      <c r="E370" s="133" t="str">
        <f t="shared" si="38"/>
        <v>Small</v>
      </c>
      <c r="F370" s="133"/>
      <c r="G370" s="134">
        <f>Variables!$C$3*POWER(SUM(1,Variables!$C$2/100),C370-2017)</f>
        <v>19799.43337731986</v>
      </c>
      <c r="H370" s="134">
        <f t="shared" si="33"/>
        <v>395.23110292430101</v>
      </c>
      <c r="I370" s="135">
        <f>VLOOKUP(B370,'Waste per capita'!$B$2:$F$48,4,FALSE)*(H370/Variables!$C$6)</f>
        <v>337.80647501317509</v>
      </c>
      <c r="J370" s="134">
        <f t="shared" si="34"/>
        <v>13530.355431550461</v>
      </c>
      <c r="K370" s="136">
        <f>Variables!$C$15</f>
        <v>1</v>
      </c>
      <c r="L370" s="137">
        <f t="shared" si="35"/>
        <v>13530.355431550461</v>
      </c>
      <c r="N370" s="138">
        <f>Variables!$E$30*Variables!$C$19</f>
        <v>2.2291759999999998</v>
      </c>
      <c r="O370" s="87">
        <f t="shared" si="36"/>
        <v>30161.543599481927</v>
      </c>
      <c r="P370" s="145">
        <f>Variables!$E$29</f>
        <v>48.483938529092256</v>
      </c>
      <c r="Q370" s="146">
        <f t="shared" si="37"/>
        <v>656004.92102006206</v>
      </c>
    </row>
    <row r="371" spans="1:17">
      <c r="A371" s="101">
        <v>39</v>
      </c>
      <c r="B371" s="132" t="s">
        <v>59</v>
      </c>
      <c r="C371" s="101">
        <v>2026</v>
      </c>
      <c r="D371" s="133">
        <f>Population!K40</f>
        <v>75607.929427103722</v>
      </c>
      <c r="E371" s="133" t="str">
        <f t="shared" si="38"/>
        <v>Small</v>
      </c>
      <c r="F371" s="133"/>
      <c r="G371" s="134">
        <f>Variables!$C$3*POWER(SUM(1,Variables!$C$2/100),C371-2017)</f>
        <v>19799.43337731986</v>
      </c>
      <c r="H371" s="134">
        <f t="shared" si="33"/>
        <v>395.23110292430101</v>
      </c>
      <c r="I371" s="135">
        <f>VLOOKUP(B371,'Waste per capita'!$B$2:$F$48,4,FALSE)*(H371/Variables!$C$6)</f>
        <v>169.17716808545904</v>
      </c>
      <c r="J371" s="134">
        <f t="shared" si="34"/>
        <v>12791.135385282651</v>
      </c>
      <c r="K371" s="136">
        <f>Variables!$C$15</f>
        <v>1</v>
      </c>
      <c r="L371" s="137">
        <f t="shared" si="35"/>
        <v>12791.135385282651</v>
      </c>
      <c r="N371" s="138">
        <f>Variables!$E$30*Variables!$C$19</f>
        <v>2.2291759999999998</v>
      </c>
      <c r="O371" s="87">
        <f t="shared" si="36"/>
        <v>28513.692013622836</v>
      </c>
      <c r="P371" s="145">
        <f>Variables!$E$29</f>
        <v>48.483938529092256</v>
      </c>
      <c r="Q371" s="146">
        <f t="shared" si="37"/>
        <v>620164.62173734081</v>
      </c>
    </row>
    <row r="372" spans="1:17">
      <c r="A372" s="101">
        <v>40</v>
      </c>
      <c r="B372" s="132" t="s">
        <v>60</v>
      </c>
      <c r="C372" s="101">
        <v>2026</v>
      </c>
      <c r="D372" s="133">
        <f>Population!K41</f>
        <v>3420.031492903348</v>
      </c>
      <c r="E372" s="133" t="str">
        <f t="shared" si="38"/>
        <v>Small</v>
      </c>
      <c r="F372" s="133"/>
      <c r="G372" s="134">
        <f>Variables!$C$3*POWER(SUM(1,Variables!$C$2/100),C372-2017)</f>
        <v>19799.43337731986</v>
      </c>
      <c r="H372" s="134">
        <f t="shared" ref="H372:H435" si="39">1647.41-417.73*LN(G372)+29.43*(LN(G372))^2</f>
        <v>395.23110292430101</v>
      </c>
      <c r="I372" s="135">
        <f>VLOOKUP(B372,'Waste per capita'!$B$2:$F$48,4,FALSE)*(H372/Variables!$C$6)</f>
        <v>175.48388312372731</v>
      </c>
      <c r="J372" s="134">
        <f t="shared" ref="J372:J435" si="40">I372*D372/1000</f>
        <v>600.1604067801178</v>
      </c>
      <c r="K372" s="136">
        <f>Variables!$C$15</f>
        <v>1</v>
      </c>
      <c r="L372" s="137">
        <f t="shared" ref="L372:L435" si="41">J372*K372</f>
        <v>600.1604067801178</v>
      </c>
      <c r="N372" s="138">
        <f>Variables!$E$30*Variables!$C$19</f>
        <v>2.2291759999999998</v>
      </c>
      <c r="O372" s="87">
        <f t="shared" ref="O372:O435" si="42">N372*L372</f>
        <v>1337.8631749444758</v>
      </c>
      <c r="P372" s="145">
        <f>Variables!$E$29</f>
        <v>48.483938529092256</v>
      </c>
      <c r="Q372" s="146">
        <f t="shared" ref="Q372:Q435" si="43">P372*J372</f>
        <v>29098.140269922234</v>
      </c>
    </row>
    <row r="373" spans="1:17">
      <c r="A373" s="101">
        <v>41</v>
      </c>
      <c r="B373" s="132" t="s">
        <v>61</v>
      </c>
      <c r="C373" s="101">
        <v>2026</v>
      </c>
      <c r="D373" s="133">
        <f>Population!K42</f>
        <v>58939.218623252993</v>
      </c>
      <c r="E373" s="133" t="str">
        <f t="shared" si="38"/>
        <v>Small</v>
      </c>
      <c r="F373" s="133"/>
      <c r="G373" s="134">
        <f>Variables!$C$3*POWER(SUM(1,Variables!$C$2/100),C373-2017)</f>
        <v>19799.43337731986</v>
      </c>
      <c r="H373" s="134">
        <f t="shared" si="39"/>
        <v>395.23110292430101</v>
      </c>
      <c r="I373" s="135">
        <f>VLOOKUP(B373,'Waste per capita'!$B$2:$F$48,4,FALSE)*(H373/Variables!$C$6)</f>
        <v>169.17716808545904</v>
      </c>
      <c r="J373" s="134">
        <f t="shared" si="40"/>
        <v>9971.1700958516903</v>
      </c>
      <c r="K373" s="136">
        <f>Variables!$C$15</f>
        <v>1</v>
      </c>
      <c r="L373" s="137">
        <f t="shared" si="41"/>
        <v>9971.1700958516903</v>
      </c>
      <c r="N373" s="138">
        <f>Variables!$E$30*Variables!$C$19</f>
        <v>2.2291759999999998</v>
      </c>
      <c r="O373" s="87">
        <f t="shared" si="42"/>
        <v>22227.493069590288</v>
      </c>
      <c r="P373" s="145">
        <f>Variables!$E$29</f>
        <v>48.483938529092256</v>
      </c>
      <c r="Q373" s="146">
        <f t="shared" si="43"/>
        <v>483441.59799039632</v>
      </c>
    </row>
    <row r="374" spans="1:17">
      <c r="A374" s="101">
        <v>42</v>
      </c>
      <c r="B374" s="139" t="s">
        <v>62</v>
      </c>
      <c r="C374" s="101">
        <v>2026</v>
      </c>
      <c r="D374" s="133">
        <f>Population!K43</f>
        <v>51279.069034404914</v>
      </c>
      <c r="E374" s="133" t="str">
        <f t="shared" si="38"/>
        <v>Small</v>
      </c>
      <c r="F374" s="133"/>
      <c r="G374" s="134">
        <f>Variables!$C$3*POWER(SUM(1,Variables!$C$2/100),C374-2017)</f>
        <v>19799.43337731986</v>
      </c>
      <c r="H374" s="134">
        <f t="shared" si="39"/>
        <v>395.23110292430101</v>
      </c>
      <c r="I374" s="135">
        <f>VLOOKUP(B374,'Waste per capita'!$B$2:$F$48,4,FALSE)*(H374/Variables!$C$6)</f>
        <v>169.17716808545904</v>
      </c>
      <c r="J374" s="134">
        <f t="shared" si="40"/>
        <v>8675.2476812993791</v>
      </c>
      <c r="K374" s="136">
        <f>Variables!$C$15</f>
        <v>1</v>
      </c>
      <c r="L374" s="137">
        <f t="shared" si="41"/>
        <v>8675.2476812993791</v>
      </c>
      <c r="N374" s="138">
        <f>Variables!$E$30*Variables!$C$19</f>
        <v>2.2291759999999998</v>
      </c>
      <c r="O374" s="87">
        <f t="shared" si="42"/>
        <v>19338.653925208222</v>
      </c>
      <c r="P374" s="145">
        <f>Variables!$E$29</f>
        <v>48.483938529092256</v>
      </c>
      <c r="Q374" s="146">
        <f t="shared" si="43"/>
        <v>420610.17530476925</v>
      </c>
    </row>
    <row r="375" spans="1:17">
      <c r="A375" s="101">
        <v>43</v>
      </c>
      <c r="B375" s="139" t="s">
        <v>63</v>
      </c>
      <c r="C375" s="101">
        <v>2026</v>
      </c>
      <c r="D375" s="133">
        <f>Population!K44</f>
        <v>27077.502303991365</v>
      </c>
      <c r="E375" s="133" t="str">
        <f t="shared" si="38"/>
        <v>Small</v>
      </c>
      <c r="F375" s="133"/>
      <c r="G375" s="134">
        <f>Variables!$C$3*POWER(SUM(1,Variables!$C$2/100),C375-2017)</f>
        <v>19799.43337731986</v>
      </c>
      <c r="H375" s="134">
        <f t="shared" si="39"/>
        <v>395.23110292430101</v>
      </c>
      <c r="I375" s="135">
        <f>VLOOKUP(B375,'Waste per capita'!$B$2:$F$48,4,FALSE)*(H375/Variables!$C$6)</f>
        <v>169.17716808545904</v>
      </c>
      <c r="J375" s="134">
        <f t="shared" si="40"/>
        <v>4580.8951586167514</v>
      </c>
      <c r="K375" s="136">
        <f>Variables!$C$15</f>
        <v>1</v>
      </c>
      <c r="L375" s="137">
        <f t="shared" si="41"/>
        <v>4580.8951586167514</v>
      </c>
      <c r="N375" s="138">
        <f>Variables!$E$30*Variables!$C$19</f>
        <v>2.2291759999999998</v>
      </c>
      <c r="O375" s="87">
        <f t="shared" si="42"/>
        <v>10211.621546104654</v>
      </c>
      <c r="P375" s="145">
        <f>Variables!$E$29</f>
        <v>48.483938529092256</v>
      </c>
      <c r="Q375" s="146">
        <f t="shared" si="43"/>
        <v>222099.83927859089</v>
      </c>
    </row>
    <row r="376" spans="1:17">
      <c r="A376" s="101">
        <v>44</v>
      </c>
      <c r="B376" s="85" t="s">
        <v>108</v>
      </c>
      <c r="C376" s="101">
        <v>2026</v>
      </c>
      <c r="D376" s="133">
        <f>Population!K45</f>
        <v>74698.849909721321</v>
      </c>
      <c r="E376" s="133" t="str">
        <f t="shared" si="38"/>
        <v>Small</v>
      </c>
      <c r="F376" s="133"/>
      <c r="G376" s="134">
        <f>Variables!$C$3*POWER(SUM(1,Variables!$C$2/100),C376-2017)</f>
        <v>19799.43337731986</v>
      </c>
      <c r="H376" s="134">
        <f t="shared" si="39"/>
        <v>395.23110292430101</v>
      </c>
      <c r="I376" s="135">
        <f>VLOOKUP(B376,'Waste per capita'!$B$2:$F$48,4,FALSE)*(H376/Variables!$C$6)</f>
        <v>169.17716808545904</v>
      </c>
      <c r="J376" s="134">
        <f t="shared" si="40"/>
        <v>12637.339886967402</v>
      </c>
      <c r="K376" s="136">
        <f>Variables!$C$15</f>
        <v>1</v>
      </c>
      <c r="L376" s="137">
        <f t="shared" si="41"/>
        <v>12637.339886967402</v>
      </c>
      <c r="N376" s="138">
        <f>Variables!$E$30*Variables!$C$19</f>
        <v>2.2291759999999998</v>
      </c>
      <c r="O376" s="87">
        <f t="shared" si="42"/>
        <v>28170.854779870442</v>
      </c>
      <c r="P376" s="145">
        <f>Variables!$E$29</f>
        <v>48.483938529092256</v>
      </c>
      <c r="Q376" s="146">
        <f t="shared" si="43"/>
        <v>612708.01025097317</v>
      </c>
    </row>
    <row r="377" spans="1:17">
      <c r="A377" s="101">
        <v>45</v>
      </c>
      <c r="B377" s="139" t="s">
        <v>64</v>
      </c>
      <c r="C377" s="101">
        <v>2026</v>
      </c>
      <c r="D377" s="133">
        <f>Population!K46</f>
        <v>26603.248925034739</v>
      </c>
      <c r="E377" s="133" t="str">
        <f t="shared" si="38"/>
        <v>Small</v>
      </c>
      <c r="F377" s="133"/>
      <c r="G377" s="134">
        <f>Variables!$C$3*POWER(SUM(1,Variables!$C$2/100),C377-2017)</f>
        <v>19799.43337731986</v>
      </c>
      <c r="H377" s="134">
        <f t="shared" si="39"/>
        <v>395.23110292430101</v>
      </c>
      <c r="I377" s="135">
        <f>VLOOKUP(B377,'Waste per capita'!$B$2:$F$48,4,FALSE)*(H377/Variables!$C$6)</f>
        <v>169.17716808545904</v>
      </c>
      <c r="J377" s="134">
        <f t="shared" si="40"/>
        <v>4500.6623150099094</v>
      </c>
      <c r="K377" s="136">
        <f>Variables!$C$15</f>
        <v>1</v>
      </c>
      <c r="L377" s="137">
        <f t="shared" si="41"/>
        <v>4500.6623150099094</v>
      </c>
      <c r="N377" s="138">
        <f>Variables!$E$30*Variables!$C$19</f>
        <v>2.2291759999999998</v>
      </c>
      <c r="O377" s="87">
        <f t="shared" si="42"/>
        <v>10032.76841672453</v>
      </c>
      <c r="P377" s="145">
        <f>Variables!$E$29</f>
        <v>48.483938529092256</v>
      </c>
      <c r="Q377" s="146">
        <f t="shared" si="43"/>
        <v>218209.8350211425</v>
      </c>
    </row>
    <row r="378" spans="1:17">
      <c r="A378" s="101">
        <v>46</v>
      </c>
      <c r="B378" s="139" t="s">
        <v>65</v>
      </c>
      <c r="C378" s="101">
        <v>2026</v>
      </c>
      <c r="D378" s="133">
        <f>Population!K47</f>
        <v>34000.925741206112</v>
      </c>
      <c r="E378" s="133" t="str">
        <f t="shared" si="38"/>
        <v>Small</v>
      </c>
      <c r="F378" s="133"/>
      <c r="G378" s="134">
        <f>Variables!$C$3*POWER(SUM(1,Variables!$C$2/100),C378-2017)</f>
        <v>19799.43337731986</v>
      </c>
      <c r="H378" s="134">
        <f t="shared" si="39"/>
        <v>395.23110292430101</v>
      </c>
      <c r="I378" s="135">
        <f>VLOOKUP(B378,'Waste per capita'!$B$2:$F$48,4,FALSE)*(H378/Variables!$C$6)</f>
        <v>187.14157501766121</v>
      </c>
      <c r="J378" s="134">
        <f t="shared" si="40"/>
        <v>6362.9867952678524</v>
      </c>
      <c r="K378" s="136">
        <f>Variables!$C$15</f>
        <v>1</v>
      </c>
      <c r="L378" s="137">
        <f t="shared" si="41"/>
        <v>6362.9867952678524</v>
      </c>
      <c r="N378" s="138">
        <f>Variables!$E$30*Variables!$C$19</f>
        <v>2.2291759999999998</v>
      </c>
      <c r="O378" s="87">
        <f t="shared" si="42"/>
        <v>14184.217452328008</v>
      </c>
      <c r="P378" s="145">
        <f>Variables!$E$29</f>
        <v>48.483938529092256</v>
      </c>
      <c r="Q378" s="146">
        <f t="shared" si="43"/>
        <v>308502.6606431923</v>
      </c>
    </row>
    <row r="379" spans="1:17">
      <c r="A379" s="101">
        <v>47</v>
      </c>
      <c r="B379" s="85" t="s">
        <v>107</v>
      </c>
      <c r="C379" s="101">
        <v>2026</v>
      </c>
      <c r="D379" s="133">
        <f>Population!K48</f>
        <v>75994.316384305916</v>
      </c>
      <c r="E379" s="133" t="str">
        <f t="shared" si="38"/>
        <v>Small</v>
      </c>
      <c r="F379" s="133"/>
      <c r="G379" s="134">
        <f>Variables!$C$3*POWER(SUM(1,Variables!$C$2/100),C379-2017)</f>
        <v>19799.43337731986</v>
      </c>
      <c r="H379" s="134">
        <f t="shared" si="39"/>
        <v>395.23110292430101</v>
      </c>
      <c r="I379" s="135">
        <f>VLOOKUP(B379,'Waste per capita'!$B$2:$F$48,4,FALSE)*(H379/Variables!$C$6)</f>
        <v>169.17716808545904</v>
      </c>
      <c r="J379" s="134">
        <f t="shared" si="40"/>
        <v>12856.503236487277</v>
      </c>
      <c r="K379" s="136">
        <f>Variables!$C$15</f>
        <v>1</v>
      </c>
      <c r="L379" s="137">
        <f t="shared" si="41"/>
        <v>12856.503236487277</v>
      </c>
      <c r="N379" s="138">
        <f>Variables!$E$30*Variables!$C$19</f>
        <v>2.2291759999999998</v>
      </c>
      <c r="O379" s="87">
        <f t="shared" si="42"/>
        <v>28659.40845869976</v>
      </c>
      <c r="P379" s="145">
        <f>Variables!$E$29</f>
        <v>48.483938529092256</v>
      </c>
      <c r="Q379" s="146">
        <f t="shared" si="43"/>
        <v>623333.91261692473</v>
      </c>
    </row>
    <row r="380" spans="1:17">
      <c r="A380" s="101">
        <v>1</v>
      </c>
      <c r="B380" s="132" t="s">
        <v>21</v>
      </c>
      <c r="C380" s="101">
        <v>2027</v>
      </c>
      <c r="D380" s="133">
        <f>Population!L2</f>
        <v>8211219.6632044623</v>
      </c>
      <c r="E380" s="133" t="str">
        <f t="shared" si="38"/>
        <v>Large</v>
      </c>
      <c r="F380" s="133"/>
      <c r="G380" s="134">
        <f>Variables!$C$3*POWER(SUM(1,Variables!$C$2/100),C380-2017)</f>
        <v>20495.581454866428</v>
      </c>
      <c r="H380" s="134">
        <f t="shared" si="39"/>
        <v>400.95402689907996</v>
      </c>
      <c r="I380" s="135">
        <f>VLOOKUP(B380,'Waste per capita'!$B$2:$F$48,4,FALSE)*(H380/Variables!$C$6)</f>
        <v>356.78914811622923</v>
      </c>
      <c r="J380" s="134">
        <f t="shared" si="40"/>
        <v>2929674.0686299512</v>
      </c>
      <c r="K380" s="136">
        <f>Variables!$C$15</f>
        <v>1</v>
      </c>
      <c r="L380" s="137">
        <f t="shared" si="41"/>
        <v>2929674.0686299512</v>
      </c>
      <c r="N380" s="138">
        <f>Variables!$E$30*Variables!$C$19</f>
        <v>2.2291759999999998</v>
      </c>
      <c r="O380" s="87">
        <f t="shared" si="42"/>
        <v>6530759.1216122396</v>
      </c>
      <c r="P380" s="145">
        <f>Variables!$E$29</f>
        <v>48.483938529092256</v>
      </c>
      <c r="Q380" s="146">
        <f t="shared" si="43"/>
        <v>142042137.45373017</v>
      </c>
    </row>
    <row r="381" spans="1:17">
      <c r="A381" s="101">
        <v>2</v>
      </c>
      <c r="B381" s="132" t="s">
        <v>22</v>
      </c>
      <c r="C381" s="101">
        <v>2027</v>
      </c>
      <c r="D381" s="133">
        <f>Population!L3</f>
        <v>2712498.3403270058</v>
      </c>
      <c r="E381" s="133" t="str">
        <f t="shared" si="38"/>
        <v>Large</v>
      </c>
      <c r="F381" s="133"/>
      <c r="G381" s="134">
        <f>Variables!$C$3*POWER(SUM(1,Variables!$C$2/100),C381-2017)</f>
        <v>20495.581454866428</v>
      </c>
      <c r="H381" s="134">
        <f t="shared" si="39"/>
        <v>400.95402689907996</v>
      </c>
      <c r="I381" s="135">
        <f>VLOOKUP(B381,'Waste per capita'!$B$2:$F$48,4,FALSE)*(H381/Variables!$C$6)</f>
        <v>159.87027908039974</v>
      </c>
      <c r="J381" s="134">
        <f t="shared" si="40"/>
        <v>433647.86667319952</v>
      </c>
      <c r="K381" s="136">
        <f>Variables!$C$15</f>
        <v>1</v>
      </c>
      <c r="L381" s="137">
        <f t="shared" si="41"/>
        <v>433647.86667319952</v>
      </c>
      <c r="N381" s="138">
        <f>Variables!$E$30*Variables!$C$19</f>
        <v>2.2291759999999998</v>
      </c>
      <c r="O381" s="87">
        <f t="shared" si="42"/>
        <v>966677.41683909611</v>
      </c>
      <c r="P381" s="145">
        <f>Variables!$E$29</f>
        <v>48.483938529092256</v>
      </c>
      <c r="Q381" s="146">
        <f t="shared" si="43"/>
        <v>21024956.511055399</v>
      </c>
    </row>
    <row r="382" spans="1:17">
      <c r="A382" s="101">
        <v>3</v>
      </c>
      <c r="B382" s="132" t="s">
        <v>23</v>
      </c>
      <c r="C382" s="101">
        <v>2027</v>
      </c>
      <c r="D382" s="133">
        <f>Population!L4</f>
        <v>2084250.1410569141</v>
      </c>
      <c r="E382" s="133" t="str">
        <f t="shared" si="38"/>
        <v>Large</v>
      </c>
      <c r="F382" s="133"/>
      <c r="G382" s="134">
        <f>Variables!$C$3*POWER(SUM(1,Variables!$C$2/100),C382-2017)</f>
        <v>20495.581454866428</v>
      </c>
      <c r="H382" s="134">
        <f t="shared" si="39"/>
        <v>400.95402689907996</v>
      </c>
      <c r="I382" s="135">
        <f>VLOOKUP(B382,'Waste per capita'!$B$2:$F$48,4,FALSE)*(H382/Variables!$C$6)</f>
        <v>118.87339719058066</v>
      </c>
      <c r="J382" s="134">
        <f t="shared" si="40"/>
        <v>247761.89486238232</v>
      </c>
      <c r="K382" s="136">
        <f>Variables!$C$15</f>
        <v>1</v>
      </c>
      <c r="L382" s="137">
        <f t="shared" si="41"/>
        <v>247761.89486238232</v>
      </c>
      <c r="N382" s="138">
        <f>Variables!$E$30*Variables!$C$19</f>
        <v>2.2291759999999998</v>
      </c>
      <c r="O382" s="87">
        <f t="shared" si="42"/>
        <v>552304.86974174599</v>
      </c>
      <c r="P382" s="145">
        <f>Variables!$E$29</f>
        <v>48.483938529092256</v>
      </c>
      <c r="Q382" s="146">
        <f t="shared" si="43"/>
        <v>12012472.480359163</v>
      </c>
    </row>
    <row r="383" spans="1:17">
      <c r="A383" s="101">
        <v>4</v>
      </c>
      <c r="B383" s="132" t="s">
        <v>24</v>
      </c>
      <c r="C383" s="101">
        <v>2027</v>
      </c>
      <c r="D383" s="133">
        <f>Population!L5</f>
        <v>1280714.541609009</v>
      </c>
      <c r="E383" s="133" t="str">
        <f t="shared" si="38"/>
        <v>Large</v>
      </c>
      <c r="F383" s="133"/>
      <c r="G383" s="134">
        <f>Variables!$C$3*POWER(SUM(1,Variables!$C$2/100),C383-2017)</f>
        <v>20495.581454866428</v>
      </c>
      <c r="H383" s="134">
        <f t="shared" si="39"/>
        <v>400.95402689907996</v>
      </c>
      <c r="I383" s="135">
        <f>VLOOKUP(B383,'Waste per capita'!$B$2:$F$48,4,FALSE)*(H383/Variables!$C$6)</f>
        <v>409.45281254533342</v>
      </c>
      <c r="J383" s="134">
        <f t="shared" si="40"/>
        <v>524392.17112951621</v>
      </c>
      <c r="K383" s="136">
        <f>Variables!$C$15</f>
        <v>1</v>
      </c>
      <c r="L383" s="137">
        <f t="shared" si="41"/>
        <v>524392.17112951621</v>
      </c>
      <c r="N383" s="138">
        <f>Variables!$E$30*Variables!$C$19</f>
        <v>2.2291759999999998</v>
      </c>
      <c r="O383" s="87">
        <f t="shared" si="42"/>
        <v>1168962.4424698104</v>
      </c>
      <c r="P383" s="145">
        <f>Variables!$E$29</f>
        <v>48.483938529092256</v>
      </c>
      <c r="Q383" s="146">
        <f t="shared" si="43"/>
        <v>25424597.790180691</v>
      </c>
    </row>
    <row r="384" spans="1:17">
      <c r="A384" s="101">
        <v>5</v>
      </c>
      <c r="B384" s="132" t="s">
        <v>25</v>
      </c>
      <c r="C384" s="101">
        <v>2027</v>
      </c>
      <c r="D384" s="133">
        <f>Population!L6</f>
        <v>604687.50543711823</v>
      </c>
      <c r="E384" s="133" t="str">
        <f t="shared" si="38"/>
        <v>Medium</v>
      </c>
      <c r="F384" s="133"/>
      <c r="G384" s="134">
        <f>Variables!$C$3*POWER(SUM(1,Variables!$C$2/100),C384-2017)</f>
        <v>20495.581454866428</v>
      </c>
      <c r="H384" s="134">
        <f t="shared" si="39"/>
        <v>400.95402689907996</v>
      </c>
      <c r="I384" s="135">
        <f>VLOOKUP(B384,'Waste per capita'!$B$2:$F$48,4,FALSE)*(H384/Variables!$C$6)</f>
        <v>156.12782179393099</v>
      </c>
      <c r="J384" s="134">
        <f t="shared" si="40"/>
        <v>94408.543089903076</v>
      </c>
      <c r="K384" s="136">
        <f>Variables!$C$15</f>
        <v>1</v>
      </c>
      <c r="L384" s="137">
        <f t="shared" si="41"/>
        <v>94408.543089903076</v>
      </c>
      <c r="N384" s="138">
        <f>Variables!$E$30*Variables!$C$19</f>
        <v>2.2291759999999998</v>
      </c>
      <c r="O384" s="87">
        <f t="shared" si="42"/>
        <v>210453.25845097777</v>
      </c>
      <c r="P384" s="145">
        <f>Variables!$E$29</f>
        <v>48.483938529092256</v>
      </c>
      <c r="Q384" s="146">
        <f t="shared" si="43"/>
        <v>4577297.999792018</v>
      </c>
    </row>
    <row r="385" spans="1:17">
      <c r="A385" s="101">
        <v>6</v>
      </c>
      <c r="B385" s="132" t="s">
        <v>26</v>
      </c>
      <c r="C385" s="101">
        <v>2027</v>
      </c>
      <c r="D385" s="133">
        <f>Population!L7</f>
        <v>1015268.5550914095</v>
      </c>
      <c r="E385" s="133" t="str">
        <f t="shared" si="38"/>
        <v>Large</v>
      </c>
      <c r="F385" s="133"/>
      <c r="G385" s="134">
        <f>Variables!$C$3*POWER(SUM(1,Variables!$C$2/100),C385-2017)</f>
        <v>20495.581454866428</v>
      </c>
      <c r="H385" s="134">
        <f t="shared" si="39"/>
        <v>400.95402689907996</v>
      </c>
      <c r="I385" s="135">
        <f>VLOOKUP(B385,'Waste per capita'!$B$2:$F$48,4,FALSE)*(H385/Variables!$C$6)</f>
        <v>156.12782179393099</v>
      </c>
      <c r="J385" s="134">
        <f t="shared" si="40"/>
        <v>158511.6680422934</v>
      </c>
      <c r="K385" s="136">
        <f>Variables!$C$15</f>
        <v>1</v>
      </c>
      <c r="L385" s="137">
        <f t="shared" si="41"/>
        <v>158511.6680422934</v>
      </c>
      <c r="N385" s="138">
        <f>Variables!$E$30*Variables!$C$19</f>
        <v>2.2291759999999998</v>
      </c>
      <c r="O385" s="87">
        <f t="shared" si="42"/>
        <v>353350.40611984738</v>
      </c>
      <c r="P385" s="145">
        <f>Variables!$E$29</f>
        <v>48.483938529092256</v>
      </c>
      <c r="Q385" s="146">
        <f t="shared" si="43"/>
        <v>7685269.9695064304</v>
      </c>
    </row>
    <row r="386" spans="1:17">
      <c r="A386" s="101">
        <v>7</v>
      </c>
      <c r="B386" s="132" t="s">
        <v>27</v>
      </c>
      <c r="C386" s="101">
        <v>2027</v>
      </c>
      <c r="D386" s="133">
        <f>Population!L8</f>
        <v>719665.65797278716</v>
      </c>
      <c r="E386" s="133" t="str">
        <f t="shared" si="38"/>
        <v>Medium</v>
      </c>
      <c r="F386" s="133"/>
      <c r="G386" s="134">
        <f>Variables!$C$3*POWER(SUM(1,Variables!$C$2/100),C386-2017)</f>
        <v>20495.581454866428</v>
      </c>
      <c r="H386" s="134">
        <f t="shared" si="39"/>
        <v>400.95402689907996</v>
      </c>
      <c r="I386" s="135">
        <f>VLOOKUP(B386,'Waste per capita'!$B$2:$F$48,4,FALSE)*(H386/Variables!$C$6)</f>
        <v>156.12782179393099</v>
      </c>
      <c r="J386" s="134">
        <f t="shared" si="40"/>
        <v>112359.8315991874</v>
      </c>
      <c r="K386" s="136">
        <f>Variables!$C$15</f>
        <v>1</v>
      </c>
      <c r="L386" s="137">
        <f t="shared" si="41"/>
        <v>112359.8315991874</v>
      </c>
      <c r="N386" s="138">
        <f>Variables!$E$30*Variables!$C$19</f>
        <v>2.2291759999999998</v>
      </c>
      <c r="O386" s="87">
        <f t="shared" si="42"/>
        <v>250469.83996495014</v>
      </c>
      <c r="P386" s="145">
        <f>Variables!$E$29</f>
        <v>48.483938529092256</v>
      </c>
      <c r="Q386" s="146">
        <f t="shared" si="43"/>
        <v>5447647.1683941595</v>
      </c>
    </row>
    <row r="387" spans="1:17">
      <c r="A387" s="101">
        <v>8</v>
      </c>
      <c r="B387" s="132" t="s">
        <v>28</v>
      </c>
      <c r="C387" s="101">
        <v>2027</v>
      </c>
      <c r="D387" s="133">
        <f>Population!L9</f>
        <v>468412.57121975633</v>
      </c>
      <c r="E387" s="133" t="str">
        <f t="shared" si="38"/>
        <v>Medium</v>
      </c>
      <c r="F387" s="133"/>
      <c r="G387" s="134">
        <f>Variables!$C$3*POWER(SUM(1,Variables!$C$2/100),C387-2017)</f>
        <v>20495.581454866428</v>
      </c>
      <c r="H387" s="134">
        <f t="shared" si="39"/>
        <v>400.95402689907996</v>
      </c>
      <c r="I387" s="135">
        <f>VLOOKUP(B387,'Waste per capita'!$B$2:$F$48,4,FALSE)*(H387/Variables!$C$6)</f>
        <v>156.12782179393099</v>
      </c>
      <c r="J387" s="134">
        <f t="shared" si="40"/>
        <v>73132.234445435126</v>
      </c>
      <c r="K387" s="136">
        <f>Variables!$C$15</f>
        <v>1</v>
      </c>
      <c r="L387" s="137">
        <f t="shared" si="41"/>
        <v>73132.234445435126</v>
      </c>
      <c r="N387" s="138">
        <f>Variables!$E$30*Variables!$C$19</f>
        <v>2.2291759999999998</v>
      </c>
      <c r="O387" s="87">
        <f t="shared" si="42"/>
        <v>163024.62185213729</v>
      </c>
      <c r="P387" s="145">
        <f>Variables!$E$29</f>
        <v>48.483938529092256</v>
      </c>
      <c r="Q387" s="146">
        <f t="shared" si="43"/>
        <v>3545738.75934764</v>
      </c>
    </row>
    <row r="388" spans="1:17">
      <c r="A388" s="101">
        <v>9</v>
      </c>
      <c r="B388" s="132" t="s">
        <v>29</v>
      </c>
      <c r="C388" s="101">
        <v>2027</v>
      </c>
      <c r="D388" s="133">
        <f>Population!L10</f>
        <v>548659.10986284993</v>
      </c>
      <c r="E388" s="133" t="str">
        <f t="shared" si="38"/>
        <v>Medium</v>
      </c>
      <c r="F388" s="133"/>
      <c r="G388" s="134">
        <f>Variables!$C$3*POWER(SUM(1,Variables!$C$2/100),C388-2017)</f>
        <v>20495.581454866428</v>
      </c>
      <c r="H388" s="134">
        <f t="shared" si="39"/>
        <v>400.95402689907996</v>
      </c>
      <c r="I388" s="135">
        <f>VLOOKUP(B388,'Waste per capita'!$B$2:$F$48,4,FALSE)*(H388/Variables!$C$6)</f>
        <v>156.12782179393099</v>
      </c>
      <c r="J388" s="134">
        <f t="shared" si="40"/>
        <v>85660.951730283836</v>
      </c>
      <c r="K388" s="136">
        <f>Variables!$C$15</f>
        <v>1</v>
      </c>
      <c r="L388" s="137">
        <f t="shared" si="41"/>
        <v>85660.951730283836</v>
      </c>
      <c r="N388" s="138">
        <f>Variables!$E$30*Variables!$C$19</f>
        <v>2.2291759999999998</v>
      </c>
      <c r="O388" s="87">
        <f t="shared" si="42"/>
        <v>190953.33773430719</v>
      </c>
      <c r="P388" s="145">
        <f>Variables!$E$29</f>
        <v>48.483938529092256</v>
      </c>
      <c r="Q388" s="146">
        <f t="shared" si="43"/>
        <v>4153180.3180346205</v>
      </c>
    </row>
    <row r="389" spans="1:17">
      <c r="A389" s="101">
        <v>10</v>
      </c>
      <c r="B389" s="132" t="s">
        <v>30</v>
      </c>
      <c r="C389" s="101">
        <v>2027</v>
      </c>
      <c r="D389" s="133">
        <f>Population!L11</f>
        <v>572479.353220238</v>
      </c>
      <c r="E389" s="133" t="str">
        <f t="shared" ref="E389:E452" si="44">IF(D389&lt;100000,"Small",IF(D389&lt;1000000,"Medium","Large"))</f>
        <v>Medium</v>
      </c>
      <c r="F389" s="133"/>
      <c r="G389" s="134">
        <f>Variables!$C$3*POWER(SUM(1,Variables!$C$2/100),C389-2017)</f>
        <v>20495.581454866428</v>
      </c>
      <c r="H389" s="134">
        <f t="shared" si="39"/>
        <v>400.95402689907996</v>
      </c>
      <c r="I389" s="135">
        <f>VLOOKUP(B389,'Waste per capita'!$B$2:$F$48,4,FALSE)*(H389/Variables!$C$6)</f>
        <v>156.12782179393099</v>
      </c>
      <c r="J389" s="134">
        <f t="shared" si="40"/>
        <v>89379.954440274189</v>
      </c>
      <c r="K389" s="136">
        <f>Variables!$C$15</f>
        <v>1</v>
      </c>
      <c r="L389" s="137">
        <f t="shared" si="41"/>
        <v>89379.954440274189</v>
      </c>
      <c r="N389" s="138">
        <f>Variables!$E$30*Variables!$C$19</f>
        <v>2.2291759999999998</v>
      </c>
      <c r="O389" s="87">
        <f t="shared" si="42"/>
        <v>199243.64931935264</v>
      </c>
      <c r="P389" s="145">
        <f>Variables!$E$29</f>
        <v>48.483938529092256</v>
      </c>
      <c r="Q389" s="146">
        <f t="shared" si="43"/>
        <v>4333492.2168153198</v>
      </c>
    </row>
    <row r="390" spans="1:17">
      <c r="A390" s="101">
        <v>11</v>
      </c>
      <c r="B390" s="132" t="s">
        <v>31</v>
      </c>
      <c r="C390" s="101">
        <v>2027</v>
      </c>
      <c r="D390" s="133">
        <f>Population!L12</f>
        <v>402846.01647074928</v>
      </c>
      <c r="E390" s="133" t="str">
        <f t="shared" si="44"/>
        <v>Medium</v>
      </c>
      <c r="F390" s="133"/>
      <c r="G390" s="134">
        <f>Variables!$C$3*POWER(SUM(1,Variables!$C$2/100),C390-2017)</f>
        <v>20495.581454866428</v>
      </c>
      <c r="H390" s="134">
        <f t="shared" si="39"/>
        <v>400.95402689907996</v>
      </c>
      <c r="I390" s="135">
        <f>VLOOKUP(B390,'Waste per capita'!$B$2:$F$48,4,FALSE)*(H390/Variables!$C$6)</f>
        <v>156.12782179393099</v>
      </c>
      <c r="J390" s="134">
        <f t="shared" si="40"/>
        <v>62895.471069940133</v>
      </c>
      <c r="K390" s="136">
        <f>Variables!$C$15</f>
        <v>1</v>
      </c>
      <c r="L390" s="137">
        <f t="shared" si="41"/>
        <v>62895.471069940133</v>
      </c>
      <c r="N390" s="138">
        <f>Variables!$E$30*Variables!$C$19</f>
        <v>2.2291759999999998</v>
      </c>
      <c r="O390" s="87">
        <f t="shared" si="42"/>
        <v>140205.07461780484</v>
      </c>
      <c r="P390" s="145">
        <f>Variables!$E$29</f>
        <v>48.483938529092256</v>
      </c>
      <c r="Q390" s="146">
        <f t="shared" si="43"/>
        <v>3049420.1531132776</v>
      </c>
    </row>
    <row r="391" spans="1:17">
      <c r="A391" s="101">
        <v>12</v>
      </c>
      <c r="B391" s="132" t="s">
        <v>32</v>
      </c>
      <c r="C391" s="101">
        <v>2027</v>
      </c>
      <c r="D391" s="133">
        <f>Population!L13</f>
        <v>457854.50818696595</v>
      </c>
      <c r="E391" s="133" t="str">
        <f t="shared" si="44"/>
        <v>Medium</v>
      </c>
      <c r="F391" s="133"/>
      <c r="G391" s="134">
        <f>Variables!$C$3*POWER(SUM(1,Variables!$C$2/100),C391-2017)</f>
        <v>20495.581454866428</v>
      </c>
      <c r="H391" s="134">
        <f t="shared" si="39"/>
        <v>400.95402689907996</v>
      </c>
      <c r="I391" s="135">
        <f>VLOOKUP(B391,'Waste per capita'!$B$2:$F$48,4,FALSE)*(H391/Variables!$C$6)</f>
        <v>156.12782179393099</v>
      </c>
      <c r="J391" s="134">
        <f t="shared" si="40"/>
        <v>71483.827061762539</v>
      </c>
      <c r="K391" s="136">
        <f>Variables!$C$15</f>
        <v>1</v>
      </c>
      <c r="L391" s="137">
        <f t="shared" si="41"/>
        <v>71483.827061762539</v>
      </c>
      <c r="N391" s="138">
        <f>Variables!$E$30*Variables!$C$19</f>
        <v>2.2291759999999998</v>
      </c>
      <c r="O391" s="87">
        <f t="shared" si="42"/>
        <v>159350.03167423155</v>
      </c>
      <c r="P391" s="145">
        <f>Variables!$E$29</f>
        <v>48.483938529092256</v>
      </c>
      <c r="Q391" s="146">
        <f t="shared" si="43"/>
        <v>3465817.4770867564</v>
      </c>
    </row>
    <row r="392" spans="1:17">
      <c r="A392" s="101">
        <v>13</v>
      </c>
      <c r="B392" s="132" t="s">
        <v>33</v>
      </c>
      <c r="C392" s="101">
        <v>2027</v>
      </c>
      <c r="D392" s="133">
        <f>Population!L14</f>
        <v>515911.27757758362</v>
      </c>
      <c r="E392" s="133" t="str">
        <f t="shared" si="44"/>
        <v>Medium</v>
      </c>
      <c r="F392" s="133"/>
      <c r="G392" s="134">
        <f>Variables!$C$3*POWER(SUM(1,Variables!$C$2/100),C392-2017)</f>
        <v>20495.581454866428</v>
      </c>
      <c r="H392" s="134">
        <f t="shared" si="39"/>
        <v>400.95402689907996</v>
      </c>
      <c r="I392" s="135">
        <f>VLOOKUP(B392,'Waste per capita'!$B$2:$F$48,4,FALSE)*(H392/Variables!$C$6)</f>
        <v>156.12782179393099</v>
      </c>
      <c r="J392" s="134">
        <f t="shared" si="40"/>
        <v>80548.104007112241</v>
      </c>
      <c r="K392" s="136">
        <f>Variables!$C$15</f>
        <v>1</v>
      </c>
      <c r="L392" s="137">
        <f t="shared" si="41"/>
        <v>80548.104007112241</v>
      </c>
      <c r="N392" s="138">
        <f>Variables!$E$30*Variables!$C$19</f>
        <v>2.2291759999999998</v>
      </c>
      <c r="O392" s="87">
        <f t="shared" si="42"/>
        <v>179555.90029815843</v>
      </c>
      <c r="P392" s="145">
        <f>Variables!$E$29</f>
        <v>48.483938529092256</v>
      </c>
      <c r="Q392" s="146">
        <f t="shared" si="43"/>
        <v>3905289.3233157597</v>
      </c>
    </row>
    <row r="393" spans="1:17">
      <c r="A393" s="101">
        <v>14</v>
      </c>
      <c r="B393" s="132" t="s">
        <v>34</v>
      </c>
      <c r="C393" s="101">
        <v>2027</v>
      </c>
      <c r="D393" s="133">
        <f>Population!L15</f>
        <v>359625.87540084723</v>
      </c>
      <c r="E393" s="133" t="str">
        <f t="shared" si="44"/>
        <v>Medium</v>
      </c>
      <c r="F393" s="133"/>
      <c r="G393" s="134">
        <f>Variables!$C$3*POWER(SUM(1,Variables!$C$2/100),C393-2017)</f>
        <v>20495.581454866428</v>
      </c>
      <c r="H393" s="134">
        <f t="shared" si="39"/>
        <v>400.95402689907996</v>
      </c>
      <c r="I393" s="135">
        <f>VLOOKUP(B393,'Waste per capita'!$B$2:$F$48,4,FALSE)*(H393/Variables!$C$6)</f>
        <v>156.12782179393099</v>
      </c>
      <c r="J393" s="134">
        <f t="shared" si="40"/>
        <v>56147.604587069909</v>
      </c>
      <c r="K393" s="136">
        <f>Variables!$C$15</f>
        <v>1</v>
      </c>
      <c r="L393" s="137">
        <f t="shared" si="41"/>
        <v>56147.604587069909</v>
      </c>
      <c r="N393" s="138">
        <f>Variables!$E$30*Variables!$C$19</f>
        <v>2.2291759999999998</v>
      </c>
      <c r="O393" s="87">
        <f t="shared" si="42"/>
        <v>125162.89260298615</v>
      </c>
      <c r="P393" s="145">
        <f>Variables!$E$29</f>
        <v>48.483938529092256</v>
      </c>
      <c r="Q393" s="146">
        <f t="shared" si="43"/>
        <v>2722257.0093552759</v>
      </c>
    </row>
    <row r="394" spans="1:17">
      <c r="A394" s="101">
        <v>15</v>
      </c>
      <c r="B394" s="132" t="s">
        <v>35</v>
      </c>
      <c r="C394" s="101">
        <v>2027</v>
      </c>
      <c r="D394" s="133">
        <f>Population!L16</f>
        <v>315165.15620764234</v>
      </c>
      <c r="E394" s="133" t="str">
        <f t="shared" si="44"/>
        <v>Medium</v>
      </c>
      <c r="F394" s="133"/>
      <c r="G394" s="134">
        <f>Variables!$C$3*POWER(SUM(1,Variables!$C$2/100),C394-2017)</f>
        <v>20495.581454866428</v>
      </c>
      <c r="H394" s="134">
        <f t="shared" si="39"/>
        <v>400.95402689907996</v>
      </c>
      <c r="I394" s="135">
        <f>VLOOKUP(B394,'Waste per capita'!$B$2:$F$48,4,FALSE)*(H394/Variables!$C$6)</f>
        <v>96.755302826969142</v>
      </c>
      <c r="J394" s="134">
        <f t="shared" si="40"/>
        <v>30493.900129379468</v>
      </c>
      <c r="K394" s="136">
        <f>Variables!$C$15</f>
        <v>1</v>
      </c>
      <c r="L394" s="137">
        <f t="shared" si="41"/>
        <v>30493.900129379468</v>
      </c>
      <c r="N394" s="138">
        <f>Variables!$E$30*Variables!$C$19</f>
        <v>2.2291759999999998</v>
      </c>
      <c r="O394" s="87">
        <f t="shared" si="42"/>
        <v>67976.270314809604</v>
      </c>
      <c r="P394" s="145">
        <f>Variables!$E$29</f>
        <v>48.483938529092256</v>
      </c>
      <c r="Q394" s="146">
        <f t="shared" si="43"/>
        <v>1478464.3793851126</v>
      </c>
    </row>
    <row r="395" spans="1:17">
      <c r="A395" s="101">
        <v>16</v>
      </c>
      <c r="B395" s="132" t="s">
        <v>36</v>
      </c>
      <c r="C395" s="101">
        <v>2027</v>
      </c>
      <c r="D395" s="133">
        <f>Population!L17</f>
        <v>525215.04180736654</v>
      </c>
      <c r="E395" s="133" t="str">
        <f t="shared" si="44"/>
        <v>Medium</v>
      </c>
      <c r="F395" s="133"/>
      <c r="G395" s="134">
        <f>Variables!$C$3*POWER(SUM(1,Variables!$C$2/100),C395-2017)</f>
        <v>20495.581454866428</v>
      </c>
      <c r="H395" s="134">
        <f t="shared" si="39"/>
        <v>400.95402689907996</v>
      </c>
      <c r="I395" s="135">
        <f>VLOOKUP(B395,'Waste per capita'!$B$2:$F$48,4,FALSE)*(H395/Variables!$C$6)</f>
        <v>156.12782179393099</v>
      </c>
      <c r="J395" s="134">
        <f t="shared" si="40"/>
        <v>82000.680450792541</v>
      </c>
      <c r="K395" s="136">
        <f>Variables!$C$15</f>
        <v>1</v>
      </c>
      <c r="L395" s="137">
        <f t="shared" si="41"/>
        <v>82000.680450792541</v>
      </c>
      <c r="N395" s="138">
        <f>Variables!$E$30*Variables!$C$19</f>
        <v>2.2291759999999998</v>
      </c>
      <c r="O395" s="87">
        <f t="shared" si="42"/>
        <v>182793.94884457591</v>
      </c>
      <c r="P395" s="145">
        <f>Variables!$E$29</f>
        <v>48.483938529092256</v>
      </c>
      <c r="Q395" s="146">
        <f t="shared" si="43"/>
        <v>3975715.9503199626</v>
      </c>
    </row>
    <row r="396" spans="1:17">
      <c r="A396" s="101">
        <v>17</v>
      </c>
      <c r="B396" s="132" t="s">
        <v>37</v>
      </c>
      <c r="C396" s="101">
        <v>2027</v>
      </c>
      <c r="D396" s="133">
        <f>Population!L18</f>
        <v>495914.53029791388</v>
      </c>
      <c r="E396" s="133" t="str">
        <f t="shared" si="44"/>
        <v>Medium</v>
      </c>
      <c r="F396" s="133"/>
      <c r="G396" s="134">
        <f>Variables!$C$3*POWER(SUM(1,Variables!$C$2/100),C396-2017)</f>
        <v>20495.581454866428</v>
      </c>
      <c r="H396" s="134">
        <f t="shared" si="39"/>
        <v>400.95402689907996</v>
      </c>
      <c r="I396" s="135">
        <f>VLOOKUP(B396,'Waste per capita'!$B$2:$F$48,4,FALSE)*(H396/Variables!$C$6)</f>
        <v>156.12782179393099</v>
      </c>
      <c r="J396" s="134">
        <f t="shared" si="40"/>
        <v>77426.055411373687</v>
      </c>
      <c r="K396" s="136">
        <f>Variables!$C$15</f>
        <v>1</v>
      </c>
      <c r="L396" s="137">
        <f t="shared" si="41"/>
        <v>77426.055411373687</v>
      </c>
      <c r="N396" s="138">
        <f>Variables!$E$30*Variables!$C$19</f>
        <v>2.2291759999999998</v>
      </c>
      <c r="O396" s="87">
        <f t="shared" si="42"/>
        <v>172596.30449770435</v>
      </c>
      <c r="P396" s="145">
        <f>Variables!$E$29</f>
        <v>48.483938529092256</v>
      </c>
      <c r="Q396" s="146">
        <f t="shared" si="43"/>
        <v>3753920.1111151329</v>
      </c>
    </row>
    <row r="397" spans="1:17">
      <c r="A397" s="101">
        <v>18</v>
      </c>
      <c r="B397" s="132" t="s">
        <v>38</v>
      </c>
      <c r="C397" s="101">
        <v>2027</v>
      </c>
      <c r="D397" s="133">
        <f>Population!L19</f>
        <v>314000.04182271566</v>
      </c>
      <c r="E397" s="133" t="str">
        <f t="shared" si="44"/>
        <v>Medium</v>
      </c>
      <c r="F397" s="133"/>
      <c r="G397" s="134">
        <f>Variables!$C$3*POWER(SUM(1,Variables!$C$2/100),C397-2017)</f>
        <v>20495.581454866428</v>
      </c>
      <c r="H397" s="134">
        <f t="shared" si="39"/>
        <v>400.95402689907996</v>
      </c>
      <c r="I397" s="135">
        <f>VLOOKUP(B397,'Waste per capita'!$B$2:$F$48,4,FALSE)*(H397/Variables!$C$6)</f>
        <v>156.12782179393099</v>
      </c>
      <c r="J397" s="134">
        <f t="shared" si="40"/>
        <v>49024.14257298383</v>
      </c>
      <c r="K397" s="136">
        <f>Variables!$C$15</f>
        <v>1</v>
      </c>
      <c r="L397" s="137">
        <f t="shared" si="41"/>
        <v>49024.14257298383</v>
      </c>
      <c r="N397" s="138">
        <f>Variables!$E$30*Variables!$C$19</f>
        <v>2.2291759999999998</v>
      </c>
      <c r="O397" s="87">
        <f t="shared" si="42"/>
        <v>109283.44204427379</v>
      </c>
      <c r="P397" s="145">
        <f>Variables!$E$29</f>
        <v>48.483938529092256</v>
      </c>
      <c r="Q397" s="146">
        <f t="shared" si="43"/>
        <v>2376883.5149500025</v>
      </c>
    </row>
    <row r="398" spans="1:17">
      <c r="A398" s="101">
        <v>19</v>
      </c>
      <c r="B398" s="132" t="s">
        <v>39</v>
      </c>
      <c r="C398" s="101">
        <v>2027</v>
      </c>
      <c r="D398" s="133">
        <f>Population!L20</f>
        <v>317027.73847755959</v>
      </c>
      <c r="E398" s="133" t="str">
        <f t="shared" si="44"/>
        <v>Medium</v>
      </c>
      <c r="F398" s="133"/>
      <c r="G398" s="134">
        <f>Variables!$C$3*POWER(SUM(1,Variables!$C$2/100),C398-2017)</f>
        <v>20495.581454866428</v>
      </c>
      <c r="H398" s="134">
        <f t="shared" si="39"/>
        <v>400.95402689907996</v>
      </c>
      <c r="I398" s="135">
        <f>VLOOKUP(B398,'Waste per capita'!$B$2:$F$48,4,FALSE)*(H398/Variables!$C$6)</f>
        <v>156.12782179393099</v>
      </c>
      <c r="J398" s="134">
        <f t="shared" si="40"/>
        <v>49496.850256757381</v>
      </c>
      <c r="K398" s="136">
        <f>Variables!$C$15</f>
        <v>1</v>
      </c>
      <c r="L398" s="137">
        <f t="shared" si="41"/>
        <v>49496.850256757381</v>
      </c>
      <c r="N398" s="138">
        <f>Variables!$E$30*Variables!$C$19</f>
        <v>2.2291759999999998</v>
      </c>
      <c r="O398" s="87">
        <f t="shared" si="42"/>
        <v>110337.19066795739</v>
      </c>
      <c r="P398" s="145">
        <f>Variables!$E$29</f>
        <v>48.483938529092256</v>
      </c>
      <c r="Q398" s="146">
        <f t="shared" si="43"/>
        <v>2399802.2452323092</v>
      </c>
    </row>
    <row r="399" spans="1:17">
      <c r="A399" s="101">
        <v>20</v>
      </c>
      <c r="B399" s="132" t="s">
        <v>40</v>
      </c>
      <c r="C399" s="101">
        <v>2027</v>
      </c>
      <c r="D399" s="133">
        <f>Population!L21</f>
        <v>192079.22535645295</v>
      </c>
      <c r="E399" s="133" t="str">
        <f t="shared" si="44"/>
        <v>Medium</v>
      </c>
      <c r="F399" s="133"/>
      <c r="G399" s="134">
        <f>Variables!$C$3*POWER(SUM(1,Variables!$C$2/100),C399-2017)</f>
        <v>20495.581454866428</v>
      </c>
      <c r="H399" s="134">
        <f t="shared" si="39"/>
        <v>400.95402689907996</v>
      </c>
      <c r="I399" s="135">
        <f>VLOOKUP(B399,'Waste per capita'!$B$2:$F$48,4,FALSE)*(H399/Variables!$C$6)</f>
        <v>156.12782179393099</v>
      </c>
      <c r="J399" s="134">
        <f t="shared" si="40"/>
        <v>29988.911066768596</v>
      </c>
      <c r="K399" s="136">
        <f>Variables!$C$15</f>
        <v>1</v>
      </c>
      <c r="L399" s="137">
        <f t="shared" si="41"/>
        <v>29988.911066768596</v>
      </c>
      <c r="N399" s="138">
        <f>Variables!$E$30*Variables!$C$19</f>
        <v>2.2291759999999998</v>
      </c>
      <c r="O399" s="87">
        <f t="shared" si="42"/>
        <v>66850.560816174941</v>
      </c>
      <c r="P399" s="145">
        <f>Variables!$E$29</f>
        <v>48.483938529092256</v>
      </c>
      <c r="Q399" s="146">
        <f t="shared" si="43"/>
        <v>1453980.5207156232</v>
      </c>
    </row>
    <row r="400" spans="1:17">
      <c r="A400" s="101">
        <v>21</v>
      </c>
      <c r="B400" s="132" t="s">
        <v>41</v>
      </c>
      <c r="C400" s="101">
        <v>2027</v>
      </c>
      <c r="D400" s="133">
        <f>Population!L22</f>
        <v>203035.18810068051</v>
      </c>
      <c r="E400" s="133" t="str">
        <f t="shared" si="44"/>
        <v>Medium</v>
      </c>
      <c r="F400" s="133"/>
      <c r="G400" s="134">
        <f>Variables!$C$3*POWER(SUM(1,Variables!$C$2/100),C400-2017)</f>
        <v>20495.581454866428</v>
      </c>
      <c r="H400" s="134">
        <f t="shared" si="39"/>
        <v>400.95402689907996</v>
      </c>
      <c r="I400" s="135">
        <f>VLOOKUP(B400,'Waste per capita'!$B$2:$F$48,4,FALSE)*(H400/Variables!$C$6)</f>
        <v>156.12782179393099</v>
      </c>
      <c r="J400" s="134">
        <f t="shared" si="40"/>
        <v>31699.441665680304</v>
      </c>
      <c r="K400" s="136">
        <f>Variables!$C$15</f>
        <v>1</v>
      </c>
      <c r="L400" s="137">
        <f t="shared" si="41"/>
        <v>31699.441665680304</v>
      </c>
      <c r="N400" s="138">
        <f>Variables!$E$30*Variables!$C$19</f>
        <v>2.2291759999999998</v>
      </c>
      <c r="O400" s="87">
        <f t="shared" si="42"/>
        <v>70663.634574534546</v>
      </c>
      <c r="P400" s="145">
        <f>Variables!$E$29</f>
        <v>48.483938529092256</v>
      </c>
      <c r="Q400" s="146">
        <f t="shared" si="43"/>
        <v>1536913.7811253897</v>
      </c>
    </row>
    <row r="401" spans="1:17">
      <c r="A401" s="101">
        <v>22</v>
      </c>
      <c r="B401" s="132" t="s">
        <v>42</v>
      </c>
      <c r="C401" s="101">
        <v>2027</v>
      </c>
      <c r="D401" s="133">
        <f>Population!L23</f>
        <v>179270.97085208673</v>
      </c>
      <c r="E401" s="133" t="str">
        <f t="shared" si="44"/>
        <v>Medium</v>
      </c>
      <c r="F401" s="133"/>
      <c r="G401" s="134">
        <f>Variables!$C$3*POWER(SUM(1,Variables!$C$2/100),C401-2017)</f>
        <v>20495.581454866428</v>
      </c>
      <c r="H401" s="134">
        <f t="shared" si="39"/>
        <v>400.95402689907996</v>
      </c>
      <c r="I401" s="135">
        <f>VLOOKUP(B401,'Waste per capita'!$B$2:$F$48,4,FALSE)*(H401/Variables!$C$6)</f>
        <v>118.03293400945952</v>
      </c>
      <c r="J401" s="134">
        <f t="shared" si="40"/>
        <v>21159.878672396095</v>
      </c>
      <c r="K401" s="136">
        <f>Variables!$C$15</f>
        <v>1</v>
      </c>
      <c r="L401" s="137">
        <f t="shared" si="41"/>
        <v>21159.878672396095</v>
      </c>
      <c r="N401" s="138">
        <f>Variables!$E$30*Variables!$C$19</f>
        <v>2.2291759999999998</v>
      </c>
      <c r="O401" s="87">
        <f t="shared" si="42"/>
        <v>47169.09369941723</v>
      </c>
      <c r="P401" s="145">
        <f>Variables!$E$29</f>
        <v>48.483938529092256</v>
      </c>
      <c r="Q401" s="146">
        <f t="shared" si="43"/>
        <v>1025914.2568355026</v>
      </c>
    </row>
    <row r="402" spans="1:17">
      <c r="A402" s="101">
        <v>23</v>
      </c>
      <c r="B402" s="132" t="s">
        <v>43</v>
      </c>
      <c r="C402" s="101">
        <v>2027</v>
      </c>
      <c r="D402" s="133">
        <f>Population!L24</f>
        <v>137983.1588406009</v>
      </c>
      <c r="E402" s="133" t="str">
        <f t="shared" si="44"/>
        <v>Medium</v>
      </c>
      <c r="F402" s="133"/>
      <c r="G402" s="134">
        <f>Variables!$C$3*POWER(SUM(1,Variables!$C$2/100),C402-2017)</f>
        <v>20495.581454866428</v>
      </c>
      <c r="H402" s="134">
        <f t="shared" si="39"/>
        <v>400.95402689907996</v>
      </c>
      <c r="I402" s="135">
        <f>VLOOKUP(B402,'Waste per capita'!$B$2:$F$48,4,FALSE)*(H402/Variables!$C$6)</f>
        <v>115.83810672415966</v>
      </c>
      <c r="J402" s="134">
        <f t="shared" si="40"/>
        <v>15983.7078799142</v>
      </c>
      <c r="K402" s="136">
        <f>Variables!$C$15</f>
        <v>1</v>
      </c>
      <c r="L402" s="137">
        <f t="shared" si="41"/>
        <v>15983.7078799142</v>
      </c>
      <c r="N402" s="138">
        <f>Variables!$E$30*Variables!$C$19</f>
        <v>2.2291759999999998</v>
      </c>
      <c r="O402" s="87">
        <f t="shared" si="42"/>
        <v>35630.497996915612</v>
      </c>
      <c r="P402" s="145">
        <f>Variables!$E$29</f>
        <v>48.483938529092256</v>
      </c>
      <c r="Q402" s="146">
        <f t="shared" si="43"/>
        <v>774953.11031672754</v>
      </c>
    </row>
    <row r="403" spans="1:17">
      <c r="A403" s="101">
        <v>24</v>
      </c>
      <c r="B403" s="132" t="s">
        <v>44</v>
      </c>
      <c r="C403" s="101">
        <v>2027</v>
      </c>
      <c r="D403" s="133">
        <f>Population!L25</f>
        <v>86594.639786482396</v>
      </c>
      <c r="E403" s="133" t="str">
        <f t="shared" si="44"/>
        <v>Small</v>
      </c>
      <c r="F403" s="133"/>
      <c r="G403" s="134">
        <f>Variables!$C$3*POWER(SUM(1,Variables!$C$2/100),C403-2017)</f>
        <v>20495.581454866428</v>
      </c>
      <c r="H403" s="134">
        <f t="shared" si="39"/>
        <v>400.95402689907996</v>
      </c>
      <c r="I403" s="135">
        <f>VLOOKUP(B403,'Waste per capita'!$B$2:$F$48,4,FALSE)*(H403/Variables!$C$6)</f>
        <v>117.36561691165396</v>
      </c>
      <c r="J403" s="134">
        <f t="shared" si="40"/>
        <v>10163.233319782961</v>
      </c>
      <c r="K403" s="136">
        <f>Variables!$C$15</f>
        <v>1</v>
      </c>
      <c r="L403" s="137">
        <f t="shared" si="41"/>
        <v>10163.233319782961</v>
      </c>
      <c r="N403" s="138">
        <f>Variables!$E$30*Variables!$C$19</f>
        <v>2.2291759999999998</v>
      </c>
      <c r="O403" s="87">
        <f t="shared" si="42"/>
        <v>22655.635798860501</v>
      </c>
      <c r="P403" s="145">
        <f>Variables!$E$29</f>
        <v>48.483938529092256</v>
      </c>
      <c r="Q403" s="146">
        <f t="shared" si="43"/>
        <v>492753.57953317929</v>
      </c>
    </row>
    <row r="404" spans="1:17">
      <c r="A404" s="101">
        <v>25</v>
      </c>
      <c r="B404" s="132" t="s">
        <v>45</v>
      </c>
      <c r="C404" s="101">
        <v>2027</v>
      </c>
      <c r="D404" s="133">
        <f>Population!L26</f>
        <v>179445.90951832206</v>
      </c>
      <c r="E404" s="133" t="str">
        <f t="shared" si="44"/>
        <v>Medium</v>
      </c>
      <c r="F404" s="133"/>
      <c r="G404" s="134">
        <f>Variables!$C$3*POWER(SUM(1,Variables!$C$2/100),C404-2017)</f>
        <v>20495.581454866428</v>
      </c>
      <c r="H404" s="134">
        <f t="shared" si="39"/>
        <v>400.95402689907996</v>
      </c>
      <c r="I404" s="135">
        <f>VLOOKUP(B404,'Waste per capita'!$B$2:$F$48,4,FALSE)*(H404/Variables!$C$6)</f>
        <v>117.00374964471156</v>
      </c>
      <c r="J404" s="134">
        <f t="shared" si="40"/>
        <v>20995.844272049319</v>
      </c>
      <c r="K404" s="136">
        <f>Variables!$C$15</f>
        <v>1</v>
      </c>
      <c r="L404" s="137">
        <f t="shared" si="41"/>
        <v>20995.844272049319</v>
      </c>
      <c r="N404" s="138">
        <f>Variables!$E$30*Variables!$C$19</f>
        <v>2.2291759999999998</v>
      </c>
      <c r="O404" s="87">
        <f t="shared" si="42"/>
        <v>46803.432150989807</v>
      </c>
      <c r="P404" s="145">
        <f>Variables!$E$29</f>
        <v>48.483938529092256</v>
      </c>
      <c r="Q404" s="146">
        <f t="shared" si="43"/>
        <v>1017961.2230524329</v>
      </c>
    </row>
    <row r="405" spans="1:17">
      <c r="A405" s="101">
        <v>26</v>
      </c>
      <c r="B405" s="132" t="s">
        <v>46</v>
      </c>
      <c r="C405" s="101">
        <v>2027</v>
      </c>
      <c r="D405" s="133">
        <f>Population!L27</f>
        <v>48987.400105790613</v>
      </c>
      <c r="E405" s="133" t="str">
        <f t="shared" si="44"/>
        <v>Small</v>
      </c>
      <c r="F405" s="133"/>
      <c r="G405" s="134">
        <f>Variables!$C$3*POWER(SUM(1,Variables!$C$2/100),C405-2017)</f>
        <v>20495.581454866428</v>
      </c>
      <c r="H405" s="134">
        <f t="shared" si="39"/>
        <v>400.95402689907996</v>
      </c>
      <c r="I405" s="135">
        <f>VLOOKUP(B405,'Waste per capita'!$B$2:$F$48,4,FALSE)*(H405/Variables!$C$6)</f>
        <v>118.20997386785291</v>
      </c>
      <c r="J405" s="134">
        <f t="shared" si="40"/>
        <v>5790.7992863595637</v>
      </c>
      <c r="K405" s="136">
        <f>Variables!$C$15</f>
        <v>1</v>
      </c>
      <c r="L405" s="137">
        <f t="shared" si="41"/>
        <v>5790.7992863595637</v>
      </c>
      <c r="N405" s="138">
        <f>Variables!$E$30*Variables!$C$19</f>
        <v>2.2291759999999998</v>
      </c>
      <c r="O405" s="87">
        <f t="shared" si="42"/>
        <v>12908.710789969866</v>
      </c>
      <c r="P405" s="145">
        <f>Variables!$E$29</f>
        <v>48.483938529092256</v>
      </c>
      <c r="Q405" s="146">
        <f t="shared" si="43"/>
        <v>280760.75663416839</v>
      </c>
    </row>
    <row r="406" spans="1:17">
      <c r="A406" s="101">
        <v>27</v>
      </c>
      <c r="B406" s="132" t="s">
        <v>47</v>
      </c>
      <c r="C406" s="101">
        <v>2027</v>
      </c>
      <c r="D406" s="133">
        <f>Population!L28</f>
        <v>9187.1384522926801</v>
      </c>
      <c r="E406" s="133" t="str">
        <f t="shared" si="44"/>
        <v>Small</v>
      </c>
      <c r="F406" s="133"/>
      <c r="G406" s="134">
        <f>Variables!$C$3*POWER(SUM(1,Variables!$C$2/100),C406-2017)</f>
        <v>20495.581454866428</v>
      </c>
      <c r="H406" s="134">
        <f t="shared" si="39"/>
        <v>400.95402689907996</v>
      </c>
      <c r="I406" s="135">
        <f>VLOOKUP(B406,'Waste per capita'!$B$2:$F$48,4,FALSE)*(H406/Variables!$C$6)</f>
        <v>117.05745521599292</v>
      </c>
      <c r="J406" s="134">
        <f t="shared" si="40"/>
        <v>1075.423047942377</v>
      </c>
      <c r="K406" s="136">
        <f>Variables!$C$15</f>
        <v>1</v>
      </c>
      <c r="L406" s="137">
        <f t="shared" si="41"/>
        <v>1075.423047942377</v>
      </c>
      <c r="N406" s="138">
        <f>Variables!$E$30*Variables!$C$19</f>
        <v>2.2291759999999998</v>
      </c>
      <c r="O406" s="87">
        <f t="shared" si="42"/>
        <v>2397.3072483199962</v>
      </c>
      <c r="P406" s="145">
        <f>Variables!$E$29</f>
        <v>48.483938529092256</v>
      </c>
      <c r="Q406" s="146">
        <f t="shared" si="43"/>
        <v>52140.744949207241</v>
      </c>
    </row>
    <row r="407" spans="1:17">
      <c r="A407" s="101">
        <v>28</v>
      </c>
      <c r="B407" s="132" t="s">
        <v>48</v>
      </c>
      <c r="C407" s="101">
        <v>2027</v>
      </c>
      <c r="D407" s="133">
        <f>Population!L29</f>
        <v>54981.050356807194</v>
      </c>
      <c r="E407" s="133" t="str">
        <f t="shared" si="44"/>
        <v>Small</v>
      </c>
      <c r="F407" s="133"/>
      <c r="G407" s="134">
        <f>Variables!$C$3*POWER(SUM(1,Variables!$C$2/100),C407-2017)</f>
        <v>20495.581454866428</v>
      </c>
      <c r="H407" s="134">
        <f t="shared" si="39"/>
        <v>400.95402689907996</v>
      </c>
      <c r="I407" s="135">
        <f>VLOOKUP(B407,'Waste per capita'!$B$2:$F$48,4,FALSE)*(H407/Variables!$C$6)</f>
        <v>171.62684389300023</v>
      </c>
      <c r="J407" s="134">
        <f t="shared" si="40"/>
        <v>9436.2241466609339</v>
      </c>
      <c r="K407" s="136">
        <f>Variables!$C$15</f>
        <v>1</v>
      </c>
      <c r="L407" s="137">
        <f t="shared" si="41"/>
        <v>9436.2241466609339</v>
      </c>
      <c r="N407" s="138">
        <f>Variables!$E$30*Variables!$C$19</f>
        <v>2.2291759999999998</v>
      </c>
      <c r="O407" s="87">
        <f t="shared" si="42"/>
        <v>21035.004398357032</v>
      </c>
      <c r="P407" s="145">
        <f>Variables!$E$29</f>
        <v>48.483938529092256</v>
      </c>
      <c r="Q407" s="146">
        <f t="shared" si="43"/>
        <v>457505.31147344474</v>
      </c>
    </row>
    <row r="408" spans="1:17">
      <c r="A408" s="101">
        <v>29</v>
      </c>
      <c r="B408" s="132" t="s">
        <v>49</v>
      </c>
      <c r="C408" s="101">
        <v>2027</v>
      </c>
      <c r="D408" s="133">
        <f>Population!L30</f>
        <v>55365.229388539658</v>
      </c>
      <c r="E408" s="133" t="str">
        <f t="shared" si="44"/>
        <v>Small</v>
      </c>
      <c r="F408" s="133"/>
      <c r="G408" s="134">
        <f>Variables!$C$3*POWER(SUM(1,Variables!$C$2/100),C408-2017)</f>
        <v>20495.581454866428</v>
      </c>
      <c r="H408" s="134">
        <f t="shared" si="39"/>
        <v>400.95402689907996</v>
      </c>
      <c r="I408" s="135">
        <f>VLOOKUP(B408,'Waste per capita'!$B$2:$F$48,4,FALSE)*(H408/Variables!$C$6)</f>
        <v>171.62684389300023</v>
      </c>
      <c r="J408" s="134">
        <f t="shared" si="40"/>
        <v>9502.1595813670447</v>
      </c>
      <c r="K408" s="136">
        <f>Variables!$C$15</f>
        <v>1</v>
      </c>
      <c r="L408" s="137">
        <f t="shared" si="41"/>
        <v>9502.1595813670447</v>
      </c>
      <c r="N408" s="138">
        <f>Variables!$E$30*Variables!$C$19</f>
        <v>2.2291759999999998</v>
      </c>
      <c r="O408" s="87">
        <f t="shared" si="42"/>
        <v>21181.98608695346</v>
      </c>
      <c r="P408" s="145">
        <f>Variables!$E$29</f>
        <v>48.483938529092256</v>
      </c>
      <c r="Q408" s="146">
        <f t="shared" si="43"/>
        <v>460702.12103662483</v>
      </c>
    </row>
    <row r="409" spans="1:17">
      <c r="A409" s="101">
        <v>30</v>
      </c>
      <c r="B409" s="132" t="s">
        <v>50</v>
      </c>
      <c r="C409" s="101">
        <v>2027</v>
      </c>
      <c r="D409" s="133">
        <f>Population!L31</f>
        <v>22625.400833101125</v>
      </c>
      <c r="E409" s="133" t="str">
        <f t="shared" si="44"/>
        <v>Small</v>
      </c>
      <c r="F409" s="133"/>
      <c r="G409" s="134">
        <f>Variables!$C$3*POWER(SUM(1,Variables!$C$2/100),C409-2017)</f>
        <v>20495.581454866428</v>
      </c>
      <c r="H409" s="134">
        <f t="shared" si="39"/>
        <v>400.95402689907996</v>
      </c>
      <c r="I409" s="135">
        <f>VLOOKUP(B409,'Waste per capita'!$B$2:$F$48,4,FALSE)*(H409/Variables!$C$6)</f>
        <v>171.62684389300023</v>
      </c>
      <c r="J409" s="134">
        <f t="shared" si="40"/>
        <v>3883.1261367992042</v>
      </c>
      <c r="K409" s="136">
        <f>Variables!$C$15</f>
        <v>1</v>
      </c>
      <c r="L409" s="137">
        <f t="shared" si="41"/>
        <v>3883.1261367992042</v>
      </c>
      <c r="N409" s="138">
        <f>Variables!$E$30*Variables!$C$19</f>
        <v>2.2291759999999998</v>
      </c>
      <c r="O409" s="87">
        <f t="shared" si="42"/>
        <v>8656.1715891255026</v>
      </c>
      <c r="P409" s="145">
        <f>Variables!$E$29</f>
        <v>48.483938529092256</v>
      </c>
      <c r="Q409" s="146">
        <f t="shared" si="43"/>
        <v>188269.2489172841</v>
      </c>
    </row>
    <row r="410" spans="1:17">
      <c r="A410" s="101">
        <v>31</v>
      </c>
      <c r="B410" s="132" t="s">
        <v>51</v>
      </c>
      <c r="C410" s="101">
        <v>2027</v>
      </c>
      <c r="D410" s="133">
        <f>Population!L32</f>
        <v>34420.611819268051</v>
      </c>
      <c r="E410" s="133" t="str">
        <f t="shared" si="44"/>
        <v>Small</v>
      </c>
      <c r="F410" s="133"/>
      <c r="G410" s="134">
        <f>Variables!$C$3*POWER(SUM(1,Variables!$C$2/100),C410-2017)</f>
        <v>20495.581454866428</v>
      </c>
      <c r="H410" s="134">
        <f t="shared" si="39"/>
        <v>400.95402689907996</v>
      </c>
      <c r="I410" s="135">
        <f>VLOOKUP(B410,'Waste per capita'!$B$2:$F$48,4,FALSE)*(H410/Variables!$C$6)</f>
        <v>171.62684389300023</v>
      </c>
      <c r="J410" s="134">
        <f t="shared" si="40"/>
        <v>5907.5009714070766</v>
      </c>
      <c r="K410" s="136">
        <f>Variables!$C$15</f>
        <v>1</v>
      </c>
      <c r="L410" s="137">
        <f t="shared" si="41"/>
        <v>5907.5009714070766</v>
      </c>
      <c r="N410" s="138">
        <f>Variables!$E$30*Variables!$C$19</f>
        <v>2.2291759999999998</v>
      </c>
      <c r="O410" s="87">
        <f t="shared" si="42"/>
        <v>13168.859385437341</v>
      </c>
      <c r="P410" s="145">
        <f>Variables!$E$29</f>
        <v>48.483938529092256</v>
      </c>
      <c r="Q410" s="146">
        <f t="shared" si="43"/>
        <v>286418.91395825351</v>
      </c>
    </row>
    <row r="411" spans="1:17">
      <c r="A411" s="101">
        <v>32</v>
      </c>
      <c r="B411" s="132" t="s">
        <v>52</v>
      </c>
      <c r="C411" s="101">
        <v>2027</v>
      </c>
      <c r="D411" s="133">
        <f>Population!L33</f>
        <v>31682.192828198862</v>
      </c>
      <c r="E411" s="133" t="str">
        <f t="shared" si="44"/>
        <v>Small</v>
      </c>
      <c r="F411" s="133"/>
      <c r="G411" s="134">
        <f>Variables!$C$3*POWER(SUM(1,Variables!$C$2/100),C411-2017)</f>
        <v>20495.581454866428</v>
      </c>
      <c r="H411" s="134">
        <f t="shared" si="39"/>
        <v>400.95402689907996</v>
      </c>
      <c r="I411" s="135">
        <f>VLOOKUP(B411,'Waste per capita'!$B$2:$F$48,4,FALSE)*(H411/Variables!$C$6)</f>
        <v>171.62684389300023</v>
      </c>
      <c r="J411" s="134">
        <f t="shared" si="40"/>
        <v>5437.5147627132174</v>
      </c>
      <c r="K411" s="136">
        <f>Variables!$C$15</f>
        <v>1</v>
      </c>
      <c r="L411" s="137">
        <f t="shared" si="41"/>
        <v>5437.5147627132174</v>
      </c>
      <c r="N411" s="138">
        <f>Variables!$E$30*Variables!$C$19</f>
        <v>2.2291759999999998</v>
      </c>
      <c r="O411" s="87">
        <f t="shared" si="42"/>
        <v>12121.177408685999</v>
      </c>
      <c r="P411" s="145">
        <f>Variables!$E$29</f>
        <v>48.483938529092256</v>
      </c>
      <c r="Q411" s="146">
        <f t="shared" si="43"/>
        <v>263632.13150641927</v>
      </c>
    </row>
    <row r="412" spans="1:17">
      <c r="A412" s="101">
        <v>33</v>
      </c>
      <c r="B412" s="132" t="s">
        <v>53</v>
      </c>
      <c r="C412" s="101">
        <v>2027</v>
      </c>
      <c r="D412" s="133">
        <f>Population!L34</f>
        <v>135838.15924676132</v>
      </c>
      <c r="E412" s="133" t="str">
        <f t="shared" si="44"/>
        <v>Medium</v>
      </c>
      <c r="F412" s="133"/>
      <c r="G412" s="134">
        <f>Variables!$C$3*POWER(SUM(1,Variables!$C$2/100),C412-2017)</f>
        <v>20495.581454866428</v>
      </c>
      <c r="H412" s="134">
        <f t="shared" si="39"/>
        <v>400.95402689907996</v>
      </c>
      <c r="I412" s="135">
        <f>VLOOKUP(B412,'Waste per capita'!$B$2:$F$48,4,FALSE)*(H412/Variables!$C$6)</f>
        <v>224.53863913776345</v>
      </c>
      <c r="J412" s="134">
        <f t="shared" si="40"/>
        <v>30500.915420246587</v>
      </c>
      <c r="K412" s="136">
        <f>Variables!$C$15</f>
        <v>1</v>
      </c>
      <c r="L412" s="137">
        <f t="shared" si="41"/>
        <v>30500.915420246587</v>
      </c>
      <c r="N412" s="138">
        <f>Variables!$E$30*Variables!$C$19</f>
        <v>2.2291759999999998</v>
      </c>
      <c r="O412" s="87">
        <f t="shared" si="42"/>
        <v>67991.908632843595</v>
      </c>
      <c r="P412" s="145">
        <f>Variables!$E$29</f>
        <v>48.483938529092256</v>
      </c>
      <c r="Q412" s="146">
        <f t="shared" si="43"/>
        <v>1478804.5083162775</v>
      </c>
    </row>
    <row r="413" spans="1:17">
      <c r="A413" s="101">
        <v>34</v>
      </c>
      <c r="B413" s="132" t="s">
        <v>54</v>
      </c>
      <c r="C413" s="101">
        <v>2027</v>
      </c>
      <c r="D413" s="133">
        <f>Population!L35</f>
        <v>120647.08003367351</v>
      </c>
      <c r="E413" s="133" t="str">
        <f t="shared" si="44"/>
        <v>Medium</v>
      </c>
      <c r="F413" s="133"/>
      <c r="G413" s="134">
        <f>Variables!$C$3*POWER(SUM(1,Variables!$C$2/100),C413-2017)</f>
        <v>20495.581454866428</v>
      </c>
      <c r="H413" s="134">
        <f t="shared" si="39"/>
        <v>400.95402689907996</v>
      </c>
      <c r="I413" s="135">
        <f>VLOOKUP(B413,'Waste per capita'!$B$2:$F$48,4,FALSE)*(H413/Variables!$C$6)</f>
        <v>156.12782179393099</v>
      </c>
      <c r="J413" s="134">
        <f t="shared" si="40"/>
        <v>18836.365811455507</v>
      </c>
      <c r="K413" s="136">
        <f>Variables!$C$15</f>
        <v>1</v>
      </c>
      <c r="L413" s="137">
        <f t="shared" si="41"/>
        <v>18836.365811455507</v>
      </c>
      <c r="N413" s="138">
        <f>Variables!$E$30*Variables!$C$19</f>
        <v>2.2291759999999998</v>
      </c>
      <c r="O413" s="87">
        <f t="shared" si="42"/>
        <v>41989.574594117141</v>
      </c>
      <c r="P413" s="145">
        <f>Variables!$E$29</f>
        <v>48.483938529092256</v>
      </c>
      <c r="Q413" s="146">
        <f t="shared" si="43"/>
        <v>913261.20211410383</v>
      </c>
    </row>
    <row r="414" spans="1:17">
      <c r="A414" s="101">
        <v>35</v>
      </c>
      <c r="B414" s="132" t="s">
        <v>55</v>
      </c>
      <c r="C414" s="101">
        <v>2027</v>
      </c>
      <c r="D414" s="133">
        <f>Population!L36</f>
        <v>551000.77253245737</v>
      </c>
      <c r="E414" s="133" t="str">
        <f t="shared" si="44"/>
        <v>Medium</v>
      </c>
      <c r="F414" s="133"/>
      <c r="G414" s="134">
        <f>Variables!$C$3*POWER(SUM(1,Variables!$C$2/100),C414-2017)</f>
        <v>20495.581454866428</v>
      </c>
      <c r="H414" s="134">
        <f t="shared" si="39"/>
        <v>400.95402689907996</v>
      </c>
      <c r="I414" s="135">
        <f>VLOOKUP(B414,'Waste per capita'!$B$2:$F$48,4,FALSE)*(H414/Variables!$C$6)</f>
        <v>156.12782179393099</v>
      </c>
      <c r="J414" s="134">
        <f t="shared" si="40"/>
        <v>86026.550422265806</v>
      </c>
      <c r="K414" s="136">
        <f>Variables!$C$15</f>
        <v>1</v>
      </c>
      <c r="L414" s="137">
        <f t="shared" si="41"/>
        <v>86026.550422265806</v>
      </c>
      <c r="N414" s="138">
        <f>Variables!$E$30*Variables!$C$19</f>
        <v>2.2291759999999998</v>
      </c>
      <c r="O414" s="87">
        <f t="shared" si="42"/>
        <v>191768.32156410479</v>
      </c>
      <c r="P414" s="145">
        <f>Variables!$E$29</f>
        <v>48.483938529092256</v>
      </c>
      <c r="Q414" s="146">
        <f t="shared" si="43"/>
        <v>4170905.9825429907</v>
      </c>
    </row>
    <row r="415" spans="1:17">
      <c r="A415" s="101">
        <v>36</v>
      </c>
      <c r="B415" s="132" t="s">
        <v>56</v>
      </c>
      <c r="C415" s="101">
        <v>2027</v>
      </c>
      <c r="D415" s="133">
        <f>Population!L37</f>
        <v>295503.42219076311</v>
      </c>
      <c r="E415" s="133" t="str">
        <f t="shared" si="44"/>
        <v>Medium</v>
      </c>
      <c r="F415" s="133"/>
      <c r="G415" s="134">
        <f>Variables!$C$3*POWER(SUM(1,Variables!$C$2/100),C415-2017)</f>
        <v>20495.581454866428</v>
      </c>
      <c r="H415" s="134">
        <f t="shared" si="39"/>
        <v>400.95402689907996</v>
      </c>
      <c r="I415" s="135">
        <f>VLOOKUP(B415,'Waste per capita'!$B$2:$F$48,4,FALSE)*(H415/Variables!$C$6)</f>
        <v>253.68545372590964</v>
      </c>
      <c r="J415" s="134">
        <f t="shared" si="40"/>
        <v>74964.91973602277</v>
      </c>
      <c r="K415" s="136">
        <f>Variables!$C$15</f>
        <v>1</v>
      </c>
      <c r="L415" s="137">
        <f t="shared" si="41"/>
        <v>74964.91973602277</v>
      </c>
      <c r="N415" s="138">
        <f>Variables!$E$30*Variables!$C$19</f>
        <v>2.2291759999999998</v>
      </c>
      <c r="O415" s="87">
        <f t="shared" si="42"/>
        <v>167109.99991746829</v>
      </c>
      <c r="P415" s="145">
        <f>Variables!$E$29</f>
        <v>48.483938529092256</v>
      </c>
      <c r="Q415" s="146">
        <f t="shared" si="43"/>
        <v>3634594.560319663</v>
      </c>
    </row>
    <row r="416" spans="1:17">
      <c r="A416" s="101">
        <v>37</v>
      </c>
      <c r="B416" s="132" t="s">
        <v>57</v>
      </c>
      <c r="C416" s="101">
        <v>2027</v>
      </c>
      <c r="D416" s="133">
        <f>Population!L38</f>
        <v>137735.04321594036</v>
      </c>
      <c r="E416" s="133" t="str">
        <f t="shared" si="44"/>
        <v>Medium</v>
      </c>
      <c r="F416" s="133"/>
      <c r="G416" s="134">
        <f>Variables!$C$3*POWER(SUM(1,Variables!$C$2/100),C416-2017)</f>
        <v>20495.581454866428</v>
      </c>
      <c r="H416" s="134">
        <f t="shared" si="39"/>
        <v>400.95402689907996</v>
      </c>
      <c r="I416" s="135">
        <f>VLOOKUP(B416,'Waste per capita'!$B$2:$F$48,4,FALSE)*(H416/Variables!$C$6)</f>
        <v>156.12782179393099</v>
      </c>
      <c r="J416" s="134">
        <f t="shared" si="40"/>
        <v>21504.272281997721</v>
      </c>
      <c r="K416" s="136">
        <f>Variables!$C$15</f>
        <v>1</v>
      </c>
      <c r="L416" s="137">
        <f t="shared" si="41"/>
        <v>21504.272281997721</v>
      </c>
      <c r="N416" s="138">
        <f>Variables!$E$30*Variables!$C$19</f>
        <v>2.2291759999999998</v>
      </c>
      <c r="O416" s="87">
        <f t="shared" si="42"/>
        <v>47936.807668494548</v>
      </c>
      <c r="P416" s="145">
        <f>Variables!$E$29</f>
        <v>48.483938529092256</v>
      </c>
      <c r="Q416" s="146">
        <f t="shared" si="43"/>
        <v>1042611.8154332399</v>
      </c>
    </row>
    <row r="417" spans="1:17">
      <c r="A417" s="101">
        <v>38</v>
      </c>
      <c r="B417" s="132" t="s">
        <v>58</v>
      </c>
      <c r="C417" s="101">
        <v>2027</v>
      </c>
      <c r="D417" s="133">
        <f>Population!L39</f>
        <v>40654.373965117426</v>
      </c>
      <c r="E417" s="133" t="str">
        <f t="shared" si="44"/>
        <v>Small</v>
      </c>
      <c r="F417" s="133"/>
      <c r="G417" s="134">
        <f>Variables!$C$3*POWER(SUM(1,Variables!$C$2/100),C417-2017)</f>
        <v>20495.581454866428</v>
      </c>
      <c r="H417" s="134">
        <f t="shared" si="39"/>
        <v>400.95402689907996</v>
      </c>
      <c r="I417" s="135">
        <f>VLOOKUP(B417,'Waste per capita'!$B$2:$F$48,4,FALSE)*(H417/Variables!$C$6)</f>
        <v>342.69789362973762</v>
      </c>
      <c r="J417" s="134">
        <f t="shared" si="40"/>
        <v>13932.168324681386</v>
      </c>
      <c r="K417" s="136">
        <f>Variables!$C$15</f>
        <v>1</v>
      </c>
      <c r="L417" s="137">
        <f t="shared" si="41"/>
        <v>13932.168324681386</v>
      </c>
      <c r="N417" s="138">
        <f>Variables!$E$30*Variables!$C$19</f>
        <v>2.2291759999999998</v>
      </c>
      <c r="O417" s="87">
        <f t="shared" si="42"/>
        <v>31057.255257339952</v>
      </c>
      <c r="P417" s="145">
        <f>Variables!$E$29</f>
        <v>48.483938529092256</v>
      </c>
      <c r="Q417" s="146">
        <f t="shared" si="43"/>
        <v>675486.39263081853</v>
      </c>
    </row>
    <row r="418" spans="1:17">
      <c r="A418" s="101">
        <v>39</v>
      </c>
      <c r="B418" s="132" t="s">
        <v>59</v>
      </c>
      <c r="C418" s="101">
        <v>2027</v>
      </c>
      <c r="D418" s="133">
        <f>Population!L40</f>
        <v>76742.048368510281</v>
      </c>
      <c r="E418" s="133" t="str">
        <f t="shared" si="44"/>
        <v>Small</v>
      </c>
      <c r="F418" s="133"/>
      <c r="G418" s="134">
        <f>Variables!$C$3*POWER(SUM(1,Variables!$C$2/100),C418-2017)</f>
        <v>20495.581454866428</v>
      </c>
      <c r="H418" s="134">
        <f t="shared" si="39"/>
        <v>400.95402689907996</v>
      </c>
      <c r="I418" s="135">
        <f>VLOOKUP(B418,'Waste per capita'!$B$2:$F$48,4,FALSE)*(H418/Variables!$C$6)</f>
        <v>171.62684389300023</v>
      </c>
      <c r="J418" s="134">
        <f t="shared" si="40"/>
        <v>13170.995555371386</v>
      </c>
      <c r="K418" s="136">
        <f>Variables!$C$15</f>
        <v>1</v>
      </c>
      <c r="L418" s="137">
        <f t="shared" si="41"/>
        <v>13170.995555371386</v>
      </c>
      <c r="N418" s="138">
        <f>Variables!$E$30*Variables!$C$19</f>
        <v>2.2291759999999998</v>
      </c>
      <c r="O418" s="87">
        <f t="shared" si="42"/>
        <v>29360.467188140563</v>
      </c>
      <c r="P418" s="145">
        <f>Variables!$E$29</f>
        <v>48.483938529092256</v>
      </c>
      <c r="Q418" s="146">
        <f t="shared" si="43"/>
        <v>638581.7388735736</v>
      </c>
    </row>
    <row r="419" spans="1:17">
      <c r="A419" s="101">
        <v>40</v>
      </c>
      <c r="B419" s="132" t="s">
        <v>60</v>
      </c>
      <c r="C419" s="101">
        <v>2027</v>
      </c>
      <c r="D419" s="133">
        <f>Population!L41</f>
        <v>3471.331965296898</v>
      </c>
      <c r="E419" s="133" t="str">
        <f t="shared" si="44"/>
        <v>Small</v>
      </c>
      <c r="F419" s="133"/>
      <c r="G419" s="134">
        <f>Variables!$C$3*POWER(SUM(1,Variables!$C$2/100),C419-2017)</f>
        <v>20495.581454866428</v>
      </c>
      <c r="H419" s="134">
        <f t="shared" si="39"/>
        <v>400.95402689907996</v>
      </c>
      <c r="I419" s="135">
        <f>VLOOKUP(B419,'Waste per capita'!$B$2:$F$48,4,FALSE)*(H419/Variables!$C$6)</f>
        <v>178.02487980765591</v>
      </c>
      <c r="J419" s="134">
        <f t="shared" si="40"/>
        <v>617.98345589445421</v>
      </c>
      <c r="K419" s="136">
        <f>Variables!$C$15</f>
        <v>1</v>
      </c>
      <c r="L419" s="137">
        <f t="shared" si="41"/>
        <v>617.98345589445421</v>
      </c>
      <c r="N419" s="138">
        <f>Variables!$E$30*Variables!$C$19</f>
        <v>2.2291759999999998</v>
      </c>
      <c r="O419" s="87">
        <f t="shared" si="42"/>
        <v>1377.5938882769758</v>
      </c>
      <c r="P419" s="145">
        <f>Variables!$E$29</f>
        <v>48.483938529092256</v>
      </c>
      <c r="Q419" s="146">
        <f t="shared" si="43"/>
        <v>29962.271887582712</v>
      </c>
    </row>
    <row r="420" spans="1:17">
      <c r="A420" s="101">
        <v>41</v>
      </c>
      <c r="B420" s="132" t="s">
        <v>61</v>
      </c>
      <c r="C420" s="101">
        <v>2027</v>
      </c>
      <c r="D420" s="133">
        <f>Population!L42</f>
        <v>59823.306902601777</v>
      </c>
      <c r="E420" s="133" t="str">
        <f t="shared" si="44"/>
        <v>Small</v>
      </c>
      <c r="F420" s="133"/>
      <c r="G420" s="134">
        <f>Variables!$C$3*POWER(SUM(1,Variables!$C$2/100),C420-2017)</f>
        <v>20495.581454866428</v>
      </c>
      <c r="H420" s="134">
        <f t="shared" si="39"/>
        <v>400.95402689907996</v>
      </c>
      <c r="I420" s="135">
        <f>VLOOKUP(B420,'Waste per capita'!$B$2:$F$48,4,FALSE)*(H420/Variables!$C$6)</f>
        <v>171.62684389300023</v>
      </c>
      <c r="J420" s="134">
        <f t="shared" si="40"/>
        <v>10267.285354935879</v>
      </c>
      <c r="K420" s="136">
        <f>Variables!$C$15</f>
        <v>1</v>
      </c>
      <c r="L420" s="137">
        <f t="shared" si="41"/>
        <v>10267.285354935879</v>
      </c>
      <c r="N420" s="138">
        <f>Variables!$E$30*Variables!$C$19</f>
        <v>2.2291759999999998</v>
      </c>
      <c r="O420" s="87">
        <f t="shared" si="42"/>
        <v>22887.586098374541</v>
      </c>
      <c r="P420" s="145">
        <f>Variables!$E$29</f>
        <v>48.483938529092256</v>
      </c>
      <c r="Q420" s="146">
        <f t="shared" si="43"/>
        <v>497798.43200936035</v>
      </c>
    </row>
    <row r="421" spans="1:17">
      <c r="A421" s="101">
        <v>42</v>
      </c>
      <c r="B421" s="139" t="s">
        <v>62</v>
      </c>
      <c r="C421" s="101">
        <v>2027</v>
      </c>
      <c r="D421" s="133">
        <f>Population!L43</f>
        <v>52048.255069920975</v>
      </c>
      <c r="E421" s="133" t="str">
        <f t="shared" si="44"/>
        <v>Small</v>
      </c>
      <c r="F421" s="133"/>
      <c r="G421" s="134">
        <f>Variables!$C$3*POWER(SUM(1,Variables!$C$2/100),C421-2017)</f>
        <v>20495.581454866428</v>
      </c>
      <c r="H421" s="134">
        <f t="shared" si="39"/>
        <v>400.95402689907996</v>
      </c>
      <c r="I421" s="135">
        <f>VLOOKUP(B421,'Waste per capita'!$B$2:$F$48,4,FALSE)*(H421/Variables!$C$6)</f>
        <v>171.62684389300023</v>
      </c>
      <c r="J421" s="134">
        <f t="shared" si="40"/>
        <v>8932.877747788385</v>
      </c>
      <c r="K421" s="136">
        <f>Variables!$C$15</f>
        <v>1</v>
      </c>
      <c r="L421" s="137">
        <f t="shared" si="41"/>
        <v>8932.877747788385</v>
      </c>
      <c r="N421" s="138">
        <f>Variables!$E$30*Variables!$C$19</f>
        <v>2.2291759999999998</v>
      </c>
      <c r="O421" s="87">
        <f t="shared" si="42"/>
        <v>19912.956686303918</v>
      </c>
      <c r="P421" s="145">
        <f>Variables!$E$29</f>
        <v>48.483938529092256</v>
      </c>
      <c r="Q421" s="146">
        <f t="shared" si="43"/>
        <v>433101.09561166813</v>
      </c>
    </row>
    <row r="422" spans="1:17">
      <c r="A422" s="101">
        <v>43</v>
      </c>
      <c r="B422" s="139" t="s">
        <v>63</v>
      </c>
      <c r="C422" s="101">
        <v>2027</v>
      </c>
      <c r="D422" s="133">
        <f>Population!L44</f>
        <v>27483.664838551231</v>
      </c>
      <c r="E422" s="133" t="str">
        <f t="shared" si="44"/>
        <v>Small</v>
      </c>
      <c r="F422" s="133"/>
      <c r="G422" s="134">
        <f>Variables!$C$3*POWER(SUM(1,Variables!$C$2/100),C422-2017)</f>
        <v>20495.581454866428</v>
      </c>
      <c r="H422" s="134">
        <f t="shared" si="39"/>
        <v>400.95402689907996</v>
      </c>
      <c r="I422" s="135">
        <f>VLOOKUP(B422,'Waste per capita'!$B$2:$F$48,4,FALSE)*(H422/Variables!$C$6)</f>
        <v>171.62684389300023</v>
      </c>
      <c r="J422" s="134">
        <f t="shared" si="40"/>
        <v>4716.9346548535714</v>
      </c>
      <c r="K422" s="136">
        <f>Variables!$C$15</f>
        <v>1</v>
      </c>
      <c r="L422" s="137">
        <f t="shared" si="41"/>
        <v>4716.9346548535714</v>
      </c>
      <c r="N422" s="138">
        <f>Variables!$E$30*Variables!$C$19</f>
        <v>2.2291759999999998</v>
      </c>
      <c r="O422" s="87">
        <f t="shared" si="42"/>
        <v>10514.877526167864</v>
      </c>
      <c r="P422" s="145">
        <f>Variables!$E$29</f>
        <v>48.483938529092256</v>
      </c>
      <c r="Q422" s="146">
        <f t="shared" si="43"/>
        <v>228695.56985166555</v>
      </c>
    </row>
    <row r="423" spans="1:17">
      <c r="A423" s="101">
        <v>44</v>
      </c>
      <c r="B423" s="85" t="s">
        <v>108</v>
      </c>
      <c r="C423" s="101">
        <v>2027</v>
      </c>
      <c r="D423" s="133">
        <f>Population!L45</f>
        <v>75819.33265836713</v>
      </c>
      <c r="E423" s="133" t="str">
        <f t="shared" si="44"/>
        <v>Small</v>
      </c>
      <c r="F423" s="133"/>
      <c r="G423" s="134">
        <f>Variables!$C$3*POWER(SUM(1,Variables!$C$2/100),C423-2017)</f>
        <v>20495.581454866428</v>
      </c>
      <c r="H423" s="134">
        <f t="shared" si="39"/>
        <v>400.95402689907996</v>
      </c>
      <c r="I423" s="135">
        <f>VLOOKUP(B423,'Waste per capita'!$B$2:$F$48,4,FALSE)*(H423/Variables!$C$6)</f>
        <v>171.62684389300023</v>
      </c>
      <c r="J423" s="134">
        <f t="shared" si="40"/>
        <v>13012.632770229029</v>
      </c>
      <c r="K423" s="136">
        <f>Variables!$C$15</f>
        <v>1</v>
      </c>
      <c r="L423" s="137">
        <f t="shared" si="41"/>
        <v>13012.632770229029</v>
      </c>
      <c r="N423" s="138">
        <f>Variables!$E$30*Variables!$C$19</f>
        <v>2.2291759999999998</v>
      </c>
      <c r="O423" s="87">
        <f t="shared" si="42"/>
        <v>29007.448668208064</v>
      </c>
      <c r="P423" s="145">
        <f>Variables!$E$29</f>
        <v>48.483938529092256</v>
      </c>
      <c r="Q423" s="146">
        <f t="shared" si="43"/>
        <v>630903.68733343575</v>
      </c>
    </row>
    <row r="424" spans="1:17">
      <c r="A424" s="101">
        <v>45</v>
      </c>
      <c r="B424" s="139" t="s">
        <v>64</v>
      </c>
      <c r="C424" s="101">
        <v>2027</v>
      </c>
      <c r="D424" s="133">
        <f>Population!L46</f>
        <v>27002.297658910258</v>
      </c>
      <c r="E424" s="133" t="str">
        <f t="shared" si="44"/>
        <v>Small</v>
      </c>
      <c r="F424" s="133"/>
      <c r="G424" s="134">
        <f>Variables!$C$3*POWER(SUM(1,Variables!$C$2/100),C424-2017)</f>
        <v>20495.581454866428</v>
      </c>
      <c r="H424" s="134">
        <f t="shared" si="39"/>
        <v>400.95402689907996</v>
      </c>
      <c r="I424" s="135">
        <f>VLOOKUP(B424,'Waste per capita'!$B$2:$F$48,4,FALSE)*(H424/Variables!$C$6)</f>
        <v>171.62684389300023</v>
      </c>
      <c r="J424" s="134">
        <f t="shared" si="40"/>
        <v>4634.3191250581167</v>
      </c>
      <c r="K424" s="136">
        <f>Variables!$C$15</f>
        <v>1</v>
      </c>
      <c r="L424" s="137">
        <f t="shared" si="41"/>
        <v>4634.3191250581167</v>
      </c>
      <c r="N424" s="138">
        <f>Variables!$E$30*Variables!$C$19</f>
        <v>2.2291759999999998</v>
      </c>
      <c r="O424" s="87">
        <f t="shared" si="42"/>
        <v>10330.712969920551</v>
      </c>
      <c r="P424" s="145">
        <f>Variables!$E$29</f>
        <v>48.483938529092256</v>
      </c>
      <c r="Q424" s="146">
        <f t="shared" si="43"/>
        <v>224690.04358351434</v>
      </c>
    </row>
    <row r="425" spans="1:17">
      <c r="A425" s="101">
        <v>46</v>
      </c>
      <c r="B425" s="139" t="s">
        <v>65</v>
      </c>
      <c r="C425" s="101">
        <v>2027</v>
      </c>
      <c r="D425" s="133">
        <f>Population!L47</f>
        <v>34510.939627324202</v>
      </c>
      <c r="E425" s="133" t="str">
        <f t="shared" si="44"/>
        <v>Small</v>
      </c>
      <c r="F425" s="133"/>
      <c r="G425" s="134">
        <f>Variables!$C$3*POWER(SUM(1,Variables!$C$2/100),C425-2017)</f>
        <v>20495.581454866428</v>
      </c>
      <c r="H425" s="134">
        <f t="shared" si="39"/>
        <v>400.95402689907996</v>
      </c>
      <c r="I425" s="135">
        <f>VLOOKUP(B425,'Waste per capita'!$B$2:$F$48,4,FALSE)*(H425/Variables!$C$6)</f>
        <v>189.8513744196369</v>
      </c>
      <c r="J425" s="134">
        <f t="shared" si="40"/>
        <v>6551.949320760611</v>
      </c>
      <c r="K425" s="136">
        <f>Variables!$C$15</f>
        <v>1</v>
      </c>
      <c r="L425" s="137">
        <f t="shared" si="41"/>
        <v>6551.949320760611</v>
      </c>
      <c r="N425" s="138">
        <f>Variables!$E$30*Variables!$C$19</f>
        <v>2.2291759999999998</v>
      </c>
      <c r="O425" s="87">
        <f t="shared" si="42"/>
        <v>14605.448179055855</v>
      </c>
      <c r="P425" s="145">
        <f>Variables!$E$29</f>
        <v>48.483938529092256</v>
      </c>
      <c r="Q425" s="146">
        <f t="shared" si="43"/>
        <v>317664.30811348523</v>
      </c>
    </row>
    <row r="426" spans="1:17">
      <c r="A426" s="101">
        <v>47</v>
      </c>
      <c r="B426" s="85" t="s">
        <v>107</v>
      </c>
      <c r="C426" s="101">
        <v>2027</v>
      </c>
      <c r="D426" s="133">
        <f>Population!L48</f>
        <v>77134.231130070504</v>
      </c>
      <c r="E426" s="133" t="str">
        <f t="shared" si="44"/>
        <v>Small</v>
      </c>
      <c r="F426" s="133"/>
      <c r="G426" s="134">
        <f>Variables!$C$3*POWER(SUM(1,Variables!$C$2/100),C426-2017)</f>
        <v>20495.581454866428</v>
      </c>
      <c r="H426" s="134">
        <f t="shared" si="39"/>
        <v>400.95402689907996</v>
      </c>
      <c r="I426" s="135">
        <f>VLOOKUP(B426,'Waste per capita'!$B$2:$F$48,4,FALSE)*(H426/Variables!$C$6)</f>
        <v>171.62684389300023</v>
      </c>
      <c r="J426" s="134">
        <f t="shared" si="40"/>
        <v>13238.304644967209</v>
      </c>
      <c r="K426" s="136">
        <f>Variables!$C$15</f>
        <v>1</v>
      </c>
      <c r="L426" s="137">
        <f t="shared" si="41"/>
        <v>13238.304644967209</v>
      </c>
      <c r="N426" s="138">
        <f>Variables!$E$30*Variables!$C$19</f>
        <v>2.2291759999999998</v>
      </c>
      <c r="O426" s="87">
        <f t="shared" si="42"/>
        <v>29510.51099524942</v>
      </c>
      <c r="P426" s="145">
        <f>Variables!$E$29</f>
        <v>48.483938529092256</v>
      </c>
      <c r="Q426" s="146">
        <f t="shared" si="43"/>
        <v>641845.14863598661</v>
      </c>
    </row>
    <row r="427" spans="1:17">
      <c r="A427" s="101">
        <v>1</v>
      </c>
      <c r="B427" s="132" t="s">
        <v>21</v>
      </c>
      <c r="C427" s="101">
        <v>2028</v>
      </c>
      <c r="D427" s="133">
        <f>Population!M2</f>
        <v>8334387.9581525289</v>
      </c>
      <c r="E427" s="133" t="str">
        <f t="shared" si="44"/>
        <v>Large</v>
      </c>
      <c r="F427" s="133"/>
      <c r="G427" s="134">
        <f>Variables!$C$3*POWER(SUM(1,Variables!$C$2/100),C427-2017)</f>
        <v>21216.206098819534</v>
      </c>
      <c r="H427" s="134">
        <f t="shared" si="39"/>
        <v>406.74723662533142</v>
      </c>
      <c r="I427" s="135">
        <f>VLOOKUP(B427,'Waste per capita'!$B$2:$F$48,4,FALSE)*(H427/Variables!$C$6)</f>
        <v>361.94423878603357</v>
      </c>
      <c r="J427" s="134">
        <f t="shared" si="40"/>
        <v>3016583.7052610014</v>
      </c>
      <c r="K427" s="136">
        <f>Variables!$C$15</f>
        <v>1</v>
      </c>
      <c r="L427" s="137">
        <f t="shared" si="41"/>
        <v>3016583.7052610014</v>
      </c>
      <c r="N427" s="138">
        <f>Variables!$E$30*Variables!$C$19</f>
        <v>2.2291759999999998</v>
      </c>
      <c r="O427" s="87">
        <f t="shared" si="42"/>
        <v>6724495.997758897</v>
      </c>
      <c r="P427" s="145">
        <f>Variables!$E$29</f>
        <v>48.483938529092256</v>
      </c>
      <c r="Q427" s="146">
        <f t="shared" si="43"/>
        <v>146255858.93373576</v>
      </c>
    </row>
    <row r="428" spans="1:17">
      <c r="A428" s="101">
        <v>2</v>
      </c>
      <c r="B428" s="132" t="s">
        <v>22</v>
      </c>
      <c r="C428" s="101">
        <v>2028</v>
      </c>
      <c r="D428" s="133">
        <f>Population!M3</f>
        <v>2753185.8154319106</v>
      </c>
      <c r="E428" s="133" t="str">
        <f t="shared" si="44"/>
        <v>Large</v>
      </c>
      <c r="F428" s="133"/>
      <c r="G428" s="134">
        <f>Variables!$C$3*POWER(SUM(1,Variables!$C$2/100),C428-2017)</f>
        <v>21216.206098819534</v>
      </c>
      <c r="H428" s="134">
        <f t="shared" si="39"/>
        <v>406.74723662533142</v>
      </c>
      <c r="I428" s="135">
        <f>VLOOKUP(B428,'Waste per capita'!$B$2:$F$48,4,FALSE)*(H428/Variables!$C$6)</f>
        <v>162.18017496265315</v>
      </c>
      <c r="J428" s="134">
        <f t="shared" si="40"/>
        <v>446512.15725144214</v>
      </c>
      <c r="K428" s="136">
        <f>Variables!$C$15</f>
        <v>1</v>
      </c>
      <c r="L428" s="137">
        <f t="shared" si="41"/>
        <v>446512.15725144214</v>
      </c>
      <c r="N428" s="138">
        <f>Variables!$E$30*Variables!$C$19</f>
        <v>2.2291759999999998</v>
      </c>
      <c r="O428" s="87">
        <f t="shared" si="42"/>
        <v>995354.18465314072</v>
      </c>
      <c r="P428" s="145">
        <f>Variables!$E$29</f>
        <v>48.483938529092256</v>
      </c>
      <c r="Q428" s="146">
        <f t="shared" si="43"/>
        <v>21648667.984671295</v>
      </c>
    </row>
    <row r="429" spans="1:17">
      <c r="A429" s="101">
        <v>3</v>
      </c>
      <c r="B429" s="132" t="s">
        <v>23</v>
      </c>
      <c r="C429" s="101">
        <v>2028</v>
      </c>
      <c r="D429" s="133">
        <f>Population!M4</f>
        <v>2115513.8931727675</v>
      </c>
      <c r="E429" s="133" t="str">
        <f t="shared" si="44"/>
        <v>Large</v>
      </c>
      <c r="F429" s="133"/>
      <c r="G429" s="134">
        <f>Variables!$C$3*POWER(SUM(1,Variables!$C$2/100),C429-2017)</f>
        <v>21216.206098819534</v>
      </c>
      <c r="H429" s="134">
        <f t="shared" si="39"/>
        <v>406.74723662533142</v>
      </c>
      <c r="I429" s="135">
        <f>VLOOKUP(B429,'Waste per capita'!$B$2:$F$48,4,FALSE)*(H429/Variables!$C$6)</f>
        <v>120.59094702072706</v>
      </c>
      <c r="J429" s="134">
        <f t="shared" si="40"/>
        <v>255111.82381320922</v>
      </c>
      <c r="K429" s="136">
        <f>Variables!$C$15</f>
        <v>1</v>
      </c>
      <c r="L429" s="137">
        <f t="shared" si="41"/>
        <v>255111.82381320922</v>
      </c>
      <c r="N429" s="138">
        <f>Variables!$E$30*Variables!$C$19</f>
        <v>2.2291759999999998</v>
      </c>
      <c r="O429" s="87">
        <f t="shared" si="42"/>
        <v>568689.15496063442</v>
      </c>
      <c r="P429" s="145">
        <f>Variables!$E$29</f>
        <v>48.483938529092256</v>
      </c>
      <c r="Q429" s="146">
        <f t="shared" si="43"/>
        <v>12368825.98380425</v>
      </c>
    </row>
    <row r="430" spans="1:17">
      <c r="A430" s="101">
        <v>4</v>
      </c>
      <c r="B430" s="132" t="s">
        <v>24</v>
      </c>
      <c r="C430" s="101">
        <v>2028</v>
      </c>
      <c r="D430" s="133">
        <f>Population!M5</f>
        <v>1299925.259733144</v>
      </c>
      <c r="E430" s="133" t="str">
        <f t="shared" si="44"/>
        <v>Large</v>
      </c>
      <c r="F430" s="133"/>
      <c r="G430" s="134">
        <f>Variables!$C$3*POWER(SUM(1,Variables!$C$2/100),C430-2017)</f>
        <v>21216.206098819534</v>
      </c>
      <c r="H430" s="134">
        <f t="shared" si="39"/>
        <v>406.74723662533142</v>
      </c>
      <c r="I430" s="135">
        <f>VLOOKUP(B430,'Waste per capita'!$B$2:$F$48,4,FALSE)*(H430/Variables!$C$6)</f>
        <v>415.36881751583763</v>
      </c>
      <c r="J430" s="134">
        <f t="shared" si="40"/>
        <v>539948.41799432412</v>
      </c>
      <c r="K430" s="136">
        <f>Variables!$C$15</f>
        <v>1</v>
      </c>
      <c r="L430" s="137">
        <f t="shared" si="41"/>
        <v>539948.41799432412</v>
      </c>
      <c r="N430" s="138">
        <f>Variables!$E$30*Variables!$C$19</f>
        <v>2.2291759999999998</v>
      </c>
      <c r="O430" s="87">
        <f t="shared" si="42"/>
        <v>1203640.0546309154</v>
      </c>
      <c r="P430" s="145">
        <f>Variables!$E$29</f>
        <v>48.483938529092256</v>
      </c>
      <c r="Q430" s="146">
        <f t="shared" si="43"/>
        <v>26178825.906917423</v>
      </c>
    </row>
    <row r="431" spans="1:17">
      <c r="A431" s="101">
        <v>5</v>
      </c>
      <c r="B431" s="132" t="s">
        <v>25</v>
      </c>
      <c r="C431" s="101">
        <v>2028</v>
      </c>
      <c r="D431" s="133">
        <f>Population!M6</f>
        <v>613757.81801867497</v>
      </c>
      <c r="E431" s="133" t="str">
        <f t="shared" si="44"/>
        <v>Medium</v>
      </c>
      <c r="F431" s="133"/>
      <c r="G431" s="134">
        <f>Variables!$C$3*POWER(SUM(1,Variables!$C$2/100),C431-2017)</f>
        <v>21216.206098819534</v>
      </c>
      <c r="H431" s="134">
        <f t="shared" si="39"/>
        <v>406.74723662533142</v>
      </c>
      <c r="I431" s="135">
        <f>VLOOKUP(B431,'Waste per capita'!$B$2:$F$48,4,FALSE)*(H431/Variables!$C$6)</f>
        <v>158.38364454435998</v>
      </c>
      <c r="J431" s="134">
        <f t="shared" si="40"/>
        <v>97209.200085391785</v>
      </c>
      <c r="K431" s="136">
        <f>Variables!$C$15</f>
        <v>1</v>
      </c>
      <c r="L431" s="137">
        <f t="shared" si="41"/>
        <v>97209.200085391785</v>
      </c>
      <c r="N431" s="138">
        <f>Variables!$E$30*Variables!$C$19</f>
        <v>2.2291759999999998</v>
      </c>
      <c r="O431" s="87">
        <f t="shared" si="42"/>
        <v>216696.41580955329</v>
      </c>
      <c r="P431" s="145">
        <f>Variables!$E$29</f>
        <v>48.483938529092256</v>
      </c>
      <c r="Q431" s="146">
        <f t="shared" si="43"/>
        <v>4713084.8814023649</v>
      </c>
    </row>
    <row r="432" spans="1:17">
      <c r="A432" s="101">
        <v>6</v>
      </c>
      <c r="B432" s="132" t="s">
        <v>26</v>
      </c>
      <c r="C432" s="101">
        <v>2028</v>
      </c>
      <c r="D432" s="133">
        <f>Population!M7</f>
        <v>1030497.5834177806</v>
      </c>
      <c r="E432" s="133" t="str">
        <f t="shared" si="44"/>
        <v>Large</v>
      </c>
      <c r="F432" s="133"/>
      <c r="G432" s="134">
        <f>Variables!$C$3*POWER(SUM(1,Variables!$C$2/100),C432-2017)</f>
        <v>21216.206098819534</v>
      </c>
      <c r="H432" s="134">
        <f t="shared" si="39"/>
        <v>406.74723662533142</v>
      </c>
      <c r="I432" s="135">
        <f>VLOOKUP(B432,'Waste per capita'!$B$2:$F$48,4,FALSE)*(H432/Variables!$C$6)</f>
        <v>158.38364454435998</v>
      </c>
      <c r="J432" s="134">
        <f t="shared" si="40"/>
        <v>163213.96295586371</v>
      </c>
      <c r="K432" s="136">
        <f>Variables!$C$15</f>
        <v>1</v>
      </c>
      <c r="L432" s="137">
        <f t="shared" si="41"/>
        <v>163213.96295586371</v>
      </c>
      <c r="N432" s="138">
        <f>Variables!$E$30*Variables!$C$19</f>
        <v>2.2291759999999998</v>
      </c>
      <c r="O432" s="87">
        <f t="shared" si="42"/>
        <v>363832.6490861004</v>
      </c>
      <c r="P432" s="145">
        <f>Variables!$E$29</f>
        <v>48.483938529092256</v>
      </c>
      <c r="Q432" s="146">
        <f t="shared" si="43"/>
        <v>7913255.7470416371</v>
      </c>
    </row>
    <row r="433" spans="1:17">
      <c r="A433" s="101">
        <v>7</v>
      </c>
      <c r="B433" s="132" t="s">
        <v>27</v>
      </c>
      <c r="C433" s="101">
        <v>2028</v>
      </c>
      <c r="D433" s="133">
        <f>Population!M8</f>
        <v>730460.64284237882</v>
      </c>
      <c r="E433" s="133" t="str">
        <f t="shared" si="44"/>
        <v>Medium</v>
      </c>
      <c r="F433" s="133"/>
      <c r="G433" s="134">
        <f>Variables!$C$3*POWER(SUM(1,Variables!$C$2/100),C433-2017)</f>
        <v>21216.206098819534</v>
      </c>
      <c r="H433" s="134">
        <f t="shared" si="39"/>
        <v>406.74723662533142</v>
      </c>
      <c r="I433" s="135">
        <f>VLOOKUP(B433,'Waste per capita'!$B$2:$F$48,4,FALSE)*(H433/Variables!$C$6)</f>
        <v>158.38364454435998</v>
      </c>
      <c r="J433" s="134">
        <f t="shared" si="40"/>
        <v>115693.01880959202</v>
      </c>
      <c r="K433" s="136">
        <f>Variables!$C$15</f>
        <v>1</v>
      </c>
      <c r="L433" s="137">
        <f t="shared" si="41"/>
        <v>115693.01880959202</v>
      </c>
      <c r="N433" s="138">
        <f>Variables!$E$30*Variables!$C$19</f>
        <v>2.2291759999999998</v>
      </c>
      <c r="O433" s="87">
        <f t="shared" si="42"/>
        <v>257900.10089789107</v>
      </c>
      <c r="P433" s="145">
        <f>Variables!$E$29</f>
        <v>48.483938529092256</v>
      </c>
      <c r="Q433" s="146">
        <f t="shared" si="43"/>
        <v>5609253.2122093737</v>
      </c>
    </row>
    <row r="434" spans="1:17">
      <c r="A434" s="101">
        <v>8</v>
      </c>
      <c r="B434" s="132" t="s">
        <v>28</v>
      </c>
      <c r="C434" s="101">
        <v>2028</v>
      </c>
      <c r="D434" s="133">
        <f>Population!M9</f>
        <v>475438.75978805259</v>
      </c>
      <c r="E434" s="133" t="str">
        <f t="shared" si="44"/>
        <v>Medium</v>
      </c>
      <c r="F434" s="133"/>
      <c r="G434" s="134">
        <f>Variables!$C$3*POWER(SUM(1,Variables!$C$2/100),C434-2017)</f>
        <v>21216.206098819534</v>
      </c>
      <c r="H434" s="134">
        <f t="shared" si="39"/>
        <v>406.74723662533142</v>
      </c>
      <c r="I434" s="135">
        <f>VLOOKUP(B434,'Waste per capita'!$B$2:$F$48,4,FALSE)*(H434/Variables!$C$6)</f>
        <v>158.38364454435998</v>
      </c>
      <c r="J434" s="134">
        <f t="shared" si="40"/>
        <v>75301.723532882272</v>
      </c>
      <c r="K434" s="136">
        <f>Variables!$C$15</f>
        <v>1</v>
      </c>
      <c r="L434" s="137">
        <f t="shared" si="41"/>
        <v>75301.723532882272</v>
      </c>
      <c r="N434" s="138">
        <f>Variables!$E$30*Variables!$C$19</f>
        <v>2.2291759999999998</v>
      </c>
      <c r="O434" s="87">
        <f t="shared" si="42"/>
        <v>167860.79485813636</v>
      </c>
      <c r="P434" s="145">
        <f>Variables!$E$29</f>
        <v>48.483938529092256</v>
      </c>
      <c r="Q434" s="146">
        <f t="shared" si="43"/>
        <v>3650924.1349029639</v>
      </c>
    </row>
    <row r="435" spans="1:17">
      <c r="A435" s="101">
        <v>9</v>
      </c>
      <c r="B435" s="132" t="s">
        <v>29</v>
      </c>
      <c r="C435" s="101">
        <v>2028</v>
      </c>
      <c r="D435" s="133">
        <f>Population!M10</f>
        <v>556888.99651079264</v>
      </c>
      <c r="E435" s="133" t="str">
        <f t="shared" si="44"/>
        <v>Medium</v>
      </c>
      <c r="F435" s="133"/>
      <c r="G435" s="134">
        <f>Variables!$C$3*POWER(SUM(1,Variables!$C$2/100),C435-2017)</f>
        <v>21216.206098819534</v>
      </c>
      <c r="H435" s="134">
        <f t="shared" si="39"/>
        <v>406.74723662533142</v>
      </c>
      <c r="I435" s="135">
        <f>VLOOKUP(B435,'Waste per capita'!$B$2:$F$48,4,FALSE)*(H435/Variables!$C$6)</f>
        <v>158.38364454435998</v>
      </c>
      <c r="J435" s="134">
        <f t="shared" si="40"/>
        <v>88202.108874030702</v>
      </c>
      <c r="K435" s="136">
        <f>Variables!$C$15</f>
        <v>1</v>
      </c>
      <c r="L435" s="137">
        <f t="shared" si="41"/>
        <v>88202.108874030702</v>
      </c>
      <c r="N435" s="138">
        <f>Variables!$E$30*Variables!$C$19</f>
        <v>2.2291759999999998</v>
      </c>
      <c r="O435" s="87">
        <f t="shared" si="42"/>
        <v>196618.02425137625</v>
      </c>
      <c r="P435" s="145">
        <f>Variables!$E$29</f>
        <v>48.483938529092256</v>
      </c>
      <c r="Q435" s="146">
        <f t="shared" si="43"/>
        <v>4276385.6247848067</v>
      </c>
    </row>
    <row r="436" spans="1:17">
      <c r="A436" s="101">
        <v>10</v>
      </c>
      <c r="B436" s="132" t="s">
        <v>30</v>
      </c>
      <c r="C436" s="101">
        <v>2028</v>
      </c>
      <c r="D436" s="133">
        <f>Population!M11</f>
        <v>581066.5435185415</v>
      </c>
      <c r="E436" s="133" t="str">
        <f t="shared" si="44"/>
        <v>Medium</v>
      </c>
      <c r="F436" s="133"/>
      <c r="G436" s="134">
        <f>Variables!$C$3*POWER(SUM(1,Variables!$C$2/100),C436-2017)</f>
        <v>21216.206098819534</v>
      </c>
      <c r="H436" s="134">
        <f t="shared" ref="H436:H499" si="45">1647.41-417.73*LN(G436)+29.43*(LN(G436))^2</f>
        <v>406.74723662533142</v>
      </c>
      <c r="I436" s="135">
        <f>VLOOKUP(B436,'Waste per capita'!$B$2:$F$48,4,FALSE)*(H436/Variables!$C$6)</f>
        <v>158.38364454435998</v>
      </c>
      <c r="J436" s="134">
        <f t="shared" ref="J436:J499" si="46">I436*D436/1000</f>
        <v>92031.436885260555</v>
      </c>
      <c r="K436" s="136">
        <f>Variables!$C$15</f>
        <v>1</v>
      </c>
      <c r="L436" s="137">
        <f t="shared" ref="L436:L499" si="47">J436*K436</f>
        <v>92031.436885260555</v>
      </c>
      <c r="N436" s="138">
        <f>Variables!$E$30*Variables!$C$19</f>
        <v>2.2291759999999998</v>
      </c>
      <c r="O436" s="87">
        <f t="shared" ref="O436:O499" si="48">N436*L436</f>
        <v>205154.27035013758</v>
      </c>
      <c r="P436" s="145">
        <f>Variables!$E$29</f>
        <v>48.483938529092256</v>
      </c>
      <c r="Q436" s="146">
        <f t="shared" ref="Q436:Q499" si="49">P436*J436</f>
        <v>4462046.5286890063</v>
      </c>
    </row>
    <row r="437" spans="1:17">
      <c r="A437" s="101">
        <v>11</v>
      </c>
      <c r="B437" s="132" t="s">
        <v>31</v>
      </c>
      <c r="C437" s="101">
        <v>2028</v>
      </c>
      <c r="D437" s="133">
        <f>Population!M12</f>
        <v>408888.70671781048</v>
      </c>
      <c r="E437" s="133" t="str">
        <f t="shared" si="44"/>
        <v>Medium</v>
      </c>
      <c r="F437" s="133"/>
      <c r="G437" s="134">
        <f>Variables!$C$3*POWER(SUM(1,Variables!$C$2/100),C437-2017)</f>
        <v>21216.206098819534</v>
      </c>
      <c r="H437" s="134">
        <f t="shared" si="45"/>
        <v>406.74723662533142</v>
      </c>
      <c r="I437" s="135">
        <f>VLOOKUP(B437,'Waste per capita'!$B$2:$F$48,4,FALSE)*(H437/Variables!$C$6)</f>
        <v>158.38364454435998</v>
      </c>
      <c r="J437" s="134">
        <f t="shared" si="46"/>
        <v>64761.283582996752</v>
      </c>
      <c r="K437" s="136">
        <f>Variables!$C$15</f>
        <v>1</v>
      </c>
      <c r="L437" s="137">
        <f t="shared" si="47"/>
        <v>64761.283582996752</v>
      </c>
      <c r="N437" s="138">
        <f>Variables!$E$30*Variables!$C$19</f>
        <v>2.2291759999999998</v>
      </c>
      <c r="O437" s="87">
        <f t="shared" si="48"/>
        <v>144364.29909241037</v>
      </c>
      <c r="P437" s="145">
        <f>Variables!$E$29</f>
        <v>48.483938529092256</v>
      </c>
      <c r="Q437" s="146">
        <f t="shared" si="49"/>
        <v>3139882.0923031261</v>
      </c>
    </row>
    <row r="438" spans="1:17">
      <c r="A438" s="101">
        <v>12</v>
      </c>
      <c r="B438" s="132" t="s">
        <v>32</v>
      </c>
      <c r="C438" s="101">
        <v>2028</v>
      </c>
      <c r="D438" s="133">
        <f>Population!M13</f>
        <v>464722.32580977038</v>
      </c>
      <c r="E438" s="133" t="str">
        <f t="shared" si="44"/>
        <v>Medium</v>
      </c>
      <c r="F438" s="133"/>
      <c r="G438" s="134">
        <f>Variables!$C$3*POWER(SUM(1,Variables!$C$2/100),C438-2017)</f>
        <v>21216.206098819534</v>
      </c>
      <c r="H438" s="134">
        <f t="shared" si="45"/>
        <v>406.74723662533142</v>
      </c>
      <c r="I438" s="135">
        <f>VLOOKUP(B438,'Waste per capita'!$B$2:$F$48,4,FALSE)*(H438/Variables!$C$6)</f>
        <v>158.38364454435998</v>
      </c>
      <c r="J438" s="134">
        <f t="shared" si="46"/>
        <v>73604.415662882922</v>
      </c>
      <c r="K438" s="136">
        <f>Variables!$C$15</f>
        <v>1</v>
      </c>
      <c r="L438" s="137">
        <f t="shared" si="47"/>
        <v>73604.415662882922</v>
      </c>
      <c r="N438" s="138">
        <f>Variables!$E$30*Variables!$C$19</f>
        <v>2.2291759999999998</v>
      </c>
      <c r="O438" s="87">
        <f t="shared" si="48"/>
        <v>164077.19688972269</v>
      </c>
      <c r="P438" s="145">
        <f>Variables!$E$29</f>
        <v>48.483938529092256</v>
      </c>
      <c r="Q438" s="146">
        <f t="shared" si="49"/>
        <v>3568631.9644689709</v>
      </c>
    </row>
    <row r="439" spans="1:17">
      <c r="A439" s="101">
        <v>13</v>
      </c>
      <c r="B439" s="132" t="s">
        <v>33</v>
      </c>
      <c r="C439" s="101">
        <v>2028</v>
      </c>
      <c r="D439" s="133">
        <f>Population!M14</f>
        <v>523649.94674124732</v>
      </c>
      <c r="E439" s="133" t="str">
        <f t="shared" si="44"/>
        <v>Medium</v>
      </c>
      <c r="F439" s="133"/>
      <c r="G439" s="134">
        <f>Variables!$C$3*POWER(SUM(1,Variables!$C$2/100),C439-2017)</f>
        <v>21216.206098819534</v>
      </c>
      <c r="H439" s="134">
        <f t="shared" si="45"/>
        <v>406.74723662533142</v>
      </c>
      <c r="I439" s="135">
        <f>VLOOKUP(B439,'Waste per capita'!$B$2:$F$48,4,FALSE)*(H439/Variables!$C$6)</f>
        <v>158.38364454435998</v>
      </c>
      <c r="J439" s="134">
        <f t="shared" si="46"/>
        <v>82937.587030338749</v>
      </c>
      <c r="K439" s="136">
        <f>Variables!$C$15</f>
        <v>1</v>
      </c>
      <c r="L439" s="137">
        <f t="shared" si="47"/>
        <v>82937.587030338749</v>
      </c>
      <c r="N439" s="138">
        <f>Variables!$E$30*Variables!$C$19</f>
        <v>2.2291759999999998</v>
      </c>
      <c r="O439" s="87">
        <f t="shared" si="48"/>
        <v>184882.47850594239</v>
      </c>
      <c r="P439" s="145">
        <f>Variables!$E$29</f>
        <v>48.483938529092256</v>
      </c>
      <c r="Q439" s="146">
        <f t="shared" si="49"/>
        <v>4021140.871330183</v>
      </c>
    </row>
    <row r="440" spans="1:17">
      <c r="A440" s="101">
        <v>14</v>
      </c>
      <c r="B440" s="132" t="s">
        <v>34</v>
      </c>
      <c r="C440" s="101">
        <v>2028</v>
      </c>
      <c r="D440" s="133">
        <f>Population!M15</f>
        <v>365020.26353185985</v>
      </c>
      <c r="E440" s="133" t="str">
        <f t="shared" si="44"/>
        <v>Medium</v>
      </c>
      <c r="F440" s="133"/>
      <c r="G440" s="134">
        <f>Variables!$C$3*POWER(SUM(1,Variables!$C$2/100),C440-2017)</f>
        <v>21216.206098819534</v>
      </c>
      <c r="H440" s="134">
        <f t="shared" si="45"/>
        <v>406.74723662533142</v>
      </c>
      <c r="I440" s="135">
        <f>VLOOKUP(B440,'Waste per capita'!$B$2:$F$48,4,FALSE)*(H440/Variables!$C$6)</f>
        <v>158.38364454435998</v>
      </c>
      <c r="J440" s="134">
        <f t="shared" si="46"/>
        <v>57813.2396707187</v>
      </c>
      <c r="K440" s="136">
        <f>Variables!$C$15</f>
        <v>1</v>
      </c>
      <c r="L440" s="137">
        <f t="shared" si="47"/>
        <v>57813.2396707187</v>
      </c>
      <c r="N440" s="138">
        <f>Variables!$E$30*Variables!$C$19</f>
        <v>2.2291759999999998</v>
      </c>
      <c r="O440" s="87">
        <f t="shared" si="48"/>
        <v>128875.88635621402</v>
      </c>
      <c r="P440" s="145">
        <f>Variables!$E$29</f>
        <v>48.483938529092256</v>
      </c>
      <c r="Q440" s="146">
        <f t="shared" si="49"/>
        <v>2803013.5583628034</v>
      </c>
    </row>
    <row r="441" spans="1:17">
      <c r="A441" s="101">
        <v>15</v>
      </c>
      <c r="B441" s="132" t="s">
        <v>35</v>
      </c>
      <c r="C441" s="101">
        <v>2028</v>
      </c>
      <c r="D441" s="133">
        <f>Population!M16</f>
        <v>319892.63355075696</v>
      </c>
      <c r="E441" s="133" t="str">
        <f t="shared" si="44"/>
        <v>Medium</v>
      </c>
      <c r="F441" s="133"/>
      <c r="G441" s="134">
        <f>Variables!$C$3*POWER(SUM(1,Variables!$C$2/100),C441-2017)</f>
        <v>21216.206098819534</v>
      </c>
      <c r="H441" s="134">
        <f t="shared" si="45"/>
        <v>406.74723662533142</v>
      </c>
      <c r="I441" s="135">
        <f>VLOOKUP(B441,'Waste per capita'!$B$2:$F$48,4,FALSE)*(H441/Variables!$C$6)</f>
        <v>98.153277965761518</v>
      </c>
      <c r="J441" s="134">
        <f t="shared" si="46"/>
        <v>31398.510580106937</v>
      </c>
      <c r="K441" s="136">
        <f>Variables!$C$15</f>
        <v>1</v>
      </c>
      <c r="L441" s="137">
        <f t="shared" si="47"/>
        <v>31398.510580106937</v>
      </c>
      <c r="N441" s="138">
        <f>Variables!$E$30*Variables!$C$19</f>
        <v>2.2291759999999998</v>
      </c>
      <c r="O441" s="87">
        <f t="shared" si="48"/>
        <v>69992.806220920451</v>
      </c>
      <c r="P441" s="145">
        <f>Variables!$E$29</f>
        <v>48.483938529092256</v>
      </c>
      <c r="Q441" s="146">
        <f t="shared" si="49"/>
        <v>1522323.4568709575</v>
      </c>
    </row>
    <row r="442" spans="1:17">
      <c r="A442" s="101">
        <v>16</v>
      </c>
      <c r="B442" s="132" t="s">
        <v>36</v>
      </c>
      <c r="C442" s="101">
        <v>2028</v>
      </c>
      <c r="D442" s="133">
        <f>Population!M17</f>
        <v>533093.26743447699</v>
      </c>
      <c r="E442" s="133" t="str">
        <f t="shared" si="44"/>
        <v>Medium</v>
      </c>
      <c r="F442" s="133"/>
      <c r="G442" s="134">
        <f>Variables!$C$3*POWER(SUM(1,Variables!$C$2/100),C442-2017)</f>
        <v>21216.206098819534</v>
      </c>
      <c r="H442" s="134">
        <f t="shared" si="45"/>
        <v>406.74723662533142</v>
      </c>
      <c r="I442" s="135">
        <f>VLOOKUP(B442,'Waste per capita'!$B$2:$F$48,4,FALSE)*(H442/Variables!$C$6)</f>
        <v>158.38364454435998</v>
      </c>
      <c r="J442" s="134">
        <f t="shared" si="46"/>
        <v>84433.254578333625</v>
      </c>
      <c r="K442" s="136">
        <f>Variables!$C$15</f>
        <v>1</v>
      </c>
      <c r="L442" s="137">
        <f t="shared" si="47"/>
        <v>84433.254578333625</v>
      </c>
      <c r="N442" s="138">
        <f>Variables!$E$30*Variables!$C$19</f>
        <v>2.2291759999999998</v>
      </c>
      <c r="O442" s="87">
        <f t="shared" si="48"/>
        <v>188216.58470791142</v>
      </c>
      <c r="P442" s="145">
        <f>Variables!$E$29</f>
        <v>48.483938529092256</v>
      </c>
      <c r="Q442" s="146">
        <f t="shared" si="49"/>
        <v>4093656.7247871249</v>
      </c>
    </row>
    <row r="443" spans="1:17">
      <c r="A443" s="101">
        <v>17</v>
      </c>
      <c r="B443" s="132" t="s">
        <v>37</v>
      </c>
      <c r="C443" s="101">
        <v>2028</v>
      </c>
      <c r="D443" s="133">
        <f>Population!M18</f>
        <v>503353.2482523825</v>
      </c>
      <c r="E443" s="133" t="str">
        <f t="shared" si="44"/>
        <v>Medium</v>
      </c>
      <c r="F443" s="133"/>
      <c r="G443" s="134">
        <f>Variables!$C$3*POWER(SUM(1,Variables!$C$2/100),C443-2017)</f>
        <v>21216.206098819534</v>
      </c>
      <c r="H443" s="134">
        <f t="shared" si="45"/>
        <v>406.74723662533142</v>
      </c>
      <c r="I443" s="135">
        <f>VLOOKUP(B443,'Waste per capita'!$B$2:$F$48,4,FALSE)*(H443/Variables!$C$6)</f>
        <v>158.38364454435998</v>
      </c>
      <c r="J443" s="134">
        <f t="shared" si="46"/>
        <v>79722.921951454337</v>
      </c>
      <c r="K443" s="136">
        <f>Variables!$C$15</f>
        <v>1</v>
      </c>
      <c r="L443" s="137">
        <f t="shared" si="47"/>
        <v>79722.921951454337</v>
      </c>
      <c r="N443" s="138">
        <f>Variables!$E$30*Variables!$C$19</f>
        <v>2.2291759999999998</v>
      </c>
      <c r="O443" s="87">
        <f t="shared" si="48"/>
        <v>177716.42426405515</v>
      </c>
      <c r="P443" s="145">
        <f>Variables!$E$29</f>
        <v>48.483938529092256</v>
      </c>
      <c r="Q443" s="146">
        <f t="shared" si="49"/>
        <v>3865281.2472539316</v>
      </c>
    </row>
    <row r="444" spans="1:17">
      <c r="A444" s="101">
        <v>18</v>
      </c>
      <c r="B444" s="132" t="s">
        <v>38</v>
      </c>
      <c r="C444" s="101">
        <v>2028</v>
      </c>
      <c r="D444" s="133">
        <f>Population!M19</f>
        <v>318710.04245005635</v>
      </c>
      <c r="E444" s="133" t="str">
        <f t="shared" si="44"/>
        <v>Medium</v>
      </c>
      <c r="F444" s="133"/>
      <c r="G444" s="134">
        <f>Variables!$C$3*POWER(SUM(1,Variables!$C$2/100),C444-2017)</f>
        <v>21216.206098819534</v>
      </c>
      <c r="H444" s="134">
        <f t="shared" si="45"/>
        <v>406.74723662533142</v>
      </c>
      <c r="I444" s="135">
        <f>VLOOKUP(B444,'Waste per capita'!$B$2:$F$48,4,FALSE)*(H444/Variables!$C$6)</f>
        <v>158.38364454435998</v>
      </c>
      <c r="J444" s="134">
        <f t="shared" si="46"/>
        <v>50478.458076127601</v>
      </c>
      <c r="K444" s="136">
        <f>Variables!$C$15</f>
        <v>1</v>
      </c>
      <c r="L444" s="137">
        <f t="shared" si="47"/>
        <v>50478.458076127601</v>
      </c>
      <c r="N444" s="138">
        <f>Variables!$E$30*Variables!$C$19</f>
        <v>2.2291759999999998</v>
      </c>
      <c r="O444" s="87">
        <f t="shared" si="48"/>
        <v>112525.36726030981</v>
      </c>
      <c r="P444" s="145">
        <f>Variables!$E$29</f>
        <v>48.483938529092256</v>
      </c>
      <c r="Q444" s="146">
        <f t="shared" si="49"/>
        <v>2447394.458406331</v>
      </c>
    </row>
    <row r="445" spans="1:17">
      <c r="A445" s="101">
        <v>19</v>
      </c>
      <c r="B445" s="132" t="s">
        <v>39</v>
      </c>
      <c r="C445" s="101">
        <v>2028</v>
      </c>
      <c r="D445" s="133">
        <f>Population!M20</f>
        <v>321783.15455472295</v>
      </c>
      <c r="E445" s="133" t="str">
        <f t="shared" si="44"/>
        <v>Medium</v>
      </c>
      <c r="F445" s="133"/>
      <c r="G445" s="134">
        <f>Variables!$C$3*POWER(SUM(1,Variables!$C$2/100),C445-2017)</f>
        <v>21216.206098819534</v>
      </c>
      <c r="H445" s="134">
        <f t="shared" si="45"/>
        <v>406.74723662533142</v>
      </c>
      <c r="I445" s="135">
        <f>VLOOKUP(B445,'Waste per capita'!$B$2:$F$48,4,FALSE)*(H445/Variables!$C$6)</f>
        <v>158.38364454435998</v>
      </c>
      <c r="J445" s="134">
        <f t="shared" si="46"/>
        <v>50965.188771358087</v>
      </c>
      <c r="K445" s="136">
        <f>Variables!$C$15</f>
        <v>1</v>
      </c>
      <c r="L445" s="137">
        <f t="shared" si="47"/>
        <v>50965.188771358087</v>
      </c>
      <c r="N445" s="138">
        <f>Variables!$E$30*Variables!$C$19</f>
        <v>2.2291759999999998</v>
      </c>
      <c r="O445" s="87">
        <f t="shared" si="48"/>
        <v>113610.37564458093</v>
      </c>
      <c r="P445" s="145">
        <f>Variables!$E$29</f>
        <v>48.483938529092256</v>
      </c>
      <c r="Q445" s="146">
        <f t="shared" si="49"/>
        <v>2470993.0795141086</v>
      </c>
    </row>
    <row r="446" spans="1:17">
      <c r="A446" s="101">
        <v>20</v>
      </c>
      <c r="B446" s="132" t="s">
        <v>40</v>
      </c>
      <c r="C446" s="101">
        <v>2028</v>
      </c>
      <c r="D446" s="133">
        <f>Population!M21</f>
        <v>194960.41373679973</v>
      </c>
      <c r="E446" s="133" t="str">
        <f t="shared" si="44"/>
        <v>Medium</v>
      </c>
      <c r="F446" s="133"/>
      <c r="G446" s="134">
        <f>Variables!$C$3*POWER(SUM(1,Variables!$C$2/100),C446-2017)</f>
        <v>21216.206098819534</v>
      </c>
      <c r="H446" s="134">
        <f t="shared" si="45"/>
        <v>406.74723662533142</v>
      </c>
      <c r="I446" s="135">
        <f>VLOOKUP(B446,'Waste per capita'!$B$2:$F$48,4,FALSE)*(H446/Variables!$C$6)</f>
        <v>158.38364454435998</v>
      </c>
      <c r="J446" s="134">
        <f t="shared" si="46"/>
        <v>30878.540869510645</v>
      </c>
      <c r="K446" s="136">
        <f>Variables!$C$15</f>
        <v>1</v>
      </c>
      <c r="L446" s="137">
        <f t="shared" si="47"/>
        <v>30878.540869510645</v>
      </c>
      <c r="N446" s="138">
        <f>Variables!$E$30*Variables!$C$19</f>
        <v>2.2291759999999998</v>
      </c>
      <c r="O446" s="87">
        <f t="shared" si="48"/>
        <v>68833.702221332263</v>
      </c>
      <c r="P446" s="145">
        <f>Variables!$E$29</f>
        <v>48.483938529092256</v>
      </c>
      <c r="Q446" s="146">
        <f t="shared" si="49"/>
        <v>1497113.2773854171</v>
      </c>
    </row>
    <row r="447" spans="1:17">
      <c r="A447" s="101">
        <v>21</v>
      </c>
      <c r="B447" s="132" t="s">
        <v>41</v>
      </c>
      <c r="C447" s="101">
        <v>2028</v>
      </c>
      <c r="D447" s="133">
        <f>Population!M22</f>
        <v>206080.71592219069</v>
      </c>
      <c r="E447" s="133" t="str">
        <f t="shared" si="44"/>
        <v>Medium</v>
      </c>
      <c r="F447" s="133"/>
      <c r="G447" s="134">
        <f>Variables!$C$3*POWER(SUM(1,Variables!$C$2/100),C447-2017)</f>
        <v>21216.206098819534</v>
      </c>
      <c r="H447" s="134">
        <f t="shared" si="45"/>
        <v>406.74723662533142</v>
      </c>
      <c r="I447" s="135">
        <f>VLOOKUP(B447,'Waste per capita'!$B$2:$F$48,4,FALSE)*(H447/Variables!$C$6)</f>
        <v>158.38364454435998</v>
      </c>
      <c r="J447" s="134">
        <f t="shared" si="46"/>
        <v>32639.814858067475</v>
      </c>
      <c r="K447" s="136">
        <f>Variables!$C$15</f>
        <v>1</v>
      </c>
      <c r="L447" s="137">
        <f t="shared" si="47"/>
        <v>32639.814858067475</v>
      </c>
      <c r="N447" s="138">
        <f>Variables!$E$30*Variables!$C$19</f>
        <v>2.2291759999999998</v>
      </c>
      <c r="O447" s="87">
        <f t="shared" si="48"/>
        <v>72759.891926047421</v>
      </c>
      <c r="P447" s="145">
        <f>Variables!$E$29</f>
        <v>48.483938529092256</v>
      </c>
      <c r="Q447" s="146">
        <f t="shared" si="49"/>
        <v>1582506.7771794957</v>
      </c>
    </row>
    <row r="448" spans="1:17">
      <c r="A448" s="101">
        <v>22</v>
      </c>
      <c r="B448" s="132" t="s">
        <v>42</v>
      </c>
      <c r="C448" s="101">
        <v>2028</v>
      </c>
      <c r="D448" s="133">
        <f>Population!M23</f>
        <v>181960.03541486801</v>
      </c>
      <c r="E448" s="133" t="str">
        <f t="shared" si="44"/>
        <v>Medium</v>
      </c>
      <c r="F448" s="133"/>
      <c r="G448" s="134">
        <f>Variables!$C$3*POWER(SUM(1,Variables!$C$2/100),C448-2017)</f>
        <v>21216.206098819534</v>
      </c>
      <c r="H448" s="134">
        <f t="shared" si="45"/>
        <v>406.74723662533142</v>
      </c>
      <c r="I448" s="135">
        <f>VLOOKUP(B448,'Waste per capita'!$B$2:$F$48,4,FALSE)*(H448/Variables!$C$6)</f>
        <v>119.73834035394727</v>
      </c>
      <c r="J448" s="134">
        <f t="shared" si="46"/>
        <v>21787.592651321764</v>
      </c>
      <c r="K448" s="136">
        <f>Variables!$C$15</f>
        <v>1</v>
      </c>
      <c r="L448" s="137">
        <f t="shared" si="47"/>
        <v>21787.592651321764</v>
      </c>
      <c r="N448" s="138">
        <f>Variables!$E$30*Variables!$C$19</f>
        <v>2.2291759999999998</v>
      </c>
      <c r="O448" s="87">
        <f t="shared" si="48"/>
        <v>48568.37863610284</v>
      </c>
      <c r="P448" s="145">
        <f>Variables!$E$29</f>
        <v>48.483938529092256</v>
      </c>
      <c r="Q448" s="146">
        <f t="shared" si="49"/>
        <v>1056348.3028035865</v>
      </c>
    </row>
    <row r="449" spans="1:17">
      <c r="A449" s="101">
        <v>23</v>
      </c>
      <c r="B449" s="132" t="s">
        <v>43</v>
      </c>
      <c r="C449" s="101">
        <v>2028</v>
      </c>
      <c r="D449" s="133">
        <f>Population!M24</f>
        <v>140052.90622320989</v>
      </c>
      <c r="E449" s="133" t="str">
        <f t="shared" si="44"/>
        <v>Medium</v>
      </c>
      <c r="F449" s="133"/>
      <c r="G449" s="134">
        <f>Variables!$C$3*POWER(SUM(1,Variables!$C$2/100),C449-2017)</f>
        <v>21216.206098819534</v>
      </c>
      <c r="H449" s="134">
        <f t="shared" si="45"/>
        <v>406.74723662533142</v>
      </c>
      <c r="I449" s="135">
        <f>VLOOKUP(B449,'Waste per capita'!$B$2:$F$48,4,FALSE)*(H449/Variables!$C$6)</f>
        <v>117.51180096720032</v>
      </c>
      <c r="J449" s="134">
        <f t="shared" si="46"/>
        <v>16457.86924097981</v>
      </c>
      <c r="K449" s="136">
        <f>Variables!$C$15</f>
        <v>1</v>
      </c>
      <c r="L449" s="137">
        <f t="shared" si="47"/>
        <v>16457.86924097981</v>
      </c>
      <c r="N449" s="138">
        <f>Variables!$E$30*Variables!$C$19</f>
        <v>2.2291759999999998</v>
      </c>
      <c r="O449" s="87">
        <f t="shared" si="48"/>
        <v>36687.487123130406</v>
      </c>
      <c r="P449" s="145">
        <f>Variables!$E$29</f>
        <v>48.483938529092256</v>
      </c>
      <c r="Q449" s="146">
        <f t="shared" si="49"/>
        <v>797942.32059950335</v>
      </c>
    </row>
    <row r="450" spans="1:17">
      <c r="A450" s="101">
        <v>24</v>
      </c>
      <c r="B450" s="132" t="s">
        <v>44</v>
      </c>
      <c r="C450" s="101">
        <v>2028</v>
      </c>
      <c r="D450" s="133">
        <f>Population!M25</f>
        <v>87893.559383279629</v>
      </c>
      <c r="E450" s="133" t="str">
        <f t="shared" si="44"/>
        <v>Small</v>
      </c>
      <c r="F450" s="133"/>
      <c r="G450" s="134">
        <f>Variables!$C$3*POWER(SUM(1,Variables!$C$2/100),C450-2017)</f>
        <v>21216.206098819534</v>
      </c>
      <c r="H450" s="134">
        <f t="shared" si="45"/>
        <v>406.74723662533142</v>
      </c>
      <c r="I450" s="135">
        <f>VLOOKUP(B450,'Waste per capita'!$B$2:$F$48,4,FALSE)*(H450/Variables!$C$6)</f>
        <v>119.06138148266608</v>
      </c>
      <c r="J450" s="134">
        <f t="shared" si="46"/>
        <v>10464.72860360202</v>
      </c>
      <c r="K450" s="136">
        <f>Variables!$C$15</f>
        <v>1</v>
      </c>
      <c r="L450" s="137">
        <f t="shared" si="47"/>
        <v>10464.72860360202</v>
      </c>
      <c r="N450" s="138">
        <f>Variables!$E$30*Variables!$C$19</f>
        <v>2.2291759999999998</v>
      </c>
      <c r="O450" s="87">
        <f t="shared" si="48"/>
        <v>23327.721849663132</v>
      </c>
      <c r="P450" s="145">
        <f>Variables!$E$29</f>
        <v>48.483938529092256</v>
      </c>
      <c r="Q450" s="146">
        <f t="shared" si="49"/>
        <v>507371.25834067375</v>
      </c>
    </row>
    <row r="451" spans="1:17">
      <c r="A451" s="101">
        <v>25</v>
      </c>
      <c r="B451" s="132" t="s">
        <v>45</v>
      </c>
      <c r="C451" s="101">
        <v>2028</v>
      </c>
      <c r="D451" s="133">
        <f>Population!M26</f>
        <v>182137.59816109686</v>
      </c>
      <c r="E451" s="133" t="str">
        <f t="shared" si="44"/>
        <v>Medium</v>
      </c>
      <c r="F451" s="133"/>
      <c r="G451" s="134">
        <f>Variables!$C$3*POWER(SUM(1,Variables!$C$2/100),C451-2017)</f>
        <v>21216.206098819534</v>
      </c>
      <c r="H451" s="134">
        <f t="shared" si="45"/>
        <v>406.74723662533142</v>
      </c>
      <c r="I451" s="135">
        <f>VLOOKUP(B451,'Waste per capita'!$B$2:$F$48,4,FALSE)*(H451/Variables!$C$6)</f>
        <v>118.69428575353145</v>
      </c>
      <c r="J451" s="134">
        <f t="shared" si="46"/>
        <v>21618.692122595112</v>
      </c>
      <c r="K451" s="136">
        <f>Variables!$C$15</f>
        <v>1</v>
      </c>
      <c r="L451" s="137">
        <f t="shared" si="47"/>
        <v>21618.692122595112</v>
      </c>
      <c r="N451" s="138">
        <f>Variables!$E$30*Variables!$C$19</f>
        <v>2.2291759999999998</v>
      </c>
      <c r="O451" s="87">
        <f t="shared" si="48"/>
        <v>48191.86963107808</v>
      </c>
      <c r="P451" s="145">
        <f>Variables!$E$29</f>
        <v>48.483938529092256</v>
      </c>
      <c r="Q451" s="146">
        <f t="shared" si="49"/>
        <v>1048159.3399512724</v>
      </c>
    </row>
    <row r="452" spans="1:17">
      <c r="A452" s="101">
        <v>26</v>
      </c>
      <c r="B452" s="132" t="s">
        <v>46</v>
      </c>
      <c r="C452" s="101">
        <v>2028</v>
      </c>
      <c r="D452" s="133">
        <f>Population!M27</f>
        <v>49722.211107377465</v>
      </c>
      <c r="E452" s="133" t="str">
        <f t="shared" si="44"/>
        <v>Small</v>
      </c>
      <c r="F452" s="133"/>
      <c r="G452" s="134">
        <f>Variables!$C$3*POWER(SUM(1,Variables!$C$2/100),C452-2017)</f>
        <v>21216.206098819534</v>
      </c>
      <c r="H452" s="134">
        <f t="shared" si="45"/>
        <v>406.74723662533142</v>
      </c>
      <c r="I452" s="135">
        <f>VLOOKUP(B452,'Waste per capita'!$B$2:$F$48,4,FALSE)*(H452/Variables!$C$6)</f>
        <v>119.91793818398021</v>
      </c>
      <c r="J452" s="134">
        <f t="shared" si="46"/>
        <v>5962.585037945305</v>
      </c>
      <c r="K452" s="136">
        <f>Variables!$C$15</f>
        <v>1</v>
      </c>
      <c r="L452" s="137">
        <f t="shared" si="47"/>
        <v>5962.585037945305</v>
      </c>
      <c r="N452" s="138">
        <f>Variables!$E$30*Variables!$C$19</f>
        <v>2.2291759999999998</v>
      </c>
      <c r="O452" s="87">
        <f t="shared" si="48"/>
        <v>13291.651464546761</v>
      </c>
      <c r="P452" s="145">
        <f>Variables!$E$29</f>
        <v>48.483938529092256</v>
      </c>
      <c r="Q452" s="146">
        <f t="shared" si="49"/>
        <v>289089.60645422537</v>
      </c>
    </row>
    <row r="453" spans="1:17">
      <c r="A453" s="101">
        <v>27</v>
      </c>
      <c r="B453" s="132" t="s">
        <v>47</v>
      </c>
      <c r="C453" s="101">
        <v>2028</v>
      </c>
      <c r="D453" s="133">
        <f>Population!M28</f>
        <v>9324.9455290770693</v>
      </c>
      <c r="E453" s="133" t="str">
        <f t="shared" ref="E453:E516" si="50">IF(D453&lt;100000,"Small",IF(D453&lt;1000000,"Medium","Large"))</f>
        <v>Small</v>
      </c>
      <c r="F453" s="133"/>
      <c r="G453" s="134">
        <f>Variables!$C$3*POWER(SUM(1,Variables!$C$2/100),C453-2017)</f>
        <v>21216.206098819534</v>
      </c>
      <c r="H453" s="134">
        <f t="shared" si="45"/>
        <v>406.74723662533142</v>
      </c>
      <c r="I453" s="135">
        <f>VLOOKUP(B453,'Waste per capita'!$B$2:$F$48,4,FALSE)*(H453/Variables!$C$6)</f>
        <v>118.74876729317084</v>
      </c>
      <c r="J453" s="134">
        <f t="shared" si="46"/>
        <v>1107.3257866538668</v>
      </c>
      <c r="K453" s="136">
        <f>Variables!$C$15</f>
        <v>1</v>
      </c>
      <c r="L453" s="137">
        <f t="shared" si="47"/>
        <v>1107.3257866538668</v>
      </c>
      <c r="N453" s="138">
        <f>Variables!$E$30*Variables!$C$19</f>
        <v>2.2291759999999998</v>
      </c>
      <c r="O453" s="87">
        <f t="shared" si="48"/>
        <v>2468.4240677899197</v>
      </c>
      <c r="P453" s="145">
        <f>Variables!$E$29</f>
        <v>48.483938529092256</v>
      </c>
      <c r="Q453" s="146">
        <f t="shared" si="49"/>
        <v>53687.515371804802</v>
      </c>
    </row>
    <row r="454" spans="1:17">
      <c r="A454" s="101">
        <v>28</v>
      </c>
      <c r="B454" s="132" t="s">
        <v>48</v>
      </c>
      <c r="C454" s="101">
        <v>2028</v>
      </c>
      <c r="D454" s="133">
        <f>Population!M29</f>
        <v>55805.76611215929</v>
      </c>
      <c r="E454" s="133" t="str">
        <f t="shared" si="50"/>
        <v>Small</v>
      </c>
      <c r="F454" s="133"/>
      <c r="G454" s="134">
        <f>Variables!$C$3*POWER(SUM(1,Variables!$C$2/100),C454-2017)</f>
        <v>21216.206098819534</v>
      </c>
      <c r="H454" s="134">
        <f t="shared" si="45"/>
        <v>406.74723662533142</v>
      </c>
      <c r="I454" s="135">
        <f>VLOOKUP(B454,'Waste per capita'!$B$2:$F$48,4,FALSE)*(H454/Variables!$C$6)</f>
        <v>174.10660524872551</v>
      </c>
      <c r="J454" s="134">
        <f t="shared" si="46"/>
        <v>9716.1524910924218</v>
      </c>
      <c r="K454" s="136">
        <f>Variables!$C$15</f>
        <v>1</v>
      </c>
      <c r="L454" s="137">
        <f t="shared" si="47"/>
        <v>9716.1524910924218</v>
      </c>
      <c r="N454" s="138">
        <f>Variables!$E$30*Variables!$C$19</f>
        <v>2.2291759999999998</v>
      </c>
      <c r="O454" s="87">
        <f t="shared" si="48"/>
        <v>21659.013945483439</v>
      </c>
      <c r="P454" s="145">
        <f>Variables!$E$29</f>
        <v>48.483938529092256</v>
      </c>
      <c r="Q454" s="146">
        <f t="shared" si="49"/>
        <v>471077.34011741157</v>
      </c>
    </row>
    <row r="455" spans="1:17">
      <c r="A455" s="101">
        <v>29</v>
      </c>
      <c r="B455" s="132" t="s">
        <v>49</v>
      </c>
      <c r="C455" s="101">
        <v>2028</v>
      </c>
      <c r="D455" s="133">
        <f>Population!M30</f>
        <v>56195.70782936774</v>
      </c>
      <c r="E455" s="133" t="str">
        <f t="shared" si="50"/>
        <v>Small</v>
      </c>
      <c r="F455" s="133"/>
      <c r="G455" s="134">
        <f>Variables!$C$3*POWER(SUM(1,Variables!$C$2/100),C455-2017)</f>
        <v>21216.206098819534</v>
      </c>
      <c r="H455" s="134">
        <f t="shared" si="45"/>
        <v>406.74723662533142</v>
      </c>
      <c r="I455" s="135">
        <f>VLOOKUP(B455,'Waste per capita'!$B$2:$F$48,4,FALSE)*(H455/Variables!$C$6)</f>
        <v>174.10660524872551</v>
      </c>
      <c r="J455" s="134">
        <f t="shared" si="46"/>
        <v>9784.0439197204432</v>
      </c>
      <c r="K455" s="136">
        <f>Variables!$C$15</f>
        <v>1</v>
      </c>
      <c r="L455" s="137">
        <f t="shared" si="47"/>
        <v>9784.0439197204432</v>
      </c>
      <c r="N455" s="138">
        <f>Variables!$E$30*Variables!$C$19</f>
        <v>2.2291759999999998</v>
      </c>
      <c r="O455" s="87">
        <f t="shared" si="48"/>
        <v>21810.355888786737</v>
      </c>
      <c r="P455" s="145">
        <f>Variables!$E$29</f>
        <v>48.483938529092256</v>
      </c>
      <c r="Q455" s="146">
        <f t="shared" si="49"/>
        <v>474368.98396966484</v>
      </c>
    </row>
    <row r="456" spans="1:17">
      <c r="A456" s="101">
        <v>30</v>
      </c>
      <c r="B456" s="132" t="s">
        <v>50</v>
      </c>
      <c r="C456" s="101">
        <v>2028</v>
      </c>
      <c r="D456" s="133">
        <f>Population!M31</f>
        <v>22964.781845597641</v>
      </c>
      <c r="E456" s="133" t="str">
        <f t="shared" si="50"/>
        <v>Small</v>
      </c>
      <c r="F456" s="133"/>
      <c r="G456" s="134">
        <f>Variables!$C$3*POWER(SUM(1,Variables!$C$2/100),C456-2017)</f>
        <v>21216.206098819534</v>
      </c>
      <c r="H456" s="134">
        <f t="shared" si="45"/>
        <v>406.74723662533142</v>
      </c>
      <c r="I456" s="135">
        <f>VLOOKUP(B456,'Waste per capita'!$B$2:$F$48,4,FALSE)*(H456/Variables!$C$6)</f>
        <v>174.10660524872551</v>
      </c>
      <c r="J456" s="134">
        <f t="shared" si="46"/>
        <v>3998.3202074145665</v>
      </c>
      <c r="K456" s="136">
        <f>Variables!$C$15</f>
        <v>1</v>
      </c>
      <c r="L456" s="137">
        <f t="shared" si="47"/>
        <v>3998.3202074145665</v>
      </c>
      <c r="N456" s="138">
        <f>Variables!$E$30*Variables!$C$19</f>
        <v>2.2291759999999998</v>
      </c>
      <c r="O456" s="87">
        <f t="shared" si="48"/>
        <v>8912.9594466835733</v>
      </c>
      <c r="P456" s="145">
        <f>Variables!$E$29</f>
        <v>48.483938529092256</v>
      </c>
      <c r="Q456" s="146">
        <f t="shared" si="49"/>
        <v>193854.31115591523</v>
      </c>
    </row>
    <row r="457" spans="1:17">
      <c r="A457" s="101">
        <v>31</v>
      </c>
      <c r="B457" s="132" t="s">
        <v>51</v>
      </c>
      <c r="C457" s="101">
        <v>2028</v>
      </c>
      <c r="D457" s="133">
        <f>Population!M32</f>
        <v>34936.92099655707</v>
      </c>
      <c r="E457" s="133" t="str">
        <f t="shared" si="50"/>
        <v>Small</v>
      </c>
      <c r="F457" s="133"/>
      <c r="G457" s="134">
        <f>Variables!$C$3*POWER(SUM(1,Variables!$C$2/100),C457-2017)</f>
        <v>21216.206098819534</v>
      </c>
      <c r="H457" s="134">
        <f t="shared" si="45"/>
        <v>406.74723662533142</v>
      </c>
      <c r="I457" s="135">
        <f>VLOOKUP(B457,'Waste per capita'!$B$2:$F$48,4,FALSE)*(H457/Variables!$C$6)</f>
        <v>174.10660524872551</v>
      </c>
      <c r="J457" s="134">
        <f t="shared" si="46"/>
        <v>6082.7487125534717</v>
      </c>
      <c r="K457" s="136">
        <f>Variables!$C$15</f>
        <v>1</v>
      </c>
      <c r="L457" s="137">
        <f t="shared" si="47"/>
        <v>6082.7487125534717</v>
      </c>
      <c r="N457" s="138">
        <f>Variables!$E$30*Variables!$C$19</f>
        <v>2.2291759999999998</v>
      </c>
      <c r="O457" s="87">
        <f t="shared" si="48"/>
        <v>13559.517444055096</v>
      </c>
      <c r="P457" s="145">
        <f>Variables!$E$29</f>
        <v>48.483938529092256</v>
      </c>
      <c r="Q457" s="146">
        <f t="shared" si="49"/>
        <v>294915.61466735759</v>
      </c>
    </row>
    <row r="458" spans="1:17">
      <c r="A458" s="101">
        <v>32</v>
      </c>
      <c r="B458" s="132" t="s">
        <v>52</v>
      </c>
      <c r="C458" s="101">
        <v>2028</v>
      </c>
      <c r="D458" s="133">
        <f>Population!M33</f>
        <v>32157.425720621843</v>
      </c>
      <c r="E458" s="133" t="str">
        <f t="shared" si="50"/>
        <v>Small</v>
      </c>
      <c r="F458" s="133"/>
      <c r="G458" s="134">
        <f>Variables!$C$3*POWER(SUM(1,Variables!$C$2/100),C458-2017)</f>
        <v>21216.206098819534</v>
      </c>
      <c r="H458" s="134">
        <f t="shared" si="45"/>
        <v>406.74723662533142</v>
      </c>
      <c r="I458" s="135">
        <f>VLOOKUP(B458,'Waste per capita'!$B$2:$F$48,4,FALSE)*(H458/Variables!$C$6)</f>
        <v>174.10660524872551</v>
      </c>
      <c r="J458" s="134">
        <f t="shared" si="46"/>
        <v>5598.8202257555204</v>
      </c>
      <c r="K458" s="136">
        <f>Variables!$C$15</f>
        <v>1</v>
      </c>
      <c r="L458" s="137">
        <f t="shared" si="47"/>
        <v>5598.8202257555204</v>
      </c>
      <c r="N458" s="138">
        <f>Variables!$E$30*Variables!$C$19</f>
        <v>2.2291759999999998</v>
      </c>
      <c r="O458" s="87">
        <f t="shared" si="48"/>
        <v>12480.755675568787</v>
      </c>
      <c r="P458" s="145">
        <f>Variables!$E$29</f>
        <v>48.483938529092256</v>
      </c>
      <c r="Q458" s="146">
        <f t="shared" si="49"/>
        <v>271452.8556609691</v>
      </c>
    </row>
    <row r="459" spans="1:17">
      <c r="A459" s="101">
        <v>33</v>
      </c>
      <c r="B459" s="132" t="s">
        <v>53</v>
      </c>
      <c r="C459" s="101">
        <v>2028</v>
      </c>
      <c r="D459" s="133">
        <f>Population!M34</f>
        <v>137875.73163546273</v>
      </c>
      <c r="E459" s="133" t="str">
        <f t="shared" si="50"/>
        <v>Medium</v>
      </c>
      <c r="F459" s="133"/>
      <c r="G459" s="134">
        <f>Variables!$C$3*POWER(SUM(1,Variables!$C$2/100),C459-2017)</f>
        <v>21216.206098819534</v>
      </c>
      <c r="H459" s="134">
        <f t="shared" si="45"/>
        <v>406.74723662533142</v>
      </c>
      <c r="I459" s="135">
        <f>VLOOKUP(B459,'Waste per capita'!$B$2:$F$48,4,FALSE)*(H459/Variables!$C$6)</f>
        <v>227.78289992803997</v>
      </c>
      <c r="J459" s="134">
        <f t="shared" si="46"/>
        <v>31405.733981625901</v>
      </c>
      <c r="K459" s="136">
        <f>Variables!$C$15</f>
        <v>1</v>
      </c>
      <c r="L459" s="137">
        <f t="shared" si="47"/>
        <v>31405.733981625901</v>
      </c>
      <c r="N459" s="138">
        <f>Variables!$E$30*Variables!$C$19</f>
        <v>2.2291759999999998</v>
      </c>
      <c r="O459" s="87">
        <f t="shared" si="48"/>
        <v>70008.908454224889</v>
      </c>
      <c r="P459" s="145">
        <f>Variables!$E$29</f>
        <v>48.483938529092256</v>
      </c>
      <c r="Q459" s="146">
        <f t="shared" si="49"/>
        <v>1522673.675826174</v>
      </c>
    </row>
    <row r="460" spans="1:17">
      <c r="A460" s="101">
        <v>34</v>
      </c>
      <c r="B460" s="132" t="s">
        <v>54</v>
      </c>
      <c r="C460" s="101">
        <v>2028</v>
      </c>
      <c r="D460" s="133">
        <f>Population!M35</f>
        <v>122456.78623417859</v>
      </c>
      <c r="E460" s="133" t="str">
        <f t="shared" si="50"/>
        <v>Medium</v>
      </c>
      <c r="F460" s="133"/>
      <c r="G460" s="134">
        <f>Variables!$C$3*POWER(SUM(1,Variables!$C$2/100),C460-2017)</f>
        <v>21216.206098819534</v>
      </c>
      <c r="H460" s="134">
        <f t="shared" si="45"/>
        <v>406.74723662533142</v>
      </c>
      <c r="I460" s="135">
        <f>VLOOKUP(B460,'Waste per capita'!$B$2:$F$48,4,FALSE)*(H460/Variables!$C$6)</f>
        <v>158.38364454435998</v>
      </c>
      <c r="J460" s="134">
        <f t="shared" si="46"/>
        <v>19395.152102958818</v>
      </c>
      <c r="K460" s="136">
        <f>Variables!$C$15</f>
        <v>1</v>
      </c>
      <c r="L460" s="137">
        <f t="shared" si="47"/>
        <v>19395.152102958818</v>
      </c>
      <c r="N460" s="138">
        <f>Variables!$E$30*Variables!$C$19</f>
        <v>2.2291759999999998</v>
      </c>
      <c r="O460" s="87">
        <f t="shared" si="48"/>
        <v>43235.207584265321</v>
      </c>
      <c r="P460" s="145">
        <f>Variables!$E$29</f>
        <v>48.483938529092256</v>
      </c>
      <c r="Q460" s="146">
        <f t="shared" si="49"/>
        <v>940353.3623222498</v>
      </c>
    </row>
    <row r="461" spans="1:17">
      <c r="A461" s="101">
        <v>35</v>
      </c>
      <c r="B461" s="132" t="s">
        <v>55</v>
      </c>
      <c r="C461" s="101">
        <v>2028</v>
      </c>
      <c r="D461" s="133">
        <f>Population!M36</f>
        <v>559265.78412044409</v>
      </c>
      <c r="E461" s="133" t="str">
        <f t="shared" si="50"/>
        <v>Medium</v>
      </c>
      <c r="F461" s="133"/>
      <c r="G461" s="134">
        <f>Variables!$C$3*POWER(SUM(1,Variables!$C$2/100),C461-2017)</f>
        <v>21216.206098819534</v>
      </c>
      <c r="H461" s="134">
        <f t="shared" si="45"/>
        <v>406.74723662533142</v>
      </c>
      <c r="I461" s="135">
        <f>VLOOKUP(B461,'Waste per capita'!$B$2:$F$48,4,FALSE)*(H461/Variables!$C$6)</f>
        <v>158.38364454435998</v>
      </c>
      <c r="J461" s="134">
        <f t="shared" si="46"/>
        <v>88578.55315795519</v>
      </c>
      <c r="K461" s="136">
        <f>Variables!$C$15</f>
        <v>1</v>
      </c>
      <c r="L461" s="137">
        <f t="shared" si="47"/>
        <v>88578.55315795519</v>
      </c>
      <c r="N461" s="138">
        <f>Variables!$E$30*Variables!$C$19</f>
        <v>2.2291759999999998</v>
      </c>
      <c r="O461" s="87">
        <f t="shared" si="48"/>
        <v>197457.1848144379</v>
      </c>
      <c r="P461" s="145">
        <f>Variables!$E$29</f>
        <v>48.483938529092256</v>
      </c>
      <c r="Q461" s="146">
        <f t="shared" si="49"/>
        <v>4294637.1263062302</v>
      </c>
    </row>
    <row r="462" spans="1:17">
      <c r="A462" s="101">
        <v>36</v>
      </c>
      <c r="B462" s="132" t="s">
        <v>56</v>
      </c>
      <c r="C462" s="101">
        <v>2028</v>
      </c>
      <c r="D462" s="133">
        <f>Population!M37</f>
        <v>299935.97352362453</v>
      </c>
      <c r="E462" s="133" t="str">
        <f t="shared" si="50"/>
        <v>Medium</v>
      </c>
      <c r="F462" s="133"/>
      <c r="G462" s="134">
        <f>Variables!$C$3*POWER(SUM(1,Variables!$C$2/100),C462-2017)</f>
        <v>21216.206098819534</v>
      </c>
      <c r="H462" s="134">
        <f t="shared" si="45"/>
        <v>406.74723662533142</v>
      </c>
      <c r="I462" s="135">
        <f>VLOOKUP(B462,'Waste per capita'!$B$2:$F$48,4,FALSE)*(H462/Variables!$C$6)</f>
        <v>257.35084411816871</v>
      </c>
      <c r="J462" s="134">
        <f t="shared" si="46"/>
        <v>77188.775967709473</v>
      </c>
      <c r="K462" s="136">
        <f>Variables!$C$15</f>
        <v>1</v>
      </c>
      <c r="L462" s="137">
        <f t="shared" si="47"/>
        <v>77188.775967709473</v>
      </c>
      <c r="N462" s="138">
        <f>Variables!$E$30*Variables!$C$19</f>
        <v>2.2291759999999998</v>
      </c>
      <c r="O462" s="87">
        <f t="shared" si="48"/>
        <v>172067.36685659472</v>
      </c>
      <c r="P462" s="145">
        <f>Variables!$E$29</f>
        <v>48.483938529092256</v>
      </c>
      <c r="Q462" s="146">
        <f t="shared" si="49"/>
        <v>3742415.8691542996</v>
      </c>
    </row>
    <row r="463" spans="1:17">
      <c r="A463" s="101">
        <v>37</v>
      </c>
      <c r="B463" s="132" t="s">
        <v>57</v>
      </c>
      <c r="C463" s="101">
        <v>2028</v>
      </c>
      <c r="D463" s="133">
        <f>Population!M38</f>
        <v>139801.06886417945</v>
      </c>
      <c r="E463" s="133" t="str">
        <f t="shared" si="50"/>
        <v>Medium</v>
      </c>
      <c r="F463" s="133"/>
      <c r="G463" s="134">
        <f>Variables!$C$3*POWER(SUM(1,Variables!$C$2/100),C463-2017)</f>
        <v>21216.206098819534</v>
      </c>
      <c r="H463" s="134">
        <f t="shared" si="45"/>
        <v>406.74723662533142</v>
      </c>
      <c r="I463" s="135">
        <f>VLOOKUP(B463,'Waste per capita'!$B$2:$F$48,4,FALSE)*(H463/Variables!$C$6)</f>
        <v>158.38364454435998</v>
      </c>
      <c r="J463" s="134">
        <f t="shared" si="46"/>
        <v>22142.202797905793</v>
      </c>
      <c r="K463" s="136">
        <f>Variables!$C$15</f>
        <v>1</v>
      </c>
      <c r="L463" s="137">
        <f t="shared" si="47"/>
        <v>22142.202797905793</v>
      </c>
      <c r="N463" s="138">
        <f>Variables!$E$30*Variables!$C$19</f>
        <v>2.2291759999999998</v>
      </c>
      <c r="O463" s="87">
        <f t="shared" si="48"/>
        <v>49358.86706422444</v>
      </c>
      <c r="P463" s="145">
        <f>Variables!$E$29</f>
        <v>48.483938529092256</v>
      </c>
      <c r="Q463" s="146">
        <f t="shared" si="49"/>
        <v>1073541.1993523589</v>
      </c>
    </row>
    <row r="464" spans="1:17">
      <c r="A464" s="101">
        <v>38</v>
      </c>
      <c r="B464" s="132" t="s">
        <v>58</v>
      </c>
      <c r="C464" s="101">
        <v>2028</v>
      </c>
      <c r="D464" s="133">
        <f>Population!M39</f>
        <v>41264.18957459418</v>
      </c>
      <c r="E464" s="133" t="str">
        <f t="shared" si="50"/>
        <v>Small</v>
      </c>
      <c r="F464" s="133"/>
      <c r="G464" s="134">
        <f>Variables!$C$3*POWER(SUM(1,Variables!$C$2/100),C464-2017)</f>
        <v>21216.206098819534</v>
      </c>
      <c r="H464" s="134">
        <f t="shared" si="45"/>
        <v>406.74723662533142</v>
      </c>
      <c r="I464" s="135">
        <f>VLOOKUP(B464,'Waste per capita'!$B$2:$F$48,4,FALSE)*(H464/Variables!$C$6)</f>
        <v>347.64938591401733</v>
      </c>
      <c r="J464" s="134">
        <f t="shared" si="46"/>
        <v>14345.470165847262</v>
      </c>
      <c r="K464" s="136">
        <f>Variables!$C$15</f>
        <v>1</v>
      </c>
      <c r="L464" s="137">
        <f t="shared" si="47"/>
        <v>14345.470165847262</v>
      </c>
      <c r="N464" s="138">
        <f>Variables!$E$30*Variables!$C$19</f>
        <v>2.2291759999999998</v>
      </c>
      <c r="O464" s="87">
        <f t="shared" si="48"/>
        <v>31978.577802422733</v>
      </c>
      <c r="P464" s="145">
        <f>Variables!$E$29</f>
        <v>48.483938529092256</v>
      </c>
      <c r="Q464" s="146">
        <f t="shared" si="49"/>
        <v>695524.89369186561</v>
      </c>
    </row>
    <row r="465" spans="1:17">
      <c r="A465" s="101">
        <v>39</v>
      </c>
      <c r="B465" s="132" t="s">
        <v>59</v>
      </c>
      <c r="C465" s="101">
        <v>2028</v>
      </c>
      <c r="D465" s="133">
        <f>Population!M40</f>
        <v>77893.179094037914</v>
      </c>
      <c r="E465" s="133" t="str">
        <f t="shared" si="50"/>
        <v>Small</v>
      </c>
      <c r="F465" s="133"/>
      <c r="G465" s="134">
        <f>Variables!$C$3*POWER(SUM(1,Variables!$C$2/100),C465-2017)</f>
        <v>21216.206098819534</v>
      </c>
      <c r="H465" s="134">
        <f t="shared" si="45"/>
        <v>406.74723662533142</v>
      </c>
      <c r="I465" s="135">
        <f>VLOOKUP(B465,'Waste per capita'!$B$2:$F$48,4,FALSE)*(H465/Variables!$C$6)</f>
        <v>174.10660524872551</v>
      </c>
      <c r="J465" s="134">
        <f t="shared" si="46"/>
        <v>13561.716984093939</v>
      </c>
      <c r="K465" s="136">
        <f>Variables!$C$15</f>
        <v>1</v>
      </c>
      <c r="L465" s="137">
        <f t="shared" si="47"/>
        <v>13561.716984093939</v>
      </c>
      <c r="N465" s="138">
        <f>Variables!$E$30*Variables!$C$19</f>
        <v>2.2291759999999998</v>
      </c>
      <c r="O465" s="87">
        <f t="shared" si="48"/>
        <v>30231.454019734589</v>
      </c>
      <c r="P465" s="145">
        <f>Variables!$E$29</f>
        <v>48.483938529092256</v>
      </c>
      <c r="Q465" s="146">
        <f t="shared" si="49"/>
        <v>657525.45260575693</v>
      </c>
    </row>
    <row r="466" spans="1:17">
      <c r="A466" s="101">
        <v>40</v>
      </c>
      <c r="B466" s="132" t="s">
        <v>60</v>
      </c>
      <c r="C466" s="101">
        <v>2028</v>
      </c>
      <c r="D466" s="133">
        <f>Population!M41</f>
        <v>3523.4019447763508</v>
      </c>
      <c r="E466" s="133" t="str">
        <f t="shared" si="50"/>
        <v>Small</v>
      </c>
      <c r="F466" s="133"/>
      <c r="G466" s="134">
        <f>Variables!$C$3*POWER(SUM(1,Variables!$C$2/100),C466-2017)</f>
        <v>21216.206098819534</v>
      </c>
      <c r="H466" s="134">
        <f t="shared" si="45"/>
        <v>406.74723662533142</v>
      </c>
      <c r="I466" s="135">
        <f>VLOOKUP(B466,'Waste per capita'!$B$2:$F$48,4,FALSE)*(H466/Variables!$C$6)</f>
        <v>180.59708359169733</v>
      </c>
      <c r="J466" s="134">
        <f t="shared" si="46"/>
        <v>636.31611554792357</v>
      </c>
      <c r="K466" s="136">
        <f>Variables!$C$15</f>
        <v>1</v>
      </c>
      <c r="L466" s="137">
        <f t="shared" si="47"/>
        <v>636.31611554792357</v>
      </c>
      <c r="N466" s="138">
        <f>Variables!$E$30*Variables!$C$19</f>
        <v>2.2291759999999998</v>
      </c>
      <c r="O466" s="87">
        <f t="shared" si="48"/>
        <v>1418.460613192658</v>
      </c>
      <c r="P466" s="145">
        <f>Variables!$E$29</f>
        <v>48.483938529092256</v>
      </c>
      <c r="Q466" s="146">
        <f t="shared" si="49"/>
        <v>30851.111431296293</v>
      </c>
    </row>
    <row r="467" spans="1:17">
      <c r="A467" s="101">
        <v>41</v>
      </c>
      <c r="B467" s="132" t="s">
        <v>61</v>
      </c>
      <c r="C467" s="101">
        <v>2028</v>
      </c>
      <c r="D467" s="133">
        <f>Population!M42</f>
        <v>60720.656506140796</v>
      </c>
      <c r="E467" s="133" t="str">
        <f t="shared" si="50"/>
        <v>Small</v>
      </c>
      <c r="F467" s="133"/>
      <c r="G467" s="134">
        <f>Variables!$C$3*POWER(SUM(1,Variables!$C$2/100),C467-2017)</f>
        <v>21216.206098819534</v>
      </c>
      <c r="H467" s="134">
        <f t="shared" si="45"/>
        <v>406.74723662533142</v>
      </c>
      <c r="I467" s="135">
        <f>VLOOKUP(B467,'Waste per capita'!$B$2:$F$48,4,FALSE)*(H467/Variables!$C$6)</f>
        <v>174.10660524872551</v>
      </c>
      <c r="J467" s="134">
        <f t="shared" si="46"/>
        <v>10571.867372758114</v>
      </c>
      <c r="K467" s="136">
        <f>Variables!$C$15</f>
        <v>1</v>
      </c>
      <c r="L467" s="137">
        <f t="shared" si="47"/>
        <v>10571.867372758114</v>
      </c>
      <c r="N467" s="138">
        <f>Variables!$E$30*Variables!$C$19</f>
        <v>2.2291759999999998</v>
      </c>
      <c r="O467" s="87">
        <f t="shared" si="48"/>
        <v>23566.553022535438</v>
      </c>
      <c r="P467" s="145">
        <f>Variables!$E$29</f>
        <v>48.483938529092256</v>
      </c>
      <c r="Q467" s="146">
        <f t="shared" si="49"/>
        <v>512565.76783852041</v>
      </c>
    </row>
    <row r="468" spans="1:17">
      <c r="A468" s="101">
        <v>42</v>
      </c>
      <c r="B468" s="139" t="s">
        <v>62</v>
      </c>
      <c r="C468" s="101">
        <v>2028</v>
      </c>
      <c r="D468" s="133">
        <f>Population!M43</f>
        <v>52828.978895969783</v>
      </c>
      <c r="E468" s="133" t="str">
        <f t="shared" si="50"/>
        <v>Small</v>
      </c>
      <c r="F468" s="133"/>
      <c r="G468" s="134">
        <f>Variables!$C$3*POWER(SUM(1,Variables!$C$2/100),C468-2017)</f>
        <v>21216.206098819534</v>
      </c>
      <c r="H468" s="134">
        <f t="shared" si="45"/>
        <v>406.74723662533142</v>
      </c>
      <c r="I468" s="135">
        <f>VLOOKUP(B468,'Waste per capita'!$B$2:$F$48,4,FALSE)*(H468/Variables!$C$6)</f>
        <v>174.10660524872551</v>
      </c>
      <c r="J468" s="134">
        <f t="shared" si="46"/>
        <v>9197.8741743338633</v>
      </c>
      <c r="K468" s="136">
        <f>Variables!$C$15</f>
        <v>1</v>
      </c>
      <c r="L468" s="137">
        <f t="shared" si="47"/>
        <v>9197.8741743338633</v>
      </c>
      <c r="N468" s="138">
        <f>Variables!$E$30*Variables!$C$19</f>
        <v>2.2291759999999998</v>
      </c>
      <c r="O468" s="87">
        <f t="shared" si="48"/>
        <v>20503.680360444861</v>
      </c>
      <c r="P468" s="145">
        <f>Variables!$E$29</f>
        <v>48.483938529092256</v>
      </c>
      <c r="Q468" s="146">
        <f t="shared" si="49"/>
        <v>445949.16606672824</v>
      </c>
    </row>
    <row r="469" spans="1:17">
      <c r="A469" s="101">
        <v>43</v>
      </c>
      <c r="B469" s="139" t="s">
        <v>63</v>
      </c>
      <c r="C469" s="101">
        <v>2028</v>
      </c>
      <c r="D469" s="133">
        <f>Population!M44</f>
        <v>27895.919811129497</v>
      </c>
      <c r="E469" s="133" t="str">
        <f t="shared" si="50"/>
        <v>Small</v>
      </c>
      <c r="F469" s="133"/>
      <c r="G469" s="134">
        <f>Variables!$C$3*POWER(SUM(1,Variables!$C$2/100),C469-2017)</f>
        <v>21216.206098819534</v>
      </c>
      <c r="H469" s="134">
        <f t="shared" si="45"/>
        <v>406.74723662533142</v>
      </c>
      <c r="I469" s="135">
        <f>VLOOKUP(B469,'Waste per capita'!$B$2:$F$48,4,FALSE)*(H469/Variables!$C$6)</f>
        <v>174.10660524872551</v>
      </c>
      <c r="J469" s="134">
        <f t="shared" si="46"/>
        <v>4856.8638986064252</v>
      </c>
      <c r="K469" s="136">
        <f>Variables!$C$15</f>
        <v>1</v>
      </c>
      <c r="L469" s="137">
        <f t="shared" si="47"/>
        <v>4856.8638986064252</v>
      </c>
      <c r="N469" s="138">
        <f>Variables!$E$30*Variables!$C$19</f>
        <v>2.2291759999999998</v>
      </c>
      <c r="O469" s="87">
        <f t="shared" si="48"/>
        <v>10826.804438039875</v>
      </c>
      <c r="P469" s="145">
        <f>Variables!$E$29</f>
        <v>48.483938529092256</v>
      </c>
      <c r="Q469" s="146">
        <f t="shared" si="49"/>
        <v>235479.89070420127</v>
      </c>
    </row>
    <row r="470" spans="1:17">
      <c r="A470" s="101">
        <v>44</v>
      </c>
      <c r="B470" s="85" t="s">
        <v>108</v>
      </c>
      <c r="C470" s="101">
        <v>2028</v>
      </c>
      <c r="D470" s="133">
        <f>Population!M45</f>
        <v>76956.622648242628</v>
      </c>
      <c r="E470" s="133" t="str">
        <f t="shared" si="50"/>
        <v>Small</v>
      </c>
      <c r="F470" s="133"/>
      <c r="G470" s="134">
        <f>Variables!$C$3*POWER(SUM(1,Variables!$C$2/100),C470-2017)</f>
        <v>21216.206098819534</v>
      </c>
      <c r="H470" s="134">
        <f t="shared" si="45"/>
        <v>406.74723662533142</v>
      </c>
      <c r="I470" s="135">
        <f>VLOOKUP(B470,'Waste per capita'!$B$2:$F$48,4,FALSE)*(H470/Variables!$C$6)</f>
        <v>174.10660524872551</v>
      </c>
      <c r="J470" s="134">
        <f t="shared" si="46"/>
        <v>13398.656320692709</v>
      </c>
      <c r="K470" s="136">
        <f>Variables!$C$15</f>
        <v>1</v>
      </c>
      <c r="L470" s="137">
        <f t="shared" si="47"/>
        <v>13398.656320692709</v>
      </c>
      <c r="N470" s="138">
        <f>Variables!$E$30*Variables!$C$19</f>
        <v>2.2291759999999998</v>
      </c>
      <c r="O470" s="87">
        <f t="shared" si="48"/>
        <v>29867.963102336489</v>
      </c>
      <c r="P470" s="145">
        <f>Variables!$E$29</f>
        <v>48.483938529092256</v>
      </c>
      <c r="Q470" s="146">
        <f t="shared" si="49"/>
        <v>649619.62942489877</v>
      </c>
    </row>
    <row r="471" spans="1:17">
      <c r="A471" s="101">
        <v>45</v>
      </c>
      <c r="B471" s="139" t="s">
        <v>64</v>
      </c>
      <c r="C471" s="101">
        <v>2028</v>
      </c>
      <c r="D471" s="133">
        <f>Population!M46</f>
        <v>27407.332123793909</v>
      </c>
      <c r="E471" s="133" t="str">
        <f t="shared" si="50"/>
        <v>Small</v>
      </c>
      <c r="F471" s="133"/>
      <c r="G471" s="134">
        <f>Variables!$C$3*POWER(SUM(1,Variables!$C$2/100),C471-2017)</f>
        <v>21216.206098819534</v>
      </c>
      <c r="H471" s="134">
        <f t="shared" si="45"/>
        <v>406.74723662533142</v>
      </c>
      <c r="I471" s="135">
        <f>VLOOKUP(B471,'Waste per capita'!$B$2:$F$48,4,FALSE)*(H471/Variables!$C$6)</f>
        <v>174.10660524872551</v>
      </c>
      <c r="J471" s="134">
        <f t="shared" si="46"/>
        <v>4771.7975549981002</v>
      </c>
      <c r="K471" s="136">
        <f>Variables!$C$15</f>
        <v>1</v>
      </c>
      <c r="L471" s="137">
        <f t="shared" si="47"/>
        <v>4771.7975549981002</v>
      </c>
      <c r="N471" s="138">
        <f>Variables!$E$30*Variables!$C$19</f>
        <v>2.2291759999999998</v>
      </c>
      <c r="O471" s="87">
        <f t="shared" si="48"/>
        <v>10637.176586460444</v>
      </c>
      <c r="P471" s="145">
        <f>Variables!$E$29</f>
        <v>48.483938529092256</v>
      </c>
      <c r="Q471" s="146">
        <f t="shared" si="49"/>
        <v>231355.53932980061</v>
      </c>
    </row>
    <row r="472" spans="1:17">
      <c r="A472" s="101">
        <v>46</v>
      </c>
      <c r="B472" s="139" t="s">
        <v>65</v>
      </c>
      <c r="C472" s="101">
        <v>2028</v>
      </c>
      <c r="D472" s="133">
        <f>Population!M47</f>
        <v>35028.603721734056</v>
      </c>
      <c r="E472" s="133" t="str">
        <f t="shared" si="50"/>
        <v>Small</v>
      </c>
      <c r="F472" s="133"/>
      <c r="G472" s="134">
        <f>Variables!$C$3*POWER(SUM(1,Variables!$C$2/100),C472-2017)</f>
        <v>21216.206098819534</v>
      </c>
      <c r="H472" s="134">
        <f t="shared" si="45"/>
        <v>406.74723662533142</v>
      </c>
      <c r="I472" s="135">
        <f>VLOOKUP(B472,'Waste per capita'!$B$2:$F$48,4,FALSE)*(H472/Variables!$C$6)</f>
        <v>192.5944540622985</v>
      </c>
      <c r="J472" s="134">
        <f t="shared" si="46"/>
        <v>6746.3148103519679</v>
      </c>
      <c r="K472" s="136">
        <f>Variables!$C$15</f>
        <v>1</v>
      </c>
      <c r="L472" s="137">
        <f t="shared" si="47"/>
        <v>6746.3148103519679</v>
      </c>
      <c r="N472" s="138">
        <f>Variables!$E$30*Variables!$C$19</f>
        <v>2.2291759999999998</v>
      </c>
      <c r="O472" s="87">
        <f t="shared" si="48"/>
        <v>15038.723063681156</v>
      </c>
      <c r="P472" s="145">
        <f>Variables!$E$29</f>
        <v>48.483938529092256</v>
      </c>
      <c r="Q472" s="146">
        <f t="shared" si="49"/>
        <v>327087.91256300948</v>
      </c>
    </row>
    <row r="473" spans="1:17">
      <c r="A473" s="101">
        <v>47</v>
      </c>
      <c r="B473" s="85" t="s">
        <v>107</v>
      </c>
      <c r="C473" s="101">
        <v>2028</v>
      </c>
      <c r="D473" s="133">
        <f>Population!M48</f>
        <v>78291.244597021549</v>
      </c>
      <c r="E473" s="133" t="str">
        <f t="shared" si="50"/>
        <v>Small</v>
      </c>
      <c r="F473" s="133"/>
      <c r="G473" s="134">
        <f>Variables!$C$3*POWER(SUM(1,Variables!$C$2/100),C473-2017)</f>
        <v>21216.206098819534</v>
      </c>
      <c r="H473" s="134">
        <f t="shared" si="45"/>
        <v>406.74723662533142</v>
      </c>
      <c r="I473" s="135">
        <f>VLOOKUP(B473,'Waste per capita'!$B$2:$F$48,4,FALSE)*(H473/Variables!$C$6)</f>
        <v>174.10660524872551</v>
      </c>
      <c r="J473" s="134">
        <f t="shared" si="46"/>
        <v>13631.022817485045</v>
      </c>
      <c r="K473" s="136">
        <f>Variables!$C$15</f>
        <v>1</v>
      </c>
      <c r="L473" s="137">
        <f t="shared" si="47"/>
        <v>13631.022817485045</v>
      </c>
      <c r="N473" s="138">
        <f>Variables!$E$30*Variables!$C$19</f>
        <v>2.2291759999999998</v>
      </c>
      <c r="O473" s="87">
        <f t="shared" si="48"/>
        <v>30385.94892019004</v>
      </c>
      <c r="P473" s="145">
        <f>Variables!$E$29</f>
        <v>48.483938529092256</v>
      </c>
      <c r="Q473" s="146">
        <f t="shared" si="49"/>
        <v>660885.67237159889</v>
      </c>
    </row>
    <row r="474" spans="1:17">
      <c r="A474" s="101">
        <v>1</v>
      </c>
      <c r="B474" s="132" t="s">
        <v>21</v>
      </c>
      <c r="C474" s="101">
        <v>2029</v>
      </c>
      <c r="D474" s="133">
        <f>Population!N2</f>
        <v>8459403.7775248159</v>
      </c>
      <c r="E474" s="133" t="str">
        <f t="shared" si="50"/>
        <v>Large</v>
      </c>
      <c r="F474" s="133"/>
      <c r="G474" s="134">
        <f>Variables!$C$3*POWER(SUM(1,Variables!$C$2/100),C474-2017)</f>
        <v>21962.167905254031</v>
      </c>
      <c r="H474" s="134">
        <f t="shared" si="45"/>
        <v>412.61073210305449</v>
      </c>
      <c r="I474" s="135">
        <f>VLOOKUP(B474,'Waste per capita'!$B$2:$F$48,4,FALSE)*(H474/Variables!$C$6)</f>
        <v>367.1618732681203</v>
      </c>
      <c r="J474" s="134">
        <f t="shared" si="46"/>
        <v>3105970.5376874246</v>
      </c>
      <c r="K474" s="136">
        <f>Variables!$C$15</f>
        <v>1</v>
      </c>
      <c r="L474" s="137">
        <f t="shared" si="47"/>
        <v>3105970.5376874246</v>
      </c>
      <c r="N474" s="138">
        <f>Variables!$E$30*Variables!$C$19</f>
        <v>2.2291759999999998</v>
      </c>
      <c r="O474" s="87">
        <f t="shared" si="48"/>
        <v>6923754.9793199021</v>
      </c>
      <c r="P474" s="145">
        <f>Variables!$E$29</f>
        <v>48.483938529092256</v>
      </c>
      <c r="Q474" s="146">
        <f t="shared" si="49"/>
        <v>150589684.62240872</v>
      </c>
    </row>
    <row r="475" spans="1:17">
      <c r="A475" s="101">
        <v>2</v>
      </c>
      <c r="B475" s="132" t="s">
        <v>22</v>
      </c>
      <c r="C475" s="101">
        <v>2029</v>
      </c>
      <c r="D475" s="133">
        <f>Population!N3</f>
        <v>2794483.6026633889</v>
      </c>
      <c r="E475" s="133" t="str">
        <f t="shared" si="50"/>
        <v>Large</v>
      </c>
      <c r="F475" s="133"/>
      <c r="G475" s="134">
        <f>Variables!$C$3*POWER(SUM(1,Variables!$C$2/100),C475-2017)</f>
        <v>21962.167905254031</v>
      </c>
      <c r="H475" s="134">
        <f t="shared" si="45"/>
        <v>412.61073210305449</v>
      </c>
      <c r="I475" s="135">
        <f>VLOOKUP(B475,'Waste per capita'!$B$2:$F$48,4,FALSE)*(H475/Variables!$C$6)</f>
        <v>164.51809551095133</v>
      </c>
      <c r="J475" s="134">
        <f t="shared" si="46"/>
        <v>459743.12024676276</v>
      </c>
      <c r="K475" s="136">
        <f>Variables!$C$15</f>
        <v>1</v>
      </c>
      <c r="L475" s="137">
        <f t="shared" si="47"/>
        <v>459743.12024676276</v>
      </c>
      <c r="N475" s="138">
        <f>Variables!$E$30*Variables!$C$19</f>
        <v>2.2291759999999998</v>
      </c>
      <c r="O475" s="87">
        <f t="shared" si="48"/>
        <v>1024848.3298191975</v>
      </c>
      <c r="P475" s="145">
        <f>Variables!$E$29</f>
        <v>48.483938529092256</v>
      </c>
      <c r="Q475" s="146">
        <f t="shared" si="49"/>
        <v>22290157.181217115</v>
      </c>
    </row>
    <row r="476" spans="1:17">
      <c r="A476" s="101">
        <v>3</v>
      </c>
      <c r="B476" s="132" t="s">
        <v>23</v>
      </c>
      <c r="C476" s="101">
        <v>2029</v>
      </c>
      <c r="D476" s="133">
        <f>Population!N4</f>
        <v>2147246.601570359</v>
      </c>
      <c r="E476" s="133" t="str">
        <f t="shared" si="50"/>
        <v>Large</v>
      </c>
      <c r="F476" s="133"/>
      <c r="G476" s="134">
        <f>Variables!$C$3*POWER(SUM(1,Variables!$C$2/100),C476-2017)</f>
        <v>21962.167905254031</v>
      </c>
      <c r="H476" s="134">
        <f t="shared" si="45"/>
        <v>412.61073210305449</v>
      </c>
      <c r="I476" s="135">
        <f>VLOOKUP(B476,'Waste per capita'!$B$2:$F$48,4,FALSE)*(H476/Variables!$C$6)</f>
        <v>122.32933491581606</v>
      </c>
      <c r="J476" s="134">
        <f t="shared" si="46"/>
        <v>262671.24867034832</v>
      </c>
      <c r="K476" s="136">
        <f>Variables!$C$15</f>
        <v>1</v>
      </c>
      <c r="L476" s="137">
        <f t="shared" si="47"/>
        <v>262671.24867034832</v>
      </c>
      <c r="N476" s="138">
        <f>Variables!$E$30*Variables!$C$19</f>
        <v>2.2291759999999998</v>
      </c>
      <c r="O476" s="87">
        <f t="shared" si="48"/>
        <v>585540.44342597236</v>
      </c>
      <c r="P476" s="145">
        <f>Variables!$E$29</f>
        <v>48.483938529092256</v>
      </c>
      <c r="Q476" s="146">
        <f t="shared" si="49"/>
        <v>12735336.673893074</v>
      </c>
    </row>
    <row r="477" spans="1:17">
      <c r="A477" s="101">
        <v>4</v>
      </c>
      <c r="B477" s="132" t="s">
        <v>24</v>
      </c>
      <c r="C477" s="101">
        <v>2029</v>
      </c>
      <c r="D477" s="133">
        <f>Population!N5</f>
        <v>1319424.138629141</v>
      </c>
      <c r="E477" s="133" t="str">
        <f t="shared" si="50"/>
        <v>Large</v>
      </c>
      <c r="F477" s="133"/>
      <c r="G477" s="134">
        <f>Variables!$C$3*POWER(SUM(1,Variables!$C$2/100),C477-2017)</f>
        <v>21962.167905254031</v>
      </c>
      <c r="H477" s="134">
        <f t="shared" si="45"/>
        <v>412.61073210305449</v>
      </c>
      <c r="I477" s="135">
        <f>VLOOKUP(B477,'Waste per capita'!$B$2:$F$48,4,FALSE)*(H477/Variables!$C$6)</f>
        <v>421.35659804336643</v>
      </c>
      <c r="J477" s="134">
        <f t="shared" si="46"/>
        <v>555948.06642907392</v>
      </c>
      <c r="K477" s="136">
        <f>Variables!$C$15</f>
        <v>1</v>
      </c>
      <c r="L477" s="137">
        <f t="shared" si="47"/>
        <v>555948.06642907392</v>
      </c>
      <c r="N477" s="138">
        <f>Variables!$E$30*Variables!$C$19</f>
        <v>2.2291759999999998</v>
      </c>
      <c r="O477" s="87">
        <f t="shared" si="48"/>
        <v>1239306.0869300971</v>
      </c>
      <c r="P477" s="145">
        <f>Variables!$E$29</f>
        <v>48.483938529092256</v>
      </c>
      <c r="Q477" s="146">
        <f t="shared" si="49"/>
        <v>26954551.87811492</v>
      </c>
    </row>
    <row r="478" spans="1:17">
      <c r="A478" s="101">
        <v>5</v>
      </c>
      <c r="B478" s="132" t="s">
        <v>25</v>
      </c>
      <c r="C478" s="101">
        <v>2029</v>
      </c>
      <c r="D478" s="133">
        <f>Population!N6</f>
        <v>622964.18528895499</v>
      </c>
      <c r="E478" s="133" t="str">
        <f t="shared" si="50"/>
        <v>Medium</v>
      </c>
      <c r="F478" s="133"/>
      <c r="G478" s="134">
        <f>Variables!$C$3*POWER(SUM(1,Variables!$C$2/100),C478-2017)</f>
        <v>21962.167905254031</v>
      </c>
      <c r="H478" s="134">
        <f t="shared" si="45"/>
        <v>412.61073210305449</v>
      </c>
      <c r="I478" s="135">
        <f>VLOOKUP(B478,'Waste per capita'!$B$2:$F$48,4,FALSE)*(H478/Variables!$C$6)</f>
        <v>160.66683592197367</v>
      </c>
      <c r="J478" s="134">
        <f t="shared" si="46"/>
        <v>100089.68454308654</v>
      </c>
      <c r="K478" s="136">
        <f>Variables!$C$15</f>
        <v>1</v>
      </c>
      <c r="L478" s="137">
        <f t="shared" si="47"/>
        <v>100089.68454308654</v>
      </c>
      <c r="N478" s="138">
        <f>Variables!$E$30*Variables!$C$19</f>
        <v>2.2291759999999998</v>
      </c>
      <c r="O478" s="87">
        <f t="shared" si="48"/>
        <v>223117.52263101944</v>
      </c>
      <c r="P478" s="145">
        <f>Variables!$E$29</f>
        <v>48.483938529092256</v>
      </c>
      <c r="Q478" s="146">
        <f t="shared" si="49"/>
        <v>4852742.1127832429</v>
      </c>
    </row>
    <row r="479" spans="1:17">
      <c r="A479" s="101">
        <v>6</v>
      </c>
      <c r="B479" s="132" t="s">
        <v>26</v>
      </c>
      <c r="C479" s="101">
        <v>2029</v>
      </c>
      <c r="D479" s="133">
        <f>Population!N7</f>
        <v>1045955.0471690472</v>
      </c>
      <c r="E479" s="133" t="str">
        <f t="shared" si="50"/>
        <v>Large</v>
      </c>
      <c r="F479" s="133"/>
      <c r="G479" s="134">
        <f>Variables!$C$3*POWER(SUM(1,Variables!$C$2/100),C479-2017)</f>
        <v>21962.167905254031</v>
      </c>
      <c r="H479" s="134">
        <f t="shared" si="45"/>
        <v>412.61073210305449</v>
      </c>
      <c r="I479" s="135">
        <f>VLOOKUP(B479,'Waste per capita'!$B$2:$F$48,4,FALSE)*(H479/Variables!$C$6)</f>
        <v>160.66683592197367</v>
      </c>
      <c r="J479" s="134">
        <f t="shared" si="46"/>
        <v>168050.28794526952</v>
      </c>
      <c r="K479" s="136">
        <f>Variables!$C$15</f>
        <v>1</v>
      </c>
      <c r="L479" s="137">
        <f t="shared" si="47"/>
        <v>168050.28794526952</v>
      </c>
      <c r="N479" s="138">
        <f>Variables!$E$30*Variables!$C$19</f>
        <v>2.2291759999999998</v>
      </c>
      <c r="O479" s="87">
        <f t="shared" si="48"/>
        <v>374613.66868068412</v>
      </c>
      <c r="P479" s="145">
        <f>Variables!$E$29</f>
        <v>48.483938529092256</v>
      </c>
      <c r="Q479" s="146">
        <f t="shared" si="49"/>
        <v>8147739.8305347012</v>
      </c>
    </row>
    <row r="480" spans="1:17">
      <c r="A480" s="101">
        <v>7</v>
      </c>
      <c r="B480" s="132" t="s">
        <v>27</v>
      </c>
      <c r="C480" s="101">
        <v>2029</v>
      </c>
      <c r="D480" s="133">
        <f>Population!N8</f>
        <v>741417.55248501443</v>
      </c>
      <c r="E480" s="133" t="str">
        <f t="shared" si="50"/>
        <v>Medium</v>
      </c>
      <c r="F480" s="133"/>
      <c r="G480" s="134">
        <f>Variables!$C$3*POWER(SUM(1,Variables!$C$2/100),C480-2017)</f>
        <v>21962.167905254031</v>
      </c>
      <c r="H480" s="134">
        <f t="shared" si="45"/>
        <v>412.61073210305449</v>
      </c>
      <c r="I480" s="135">
        <f>VLOOKUP(B480,'Waste per capita'!$B$2:$F$48,4,FALSE)*(H480/Variables!$C$6)</f>
        <v>160.66683592197367</v>
      </c>
      <c r="J480" s="134">
        <f t="shared" si="46"/>
        <v>119121.21225478112</v>
      </c>
      <c r="K480" s="136">
        <f>Variables!$C$15</f>
        <v>1</v>
      </c>
      <c r="L480" s="137">
        <f t="shared" si="47"/>
        <v>119121.21225478112</v>
      </c>
      <c r="N480" s="138">
        <f>Variables!$E$30*Variables!$C$19</f>
        <v>2.2291759999999998</v>
      </c>
      <c r="O480" s="87">
        <f t="shared" si="48"/>
        <v>265542.14744926395</v>
      </c>
      <c r="P480" s="145">
        <f>Variables!$E$29</f>
        <v>48.483938529092256</v>
      </c>
      <c r="Q480" s="146">
        <f t="shared" si="49"/>
        <v>5775465.5324717592</v>
      </c>
    </row>
    <row r="481" spans="1:17">
      <c r="A481" s="101">
        <v>8</v>
      </c>
      <c r="B481" s="132" t="s">
        <v>28</v>
      </c>
      <c r="C481" s="101">
        <v>2029</v>
      </c>
      <c r="D481" s="133">
        <f>Population!N9</f>
        <v>482570.34118487337</v>
      </c>
      <c r="E481" s="133" t="str">
        <f t="shared" si="50"/>
        <v>Medium</v>
      </c>
      <c r="F481" s="133"/>
      <c r="G481" s="134">
        <f>Variables!$C$3*POWER(SUM(1,Variables!$C$2/100),C481-2017)</f>
        <v>21962.167905254031</v>
      </c>
      <c r="H481" s="134">
        <f t="shared" si="45"/>
        <v>412.61073210305449</v>
      </c>
      <c r="I481" s="135">
        <f>VLOOKUP(B481,'Waste per capita'!$B$2:$F$48,4,FALSE)*(H481/Variables!$C$6)</f>
        <v>160.66683592197367</v>
      </c>
      <c r="J481" s="134">
        <f t="shared" si="46"/>
        <v>77533.049827960902</v>
      </c>
      <c r="K481" s="136">
        <f>Variables!$C$15</f>
        <v>1</v>
      </c>
      <c r="L481" s="137">
        <f t="shared" si="47"/>
        <v>77533.049827960902</v>
      </c>
      <c r="N481" s="138">
        <f>Variables!$E$30*Variables!$C$19</f>
        <v>2.2291759999999998</v>
      </c>
      <c r="O481" s="87">
        <f t="shared" si="48"/>
        <v>172834.81388329456</v>
      </c>
      <c r="P481" s="145">
        <f>Variables!$E$29</f>
        <v>48.483938529092256</v>
      </c>
      <c r="Q481" s="146">
        <f t="shared" si="49"/>
        <v>3759107.6218319032</v>
      </c>
    </row>
    <row r="482" spans="1:17">
      <c r="A482" s="101">
        <v>9</v>
      </c>
      <c r="B482" s="132" t="s">
        <v>29</v>
      </c>
      <c r="C482" s="101">
        <v>2029</v>
      </c>
      <c r="D482" s="133">
        <f>Population!N10</f>
        <v>565242.33145845449</v>
      </c>
      <c r="E482" s="133" t="str">
        <f t="shared" si="50"/>
        <v>Medium</v>
      </c>
      <c r="F482" s="133"/>
      <c r="G482" s="134">
        <f>Variables!$C$3*POWER(SUM(1,Variables!$C$2/100),C482-2017)</f>
        <v>21962.167905254031</v>
      </c>
      <c r="H482" s="134">
        <f t="shared" si="45"/>
        <v>412.61073210305449</v>
      </c>
      <c r="I482" s="135">
        <f>VLOOKUP(B482,'Waste per capita'!$B$2:$F$48,4,FALSE)*(H482/Variables!$C$6)</f>
        <v>160.66683592197367</v>
      </c>
      <c r="J482" s="134">
        <f t="shared" si="46"/>
        <v>90815.696924589371</v>
      </c>
      <c r="K482" s="136">
        <f>Variables!$C$15</f>
        <v>1</v>
      </c>
      <c r="L482" s="137">
        <f t="shared" si="47"/>
        <v>90815.696924589371</v>
      </c>
      <c r="N482" s="138">
        <f>Variables!$E$30*Variables!$C$19</f>
        <v>2.2291759999999998</v>
      </c>
      <c r="O482" s="87">
        <f t="shared" si="48"/>
        <v>202444.17200756841</v>
      </c>
      <c r="P482" s="145">
        <f>Variables!$E$29</f>
        <v>48.483938529092256</v>
      </c>
      <c r="Q482" s="146">
        <f t="shared" si="49"/>
        <v>4403102.6671684636</v>
      </c>
    </row>
    <row r="483" spans="1:17">
      <c r="A483" s="101">
        <v>10</v>
      </c>
      <c r="B483" s="132" t="s">
        <v>30</v>
      </c>
      <c r="C483" s="101">
        <v>2029</v>
      </c>
      <c r="D483" s="133">
        <f>Population!N11</f>
        <v>589782.54167131963</v>
      </c>
      <c r="E483" s="133" t="str">
        <f t="shared" si="50"/>
        <v>Medium</v>
      </c>
      <c r="F483" s="133"/>
      <c r="G483" s="134">
        <f>Variables!$C$3*POWER(SUM(1,Variables!$C$2/100),C483-2017)</f>
        <v>21962.167905254031</v>
      </c>
      <c r="H483" s="134">
        <f t="shared" si="45"/>
        <v>412.61073210305449</v>
      </c>
      <c r="I483" s="135">
        <f>VLOOKUP(B483,'Waste per capita'!$B$2:$F$48,4,FALSE)*(H483/Variables!$C$6)</f>
        <v>160.66683592197367</v>
      </c>
      <c r="J483" s="134">
        <f t="shared" si="46"/>
        <v>94758.494852350515</v>
      </c>
      <c r="K483" s="136">
        <f>Variables!$C$15</f>
        <v>1</v>
      </c>
      <c r="L483" s="137">
        <f t="shared" si="47"/>
        <v>94758.494852350515</v>
      </c>
      <c r="N483" s="138">
        <f>Variables!$E$30*Variables!$C$19</f>
        <v>2.2291759999999998</v>
      </c>
      <c r="O483" s="87">
        <f t="shared" si="48"/>
        <v>211233.3625209833</v>
      </c>
      <c r="P483" s="145">
        <f>Variables!$E$29</f>
        <v>48.483938529092256</v>
      </c>
      <c r="Q483" s="146">
        <f t="shared" si="49"/>
        <v>4594265.0395306675</v>
      </c>
    </row>
    <row r="484" spans="1:17">
      <c r="A484" s="101">
        <v>11</v>
      </c>
      <c r="B484" s="132" t="s">
        <v>31</v>
      </c>
      <c r="C484" s="101">
        <v>2029</v>
      </c>
      <c r="D484" s="133">
        <f>Population!N12</f>
        <v>415022.03731857758</v>
      </c>
      <c r="E484" s="133" t="str">
        <f t="shared" si="50"/>
        <v>Medium</v>
      </c>
      <c r="F484" s="133"/>
      <c r="G484" s="134">
        <f>Variables!$C$3*POWER(SUM(1,Variables!$C$2/100),C484-2017)</f>
        <v>21962.167905254031</v>
      </c>
      <c r="H484" s="134">
        <f t="shared" si="45"/>
        <v>412.61073210305449</v>
      </c>
      <c r="I484" s="135">
        <f>VLOOKUP(B484,'Waste per capita'!$B$2:$F$48,4,FALSE)*(H484/Variables!$C$6)</f>
        <v>160.66683592197367</v>
      </c>
      <c r="J484" s="134">
        <f t="shared" si="46"/>
        <v>66680.277573867133</v>
      </c>
      <c r="K484" s="136">
        <f>Variables!$C$15</f>
        <v>1</v>
      </c>
      <c r="L484" s="137">
        <f t="shared" si="47"/>
        <v>66680.277573867133</v>
      </c>
      <c r="N484" s="138">
        <f>Variables!$E$30*Variables!$C$19</f>
        <v>2.2291759999999998</v>
      </c>
      <c r="O484" s="87">
        <f t="shared" si="48"/>
        <v>148642.07444100283</v>
      </c>
      <c r="P484" s="145">
        <f>Variables!$E$29</f>
        <v>48.483938529092256</v>
      </c>
      <c r="Q484" s="146">
        <f t="shared" si="49"/>
        <v>3232922.4789941832</v>
      </c>
    </row>
    <row r="485" spans="1:17">
      <c r="A485" s="101">
        <v>12</v>
      </c>
      <c r="B485" s="132" t="s">
        <v>32</v>
      </c>
      <c r="C485" s="101">
        <v>2029</v>
      </c>
      <c r="D485" s="133">
        <f>Population!N13</f>
        <v>471693.16069691686</v>
      </c>
      <c r="E485" s="133" t="str">
        <f t="shared" si="50"/>
        <v>Medium</v>
      </c>
      <c r="F485" s="133"/>
      <c r="G485" s="134">
        <f>Variables!$C$3*POWER(SUM(1,Variables!$C$2/100),C485-2017)</f>
        <v>21962.167905254031</v>
      </c>
      <c r="H485" s="134">
        <f t="shared" si="45"/>
        <v>412.61073210305449</v>
      </c>
      <c r="I485" s="135">
        <f>VLOOKUP(B485,'Waste per capita'!$B$2:$F$48,4,FALSE)*(H485/Variables!$C$6)</f>
        <v>160.66683592197367</v>
      </c>
      <c r="J485" s="134">
        <f t="shared" si="46"/>
        <v>75785.4476552087</v>
      </c>
      <c r="K485" s="136">
        <f>Variables!$C$15</f>
        <v>1</v>
      </c>
      <c r="L485" s="137">
        <f t="shared" si="47"/>
        <v>75785.4476552087</v>
      </c>
      <c r="N485" s="138">
        <f>Variables!$E$30*Variables!$C$19</f>
        <v>2.2291759999999998</v>
      </c>
      <c r="O485" s="87">
        <f t="shared" si="48"/>
        <v>168939.1010622475</v>
      </c>
      <c r="P485" s="145">
        <f>Variables!$E$29</f>
        <v>48.483938529092256</v>
      </c>
      <c r="Q485" s="146">
        <f t="shared" si="49"/>
        <v>3674376.9855148774</v>
      </c>
    </row>
    <row r="486" spans="1:17">
      <c r="A486" s="101">
        <v>13</v>
      </c>
      <c r="B486" s="132" t="s">
        <v>33</v>
      </c>
      <c r="C486" s="101">
        <v>2029</v>
      </c>
      <c r="D486" s="133">
        <f>Population!N14</f>
        <v>531504.69594236603</v>
      </c>
      <c r="E486" s="133" t="str">
        <f t="shared" si="50"/>
        <v>Medium</v>
      </c>
      <c r="F486" s="133"/>
      <c r="G486" s="134">
        <f>Variables!$C$3*POWER(SUM(1,Variables!$C$2/100),C486-2017)</f>
        <v>21962.167905254031</v>
      </c>
      <c r="H486" s="134">
        <f t="shared" si="45"/>
        <v>412.61073210305449</v>
      </c>
      <c r="I486" s="135">
        <f>VLOOKUP(B486,'Waste per capita'!$B$2:$F$48,4,FALSE)*(H486/Variables!$C$6)</f>
        <v>160.66683592197367</v>
      </c>
      <c r="J486" s="134">
        <f t="shared" si="46"/>
        <v>85395.177774730619</v>
      </c>
      <c r="K486" s="136">
        <f>Variables!$C$15</f>
        <v>1</v>
      </c>
      <c r="L486" s="137">
        <f t="shared" si="47"/>
        <v>85395.177774730619</v>
      </c>
      <c r="N486" s="138">
        <f>Variables!$E$30*Variables!$C$19</f>
        <v>2.2291759999999998</v>
      </c>
      <c r="O486" s="87">
        <f t="shared" si="48"/>
        <v>190360.88081116288</v>
      </c>
      <c r="P486" s="145">
        <f>Variables!$E$29</f>
        <v>48.483938529092256</v>
      </c>
      <c r="Q486" s="146">
        <f t="shared" si="49"/>
        <v>4140294.5499109444</v>
      </c>
    </row>
    <row r="487" spans="1:17">
      <c r="A487" s="101">
        <v>14</v>
      </c>
      <c r="B487" s="132" t="s">
        <v>34</v>
      </c>
      <c r="C487" s="101">
        <v>2029</v>
      </c>
      <c r="D487" s="133">
        <f>Population!N15</f>
        <v>370495.56748483772</v>
      </c>
      <c r="E487" s="133" t="str">
        <f t="shared" si="50"/>
        <v>Medium</v>
      </c>
      <c r="F487" s="133"/>
      <c r="G487" s="134">
        <f>Variables!$C$3*POWER(SUM(1,Variables!$C$2/100),C487-2017)</f>
        <v>21962.167905254031</v>
      </c>
      <c r="H487" s="134">
        <f t="shared" si="45"/>
        <v>412.61073210305449</v>
      </c>
      <c r="I487" s="135">
        <f>VLOOKUP(B487,'Waste per capita'!$B$2:$F$48,4,FALSE)*(H487/Variables!$C$6)</f>
        <v>160.66683592197367</v>
      </c>
      <c r="J487" s="134">
        <f t="shared" si="46"/>
        <v>59526.350550904943</v>
      </c>
      <c r="K487" s="136">
        <f>Variables!$C$15</f>
        <v>1</v>
      </c>
      <c r="L487" s="137">
        <f t="shared" si="47"/>
        <v>59526.350550904943</v>
      </c>
      <c r="N487" s="138">
        <f>Variables!$E$30*Variables!$C$19</f>
        <v>2.2291759999999998</v>
      </c>
      <c r="O487" s="87">
        <f t="shared" si="48"/>
        <v>132694.71201566406</v>
      </c>
      <c r="P487" s="145">
        <f>Variables!$E$29</f>
        <v>48.483938529092256</v>
      </c>
      <c r="Q487" s="146">
        <f t="shared" si="49"/>
        <v>2886071.920971272</v>
      </c>
    </row>
    <row r="488" spans="1:17">
      <c r="A488" s="101">
        <v>15</v>
      </c>
      <c r="B488" s="132" t="s">
        <v>35</v>
      </c>
      <c r="C488" s="101">
        <v>2029</v>
      </c>
      <c r="D488" s="133">
        <f>Population!N16</f>
        <v>324691.02305401827</v>
      </c>
      <c r="E488" s="133" t="str">
        <f t="shared" si="50"/>
        <v>Medium</v>
      </c>
      <c r="F488" s="133"/>
      <c r="G488" s="134">
        <f>Variables!$C$3*POWER(SUM(1,Variables!$C$2/100),C488-2017)</f>
        <v>21962.167905254031</v>
      </c>
      <c r="H488" s="134">
        <f t="shared" si="45"/>
        <v>412.61073210305449</v>
      </c>
      <c r="I488" s="135">
        <f>VLOOKUP(B488,'Waste per capita'!$B$2:$F$48,4,FALSE)*(H488/Variables!$C$6)</f>
        <v>99.568213949717745</v>
      </c>
      <c r="J488" s="134">
        <f t="shared" si="46"/>
        <v>32328.905250995227</v>
      </c>
      <c r="K488" s="136">
        <f>Variables!$C$15</f>
        <v>1</v>
      </c>
      <c r="L488" s="137">
        <f t="shared" si="47"/>
        <v>32328.905250995227</v>
      </c>
      <c r="N488" s="138">
        <f>Variables!$E$30*Variables!$C$19</f>
        <v>2.2291759999999998</v>
      </c>
      <c r="O488" s="87">
        <f t="shared" si="48"/>
        <v>72066.819691792538</v>
      </c>
      <c r="P488" s="145">
        <f>Variables!$E$29</f>
        <v>48.483938529092256</v>
      </c>
      <c r="Q488" s="146">
        <f t="shared" si="49"/>
        <v>1567432.6549021006</v>
      </c>
    </row>
    <row r="489" spans="1:17">
      <c r="A489" s="101">
        <v>16</v>
      </c>
      <c r="B489" s="132" t="s">
        <v>36</v>
      </c>
      <c r="C489" s="101">
        <v>2029</v>
      </c>
      <c r="D489" s="133">
        <f>Population!N17</f>
        <v>541089.66644599405</v>
      </c>
      <c r="E489" s="133" t="str">
        <f t="shared" si="50"/>
        <v>Medium</v>
      </c>
      <c r="F489" s="133"/>
      <c r="G489" s="134">
        <f>Variables!$C$3*POWER(SUM(1,Variables!$C$2/100),C489-2017)</f>
        <v>21962.167905254031</v>
      </c>
      <c r="H489" s="134">
        <f t="shared" si="45"/>
        <v>412.61073210305449</v>
      </c>
      <c r="I489" s="135">
        <f>VLOOKUP(B489,'Waste per capita'!$B$2:$F$48,4,FALSE)*(H489/Variables!$C$6)</f>
        <v>160.66683592197367</v>
      </c>
      <c r="J489" s="134">
        <f t="shared" si="46"/>
        <v>86935.164657953996</v>
      </c>
      <c r="K489" s="136">
        <f>Variables!$C$15</f>
        <v>1</v>
      </c>
      <c r="L489" s="137">
        <f t="shared" si="47"/>
        <v>86935.164657953996</v>
      </c>
      <c r="N489" s="138">
        <f>Variables!$E$30*Variables!$C$19</f>
        <v>2.2291759999999998</v>
      </c>
      <c r="O489" s="87">
        <f t="shared" si="48"/>
        <v>193793.78261155923</v>
      </c>
      <c r="P489" s="145">
        <f>Variables!$E$29</f>
        <v>48.483938529092256</v>
      </c>
      <c r="Q489" s="146">
        <f t="shared" si="49"/>
        <v>4214959.1792927552</v>
      </c>
    </row>
    <row r="490" spans="1:17">
      <c r="A490" s="101">
        <v>17</v>
      </c>
      <c r="B490" s="132" t="s">
        <v>37</v>
      </c>
      <c r="C490" s="101">
        <v>2029</v>
      </c>
      <c r="D490" s="133">
        <f>Population!N18</f>
        <v>510903.54697616817</v>
      </c>
      <c r="E490" s="133" t="str">
        <f t="shared" si="50"/>
        <v>Medium</v>
      </c>
      <c r="F490" s="133"/>
      <c r="G490" s="134">
        <f>Variables!$C$3*POWER(SUM(1,Variables!$C$2/100),C490-2017)</f>
        <v>21962.167905254031</v>
      </c>
      <c r="H490" s="134">
        <f t="shared" si="45"/>
        <v>412.61073210305449</v>
      </c>
      <c r="I490" s="135">
        <f>VLOOKUP(B490,'Waste per capita'!$B$2:$F$48,4,FALSE)*(H490/Variables!$C$6)</f>
        <v>160.66683592197367</v>
      </c>
      <c r="J490" s="134">
        <f t="shared" si="46"/>
        <v>82085.256353974386</v>
      </c>
      <c r="K490" s="136">
        <f>Variables!$C$15</f>
        <v>1</v>
      </c>
      <c r="L490" s="137">
        <f t="shared" si="47"/>
        <v>82085.256353974386</v>
      </c>
      <c r="N490" s="138">
        <f>Variables!$E$30*Variables!$C$19</f>
        <v>2.2291759999999998</v>
      </c>
      <c r="O490" s="87">
        <f t="shared" si="48"/>
        <v>182982.4834181272</v>
      </c>
      <c r="P490" s="145">
        <f>Variables!$E$29</f>
        <v>48.483938529092256</v>
      </c>
      <c r="Q490" s="146">
        <f t="shared" si="49"/>
        <v>3979816.5232108738</v>
      </c>
    </row>
    <row r="491" spans="1:17">
      <c r="A491" s="101">
        <v>18</v>
      </c>
      <c r="B491" s="132" t="s">
        <v>38</v>
      </c>
      <c r="C491" s="101">
        <v>2029</v>
      </c>
      <c r="D491" s="133">
        <f>Population!N19</f>
        <v>323490.69308680715</v>
      </c>
      <c r="E491" s="133" t="str">
        <f t="shared" si="50"/>
        <v>Medium</v>
      </c>
      <c r="F491" s="133"/>
      <c r="G491" s="134">
        <f>Variables!$C$3*POWER(SUM(1,Variables!$C$2/100),C491-2017)</f>
        <v>21962.167905254031</v>
      </c>
      <c r="H491" s="134">
        <f t="shared" si="45"/>
        <v>412.61073210305449</v>
      </c>
      <c r="I491" s="135">
        <f>VLOOKUP(B491,'Waste per capita'!$B$2:$F$48,4,FALSE)*(H491/Variables!$C$6)</f>
        <v>160.66683592197367</v>
      </c>
      <c r="J491" s="134">
        <f t="shared" si="46"/>
        <v>51974.226108463583</v>
      </c>
      <c r="K491" s="136">
        <f>Variables!$C$15</f>
        <v>1</v>
      </c>
      <c r="L491" s="137">
        <f t="shared" si="47"/>
        <v>51974.226108463583</v>
      </c>
      <c r="N491" s="138">
        <f>Variables!$E$30*Variables!$C$19</f>
        <v>2.2291759999999998</v>
      </c>
      <c r="O491" s="87">
        <f t="shared" si="48"/>
        <v>115859.69745956041</v>
      </c>
      <c r="P491" s="145">
        <f>Variables!$E$29</f>
        <v>48.483938529092256</v>
      </c>
      <c r="Q491" s="146">
        <f t="shared" si="49"/>
        <v>2519915.1837398903</v>
      </c>
    </row>
    <row r="492" spans="1:17">
      <c r="A492" s="101">
        <v>19</v>
      </c>
      <c r="B492" s="132" t="s">
        <v>39</v>
      </c>
      <c r="C492" s="101">
        <v>2029</v>
      </c>
      <c r="D492" s="133">
        <f>Population!N20</f>
        <v>326609.90187304374</v>
      </c>
      <c r="E492" s="133" t="str">
        <f t="shared" si="50"/>
        <v>Medium</v>
      </c>
      <c r="F492" s="133"/>
      <c r="G492" s="134">
        <f>Variables!$C$3*POWER(SUM(1,Variables!$C$2/100),C492-2017)</f>
        <v>21962.167905254031</v>
      </c>
      <c r="H492" s="134">
        <f t="shared" si="45"/>
        <v>412.61073210305449</v>
      </c>
      <c r="I492" s="135">
        <f>VLOOKUP(B492,'Waste per capita'!$B$2:$F$48,4,FALSE)*(H492/Variables!$C$6)</f>
        <v>160.66683592197367</v>
      </c>
      <c r="J492" s="134">
        <f t="shared" si="46"/>
        <v>52475.379514728244</v>
      </c>
      <c r="K492" s="136">
        <f>Variables!$C$15</f>
        <v>1</v>
      </c>
      <c r="L492" s="137">
        <f t="shared" si="47"/>
        <v>52475.379514728244</v>
      </c>
      <c r="N492" s="138">
        <f>Variables!$E$30*Variables!$C$19</f>
        <v>2.2291759999999998</v>
      </c>
      <c r="O492" s="87">
        <f t="shared" si="48"/>
        <v>116976.85660512384</v>
      </c>
      <c r="P492" s="145">
        <f>Variables!$E$29</f>
        <v>48.483938529092256</v>
      </c>
      <c r="Q492" s="146">
        <f t="shared" si="49"/>
        <v>2544213.0746828713</v>
      </c>
    </row>
    <row r="493" spans="1:17">
      <c r="A493" s="101">
        <v>20</v>
      </c>
      <c r="B493" s="132" t="s">
        <v>40</v>
      </c>
      <c r="C493" s="101">
        <v>2029</v>
      </c>
      <c r="D493" s="133">
        <f>Population!N21</f>
        <v>197884.8199428517</v>
      </c>
      <c r="E493" s="133" t="str">
        <f t="shared" si="50"/>
        <v>Medium</v>
      </c>
      <c r="F493" s="133"/>
      <c r="G493" s="134">
        <f>Variables!$C$3*POWER(SUM(1,Variables!$C$2/100),C493-2017)</f>
        <v>21962.167905254031</v>
      </c>
      <c r="H493" s="134">
        <f t="shared" si="45"/>
        <v>412.61073210305449</v>
      </c>
      <c r="I493" s="135">
        <f>VLOOKUP(B493,'Waste per capita'!$B$2:$F$48,4,FALSE)*(H493/Variables!$C$6)</f>
        <v>160.66683592197367</v>
      </c>
      <c r="J493" s="134">
        <f t="shared" si="46"/>
        <v>31793.527897207459</v>
      </c>
      <c r="K493" s="136">
        <f>Variables!$C$15</f>
        <v>1</v>
      </c>
      <c r="L493" s="137">
        <f t="shared" si="47"/>
        <v>31793.527897207459</v>
      </c>
      <c r="N493" s="138">
        <f>Variables!$E$30*Variables!$C$19</f>
        <v>2.2291759999999998</v>
      </c>
      <c r="O493" s="87">
        <f t="shared" si="48"/>
        <v>70873.369343785336</v>
      </c>
      <c r="P493" s="145">
        <f>Variables!$E$29</f>
        <v>48.483938529092256</v>
      </c>
      <c r="Q493" s="146">
        <f t="shared" si="49"/>
        <v>1541475.4521911861</v>
      </c>
    </row>
    <row r="494" spans="1:17">
      <c r="A494" s="101">
        <v>21</v>
      </c>
      <c r="B494" s="132" t="s">
        <v>41</v>
      </c>
      <c r="C494" s="101">
        <v>2029</v>
      </c>
      <c r="D494" s="133">
        <f>Population!N22</f>
        <v>209171.92666102355</v>
      </c>
      <c r="E494" s="133" t="str">
        <f t="shared" si="50"/>
        <v>Medium</v>
      </c>
      <c r="F494" s="133"/>
      <c r="G494" s="134">
        <f>Variables!$C$3*POWER(SUM(1,Variables!$C$2/100),C494-2017)</f>
        <v>21962.167905254031</v>
      </c>
      <c r="H494" s="134">
        <f t="shared" si="45"/>
        <v>412.61073210305449</v>
      </c>
      <c r="I494" s="135">
        <f>VLOOKUP(B494,'Waste per capita'!$B$2:$F$48,4,FALSE)*(H494/Variables!$C$6)</f>
        <v>160.66683592197367</v>
      </c>
      <c r="J494" s="134">
        <f t="shared" si="46"/>
        <v>33606.991620329783</v>
      </c>
      <c r="K494" s="136">
        <f>Variables!$C$15</f>
        <v>1</v>
      </c>
      <c r="L494" s="137">
        <f t="shared" si="47"/>
        <v>33606.991620329783</v>
      </c>
      <c r="N494" s="138">
        <f>Variables!$E$30*Variables!$C$19</f>
        <v>2.2291759999999998</v>
      </c>
      <c r="O494" s="87">
        <f t="shared" si="48"/>
        <v>74915.899152240265</v>
      </c>
      <c r="P494" s="145">
        <f>Variables!$E$29</f>
        <v>48.483938529092256</v>
      </c>
      <c r="Q494" s="146">
        <f t="shared" si="49"/>
        <v>1629399.3158677877</v>
      </c>
    </row>
    <row r="495" spans="1:17">
      <c r="A495" s="101">
        <v>22</v>
      </c>
      <c r="B495" s="132" t="s">
        <v>42</v>
      </c>
      <c r="C495" s="101">
        <v>2029</v>
      </c>
      <c r="D495" s="133">
        <f>Population!N23</f>
        <v>184689.43594609102</v>
      </c>
      <c r="E495" s="133" t="str">
        <f t="shared" si="50"/>
        <v>Medium</v>
      </c>
      <c r="F495" s="133"/>
      <c r="G495" s="134">
        <f>Variables!$C$3*POWER(SUM(1,Variables!$C$2/100),C495-2017)</f>
        <v>21962.167905254031</v>
      </c>
      <c r="H495" s="134">
        <f t="shared" si="45"/>
        <v>412.61073210305449</v>
      </c>
      <c r="I495" s="135">
        <f>VLOOKUP(B495,'Waste per capita'!$B$2:$F$48,4,FALSE)*(H495/Variables!$C$6)</f>
        <v>121.46443743330408</v>
      </c>
      <c r="J495" s="134">
        <f t="shared" si="46"/>
        <v>22433.198437066192</v>
      </c>
      <c r="K495" s="136">
        <f>Variables!$C$15</f>
        <v>1</v>
      </c>
      <c r="L495" s="137">
        <f t="shared" si="47"/>
        <v>22433.198437066192</v>
      </c>
      <c r="N495" s="138">
        <f>Variables!$E$30*Variables!$C$19</f>
        <v>2.2291759999999998</v>
      </c>
      <c r="O495" s="87">
        <f t="shared" si="48"/>
        <v>50007.54755914546</v>
      </c>
      <c r="P495" s="145">
        <f>Variables!$E$29</f>
        <v>48.483938529092256</v>
      </c>
      <c r="Q495" s="146">
        <f t="shared" si="49"/>
        <v>1087649.8140336457</v>
      </c>
    </row>
    <row r="496" spans="1:17">
      <c r="A496" s="101">
        <v>23</v>
      </c>
      <c r="B496" s="132" t="s">
        <v>43</v>
      </c>
      <c r="C496" s="101">
        <v>2029</v>
      </c>
      <c r="D496" s="133">
        <f>Population!N24</f>
        <v>142153.69981655804</v>
      </c>
      <c r="E496" s="133" t="str">
        <f t="shared" si="50"/>
        <v>Medium</v>
      </c>
      <c r="F496" s="133"/>
      <c r="G496" s="134">
        <f>Variables!$C$3*POWER(SUM(1,Variables!$C$2/100),C496-2017)</f>
        <v>21962.167905254031</v>
      </c>
      <c r="H496" s="134">
        <f t="shared" si="45"/>
        <v>412.61073210305449</v>
      </c>
      <c r="I496" s="135">
        <f>VLOOKUP(B496,'Waste per capita'!$B$2:$F$48,4,FALSE)*(H496/Variables!$C$6)</f>
        <v>119.20580120004016</v>
      </c>
      <c r="J496" s="134">
        <f t="shared" si="46"/>
        <v>16945.545680182804</v>
      </c>
      <c r="K496" s="136">
        <f>Variables!$C$15</f>
        <v>1</v>
      </c>
      <c r="L496" s="137">
        <f t="shared" si="47"/>
        <v>16945.545680182804</v>
      </c>
      <c r="N496" s="138">
        <f>Variables!$E$30*Variables!$C$19</f>
        <v>2.2291759999999998</v>
      </c>
      <c r="O496" s="87">
        <f t="shared" si="48"/>
        <v>37774.603737167177</v>
      </c>
      <c r="P496" s="145">
        <f>Variables!$E$29</f>
        <v>48.483938529092256</v>
      </c>
      <c r="Q496" s="146">
        <f t="shared" si="49"/>
        <v>821586.7950999079</v>
      </c>
    </row>
    <row r="497" spans="1:17">
      <c r="A497" s="101">
        <v>24</v>
      </c>
      <c r="B497" s="132" t="s">
        <v>44</v>
      </c>
      <c r="C497" s="101">
        <v>2029</v>
      </c>
      <c r="D497" s="133">
        <f>Population!N25</f>
        <v>89211.962774028812</v>
      </c>
      <c r="E497" s="133" t="str">
        <f t="shared" si="50"/>
        <v>Small</v>
      </c>
      <c r="F497" s="133"/>
      <c r="G497" s="134">
        <f>Variables!$C$3*POWER(SUM(1,Variables!$C$2/100),C497-2017)</f>
        <v>21962.167905254031</v>
      </c>
      <c r="H497" s="134">
        <f t="shared" si="45"/>
        <v>412.61073210305449</v>
      </c>
      <c r="I497" s="135">
        <f>VLOOKUP(B497,'Waste per capita'!$B$2:$F$48,4,FALSE)*(H497/Variables!$C$6)</f>
        <v>120.77771981033894</v>
      </c>
      <c r="J497" s="134">
        <f t="shared" si="46"/>
        <v>10774.817443652038</v>
      </c>
      <c r="K497" s="136">
        <f>Variables!$C$15</f>
        <v>1</v>
      </c>
      <c r="L497" s="137">
        <f t="shared" si="47"/>
        <v>10774.817443652038</v>
      </c>
      <c r="N497" s="138">
        <f>Variables!$E$30*Variables!$C$19</f>
        <v>2.2291759999999998</v>
      </c>
      <c r="O497" s="87">
        <f t="shared" si="48"/>
        <v>24018.964449770476</v>
      </c>
      <c r="P497" s="145">
        <f>Variables!$E$29</f>
        <v>48.483938529092256</v>
      </c>
      <c r="Q497" s="146">
        <f t="shared" si="49"/>
        <v>522405.5866002164</v>
      </c>
    </row>
    <row r="498" spans="1:17">
      <c r="A498" s="101">
        <v>25</v>
      </c>
      <c r="B498" s="132" t="s">
        <v>45</v>
      </c>
      <c r="C498" s="101">
        <v>2029</v>
      </c>
      <c r="D498" s="133">
        <f>Population!N26</f>
        <v>184869.66213351331</v>
      </c>
      <c r="E498" s="133" t="str">
        <f t="shared" si="50"/>
        <v>Medium</v>
      </c>
      <c r="F498" s="133"/>
      <c r="G498" s="134">
        <f>Variables!$C$3*POWER(SUM(1,Variables!$C$2/100),C498-2017)</f>
        <v>21962.167905254031</v>
      </c>
      <c r="H498" s="134">
        <f t="shared" si="45"/>
        <v>412.61073210305449</v>
      </c>
      <c r="I498" s="135">
        <f>VLOOKUP(B498,'Waste per capita'!$B$2:$F$48,4,FALSE)*(H498/Variables!$C$6)</f>
        <v>120.40533218502443</v>
      </c>
      <c r="J498" s="134">
        <f t="shared" si="46"/>
        <v>22259.293080118903</v>
      </c>
      <c r="K498" s="136">
        <f>Variables!$C$15</f>
        <v>1</v>
      </c>
      <c r="L498" s="137">
        <f t="shared" si="47"/>
        <v>22259.293080118903</v>
      </c>
      <c r="N498" s="138">
        <f>Variables!$E$30*Variables!$C$19</f>
        <v>2.2291759999999998</v>
      </c>
      <c r="O498" s="87">
        <f t="shared" si="48"/>
        <v>49619.881911167133</v>
      </c>
      <c r="P498" s="145">
        <f>Variables!$E$29</f>
        <v>48.483938529092256</v>
      </c>
      <c r="Q498" s="146">
        <f t="shared" si="49"/>
        <v>1079218.1973975336</v>
      </c>
    </row>
    <row r="499" spans="1:17">
      <c r="A499" s="101">
        <v>26</v>
      </c>
      <c r="B499" s="132" t="s">
        <v>46</v>
      </c>
      <c r="C499" s="101">
        <v>2029</v>
      </c>
      <c r="D499" s="133">
        <f>Population!N27</f>
        <v>50468.044273988118</v>
      </c>
      <c r="E499" s="133" t="str">
        <f t="shared" si="50"/>
        <v>Small</v>
      </c>
      <c r="F499" s="133"/>
      <c r="G499" s="134">
        <f>Variables!$C$3*POWER(SUM(1,Variables!$C$2/100),C499-2017)</f>
        <v>21962.167905254031</v>
      </c>
      <c r="H499" s="134">
        <f t="shared" si="45"/>
        <v>412.61073210305449</v>
      </c>
      <c r="I499" s="135">
        <f>VLOOKUP(B499,'Waste per capita'!$B$2:$F$48,4,FALSE)*(H499/Variables!$C$6)</f>
        <v>121.64662426940612</v>
      </c>
      <c r="J499" s="134">
        <f t="shared" si="46"/>
        <v>6139.2672194095858</v>
      </c>
      <c r="K499" s="136">
        <f>Variables!$C$15</f>
        <v>1</v>
      </c>
      <c r="L499" s="137">
        <f t="shared" si="47"/>
        <v>6139.2672194095858</v>
      </c>
      <c r="N499" s="138">
        <f>Variables!$E$30*Variables!$C$19</f>
        <v>2.2291759999999998</v>
      </c>
      <c r="O499" s="87">
        <f t="shared" si="48"/>
        <v>13685.507143094581</v>
      </c>
      <c r="P499" s="145">
        <f>Variables!$E$29</f>
        <v>48.483938529092256</v>
      </c>
      <c r="Q499" s="146">
        <f t="shared" si="49"/>
        <v>297655.85447952547</v>
      </c>
    </row>
    <row r="500" spans="1:17">
      <c r="A500" s="101">
        <v>27</v>
      </c>
      <c r="B500" s="132" t="s">
        <v>47</v>
      </c>
      <c r="C500" s="101">
        <v>2029</v>
      </c>
      <c r="D500" s="133">
        <f>Population!N28</f>
        <v>9464.8197120132227</v>
      </c>
      <c r="E500" s="133" t="str">
        <f t="shared" si="50"/>
        <v>Small</v>
      </c>
      <c r="F500" s="133"/>
      <c r="G500" s="134">
        <f>Variables!$C$3*POWER(SUM(1,Variables!$C$2/100),C500-2017)</f>
        <v>21962.167905254031</v>
      </c>
      <c r="H500" s="134">
        <f t="shared" ref="H500:H563" si="51">1647.41-417.73*LN(G500)+29.43*(LN(G500))^2</f>
        <v>412.61073210305449</v>
      </c>
      <c r="I500" s="135">
        <f>VLOOKUP(B500,'Waste per capita'!$B$2:$F$48,4,FALSE)*(H500/Variables!$C$6)</f>
        <v>120.46059910740901</v>
      </c>
      <c r="J500" s="134">
        <f t="shared" ref="J500:J563" si="52">I500*D500/1000</f>
        <v>1140.1378529527271</v>
      </c>
      <c r="K500" s="136">
        <f>Variables!$C$15</f>
        <v>1</v>
      </c>
      <c r="L500" s="137">
        <f t="shared" ref="L500:L563" si="53">J500*K500</f>
        <v>1140.1378529527271</v>
      </c>
      <c r="N500" s="138">
        <f>Variables!$E$30*Variables!$C$19</f>
        <v>2.2291759999999998</v>
      </c>
      <c r="O500" s="87">
        <f t="shared" ref="O500:O563" si="54">N500*L500</f>
        <v>2541.5679384937484</v>
      </c>
      <c r="P500" s="145">
        <f>Variables!$E$29</f>
        <v>48.483938529092256</v>
      </c>
      <c r="Q500" s="146">
        <f t="shared" ref="Q500:Q563" si="55">P500*J500</f>
        <v>55278.373577251252</v>
      </c>
    </row>
    <row r="501" spans="1:17">
      <c r="A501" s="101">
        <v>28</v>
      </c>
      <c r="B501" s="132" t="s">
        <v>48</v>
      </c>
      <c r="C501" s="101">
        <v>2029</v>
      </c>
      <c r="D501" s="133">
        <f>Population!N29</f>
        <v>56642.852603841675</v>
      </c>
      <c r="E501" s="133" t="str">
        <f t="shared" si="50"/>
        <v>Small</v>
      </c>
      <c r="F501" s="133"/>
      <c r="G501" s="134">
        <f>Variables!$C$3*POWER(SUM(1,Variables!$C$2/100),C501-2017)</f>
        <v>21962.167905254031</v>
      </c>
      <c r="H501" s="134">
        <f t="shared" si="51"/>
        <v>412.61073210305449</v>
      </c>
      <c r="I501" s="135">
        <f>VLOOKUP(B501,'Waste per capita'!$B$2:$F$48,4,FALSE)*(H501/Variables!$C$6)</f>
        <v>176.61645215263448</v>
      </c>
      <c r="J501" s="134">
        <f t="shared" si="52"/>
        <v>10004.059666695131</v>
      </c>
      <c r="K501" s="136">
        <f>Variables!$C$15</f>
        <v>1</v>
      </c>
      <c r="L501" s="137">
        <f t="shared" si="53"/>
        <v>10004.059666695131</v>
      </c>
      <c r="N501" s="138">
        <f>Variables!$E$30*Variables!$C$19</f>
        <v>2.2291759999999998</v>
      </c>
      <c r="O501" s="87">
        <f t="shared" si="54"/>
        <v>22300.809711564783</v>
      </c>
      <c r="P501" s="145">
        <f>Variables!$E$29</f>
        <v>48.483938529092256</v>
      </c>
      <c r="Q501" s="146">
        <f t="shared" si="55"/>
        <v>485036.21392141795</v>
      </c>
    </row>
    <row r="502" spans="1:17">
      <c r="A502" s="101">
        <v>29</v>
      </c>
      <c r="B502" s="132" t="s">
        <v>49</v>
      </c>
      <c r="C502" s="101">
        <v>2029</v>
      </c>
      <c r="D502" s="133">
        <f>Population!N30</f>
        <v>57038.643446808252</v>
      </c>
      <c r="E502" s="133" t="str">
        <f t="shared" si="50"/>
        <v>Small</v>
      </c>
      <c r="F502" s="133"/>
      <c r="G502" s="134">
        <f>Variables!$C$3*POWER(SUM(1,Variables!$C$2/100),C502-2017)</f>
        <v>21962.167905254031</v>
      </c>
      <c r="H502" s="134">
        <f t="shared" si="51"/>
        <v>412.61073210305449</v>
      </c>
      <c r="I502" s="135">
        <f>VLOOKUP(B502,'Waste per capita'!$B$2:$F$48,4,FALSE)*(H502/Variables!$C$6)</f>
        <v>176.61645215263448</v>
      </c>
      <c r="J502" s="134">
        <f t="shared" si="52"/>
        <v>10073.962841174389</v>
      </c>
      <c r="K502" s="136">
        <f>Variables!$C$15</f>
        <v>1</v>
      </c>
      <c r="L502" s="137">
        <f t="shared" si="53"/>
        <v>10073.962841174389</v>
      </c>
      <c r="N502" s="138">
        <f>Variables!$E$30*Variables!$C$19</f>
        <v>2.2291759999999998</v>
      </c>
      <c r="O502" s="87">
        <f t="shared" si="54"/>
        <v>22456.636190437759</v>
      </c>
      <c r="P502" s="145">
        <f>Variables!$E$29</f>
        <v>48.483938529092256</v>
      </c>
      <c r="Q502" s="146">
        <f t="shared" si="55"/>
        <v>488425.39513585862</v>
      </c>
    </row>
    <row r="503" spans="1:17">
      <c r="A503" s="101">
        <v>30</v>
      </c>
      <c r="B503" s="132" t="s">
        <v>50</v>
      </c>
      <c r="C503" s="101">
        <v>2029</v>
      </c>
      <c r="D503" s="133">
        <f>Population!N31</f>
        <v>23309.253573281603</v>
      </c>
      <c r="E503" s="133" t="str">
        <f t="shared" si="50"/>
        <v>Small</v>
      </c>
      <c r="F503" s="133"/>
      <c r="G503" s="134">
        <f>Variables!$C$3*POWER(SUM(1,Variables!$C$2/100),C503-2017)</f>
        <v>21962.167905254031</v>
      </c>
      <c r="H503" s="134">
        <f t="shared" si="51"/>
        <v>412.61073210305449</v>
      </c>
      <c r="I503" s="135">
        <f>VLOOKUP(B503,'Waste per capita'!$B$2:$F$48,4,FALSE)*(H503/Variables!$C$6)</f>
        <v>176.61645215263448</v>
      </c>
      <c r="J503" s="134">
        <f t="shared" si="52"/>
        <v>4116.7976684391142</v>
      </c>
      <c r="K503" s="136">
        <f>Variables!$C$15</f>
        <v>1</v>
      </c>
      <c r="L503" s="137">
        <f t="shared" si="53"/>
        <v>4116.7976684391142</v>
      </c>
      <c r="N503" s="138">
        <f>Variables!$E$30*Variables!$C$19</f>
        <v>2.2291759999999998</v>
      </c>
      <c r="O503" s="87">
        <f t="shared" si="54"/>
        <v>9177.0665593404301</v>
      </c>
      <c r="P503" s="145">
        <f>Variables!$E$29</f>
        <v>48.483938529092256</v>
      </c>
      <c r="Q503" s="146">
        <f t="shared" si="55"/>
        <v>199598.56509331233</v>
      </c>
    </row>
    <row r="504" spans="1:17">
      <c r="A504" s="101">
        <v>31</v>
      </c>
      <c r="B504" s="132" t="s">
        <v>51</v>
      </c>
      <c r="C504" s="101">
        <v>2029</v>
      </c>
      <c r="D504" s="133">
        <f>Population!N32</f>
        <v>35460.974811505424</v>
      </c>
      <c r="E504" s="133" t="str">
        <f t="shared" si="50"/>
        <v>Small</v>
      </c>
      <c r="F504" s="133"/>
      <c r="G504" s="134">
        <f>Variables!$C$3*POWER(SUM(1,Variables!$C$2/100),C504-2017)</f>
        <v>21962.167905254031</v>
      </c>
      <c r="H504" s="134">
        <f t="shared" si="51"/>
        <v>412.61073210305449</v>
      </c>
      <c r="I504" s="135">
        <f>VLOOKUP(B504,'Waste per capita'!$B$2:$F$48,4,FALSE)*(H504/Variables!$C$6)</f>
        <v>176.61645215263448</v>
      </c>
      <c r="J504" s="134">
        <f t="shared" si="52"/>
        <v>6262.9915610820244</v>
      </c>
      <c r="K504" s="136">
        <f>Variables!$C$15</f>
        <v>1</v>
      </c>
      <c r="L504" s="137">
        <f t="shared" si="53"/>
        <v>6262.9915610820244</v>
      </c>
      <c r="N504" s="138">
        <f>Variables!$E$30*Variables!$C$19</f>
        <v>2.2291759999999998</v>
      </c>
      <c r="O504" s="87">
        <f t="shared" si="54"/>
        <v>13961.310476166582</v>
      </c>
      <c r="P504" s="145">
        <f>Variables!$E$29</f>
        <v>48.483938529092256</v>
      </c>
      <c r="Q504" s="146">
        <f t="shared" si="55"/>
        <v>303654.49785572442</v>
      </c>
    </row>
    <row r="505" spans="1:17">
      <c r="A505" s="101">
        <v>32</v>
      </c>
      <c r="B505" s="132" t="s">
        <v>52</v>
      </c>
      <c r="C505" s="101">
        <v>2029</v>
      </c>
      <c r="D505" s="133">
        <f>Population!N33</f>
        <v>32639.787106431166</v>
      </c>
      <c r="E505" s="133" t="str">
        <f t="shared" si="50"/>
        <v>Small</v>
      </c>
      <c r="F505" s="133"/>
      <c r="G505" s="134">
        <f>Variables!$C$3*POWER(SUM(1,Variables!$C$2/100),C505-2017)</f>
        <v>21962.167905254031</v>
      </c>
      <c r="H505" s="134">
        <f t="shared" si="51"/>
        <v>412.61073210305449</v>
      </c>
      <c r="I505" s="135">
        <f>VLOOKUP(B505,'Waste per capita'!$B$2:$F$48,4,FALSE)*(H505/Variables!$C$6)</f>
        <v>176.61645215263448</v>
      </c>
      <c r="J505" s="134">
        <f t="shared" si="52"/>
        <v>5764.7233977551759</v>
      </c>
      <c r="K505" s="136">
        <f>Variables!$C$15</f>
        <v>1</v>
      </c>
      <c r="L505" s="137">
        <f t="shared" si="53"/>
        <v>5764.7233977551759</v>
      </c>
      <c r="N505" s="138">
        <f>Variables!$E$30*Variables!$C$19</f>
        <v>2.2291759999999998</v>
      </c>
      <c r="O505" s="87">
        <f t="shared" si="54"/>
        <v>12850.58304491429</v>
      </c>
      <c r="P505" s="145">
        <f>Variables!$E$29</f>
        <v>48.483938529092256</v>
      </c>
      <c r="Q505" s="146">
        <f t="shared" si="55"/>
        <v>279496.49485398177</v>
      </c>
    </row>
    <row r="506" spans="1:17">
      <c r="A506" s="101">
        <v>33</v>
      </c>
      <c r="B506" s="132" t="s">
        <v>53</v>
      </c>
      <c r="C506" s="101">
        <v>2029</v>
      </c>
      <c r="D506" s="133">
        <f>Population!N34</f>
        <v>139943.86760999466</v>
      </c>
      <c r="E506" s="133" t="str">
        <f t="shared" si="50"/>
        <v>Medium</v>
      </c>
      <c r="F506" s="133"/>
      <c r="G506" s="134">
        <f>Variables!$C$3*POWER(SUM(1,Variables!$C$2/100),C506-2017)</f>
        <v>21962.167905254031</v>
      </c>
      <c r="H506" s="134">
        <f t="shared" si="51"/>
        <v>412.61073210305449</v>
      </c>
      <c r="I506" s="135">
        <f>VLOOKUP(B506,'Waste per capita'!$B$2:$F$48,4,FALSE)*(H506/Variables!$C$6)</f>
        <v>231.06652150765254</v>
      </c>
      <c r="J506" s="134">
        <f t="shared" si="52"/>
        <v>32336.342694968909</v>
      </c>
      <c r="K506" s="136">
        <f>Variables!$C$15</f>
        <v>1</v>
      </c>
      <c r="L506" s="137">
        <f t="shared" si="53"/>
        <v>32336.342694968909</v>
      </c>
      <c r="N506" s="138">
        <f>Variables!$E$30*Variables!$C$19</f>
        <v>2.2291759999999998</v>
      </c>
      <c r="O506" s="87">
        <f t="shared" si="54"/>
        <v>72083.399063400007</v>
      </c>
      <c r="P506" s="145">
        <f>Variables!$E$29</f>
        <v>48.483938529092256</v>
      </c>
      <c r="Q506" s="146">
        <f t="shared" si="55"/>
        <v>1567793.251478534</v>
      </c>
    </row>
    <row r="507" spans="1:17">
      <c r="A507" s="101">
        <v>34</v>
      </c>
      <c r="B507" s="132" t="s">
        <v>54</v>
      </c>
      <c r="C507" s="101">
        <v>2029</v>
      </c>
      <c r="D507" s="133">
        <f>Population!N35</f>
        <v>124293.63802769127</v>
      </c>
      <c r="E507" s="133" t="str">
        <f t="shared" si="50"/>
        <v>Medium</v>
      </c>
      <c r="F507" s="133"/>
      <c r="G507" s="134">
        <f>Variables!$C$3*POWER(SUM(1,Variables!$C$2/100),C507-2017)</f>
        <v>21962.167905254031</v>
      </c>
      <c r="H507" s="134">
        <f t="shared" si="51"/>
        <v>412.61073210305449</v>
      </c>
      <c r="I507" s="135">
        <f>VLOOKUP(B507,'Waste per capita'!$B$2:$F$48,4,FALSE)*(H507/Variables!$C$6)</f>
        <v>160.66683592197367</v>
      </c>
      <c r="J507" s="134">
        <f t="shared" si="52"/>
        <v>19969.86554714026</v>
      </c>
      <c r="K507" s="136">
        <f>Variables!$C$15</f>
        <v>1</v>
      </c>
      <c r="L507" s="137">
        <f t="shared" si="53"/>
        <v>19969.86554714026</v>
      </c>
      <c r="N507" s="138">
        <f>Variables!$E$30*Variables!$C$19</f>
        <v>2.2291759999999998</v>
      </c>
      <c r="O507" s="87">
        <f t="shared" si="54"/>
        <v>44516.345000911933</v>
      </c>
      <c r="P507" s="145">
        <f>Variables!$E$29</f>
        <v>48.483938529092256</v>
      </c>
      <c r="Q507" s="146">
        <f t="shared" si="55"/>
        <v>968217.73362178565</v>
      </c>
    </row>
    <row r="508" spans="1:17">
      <c r="A508" s="101">
        <v>35</v>
      </c>
      <c r="B508" s="132" t="s">
        <v>55</v>
      </c>
      <c r="C508" s="101">
        <v>2029</v>
      </c>
      <c r="D508" s="133">
        <f>Population!N36</f>
        <v>567654.77088225074</v>
      </c>
      <c r="E508" s="133" t="str">
        <f t="shared" si="50"/>
        <v>Medium</v>
      </c>
      <c r="F508" s="133"/>
      <c r="G508" s="134">
        <f>Variables!$C$3*POWER(SUM(1,Variables!$C$2/100),C508-2017)</f>
        <v>21962.167905254031</v>
      </c>
      <c r="H508" s="134">
        <f t="shared" si="51"/>
        <v>412.61073210305449</v>
      </c>
      <c r="I508" s="135">
        <f>VLOOKUP(B508,'Waste per capita'!$B$2:$F$48,4,FALSE)*(H508/Variables!$C$6)</f>
        <v>160.66683592197367</v>
      </c>
      <c r="J508" s="134">
        <f t="shared" si="52"/>
        <v>91203.295933664136</v>
      </c>
      <c r="K508" s="136">
        <f>Variables!$C$15</f>
        <v>1</v>
      </c>
      <c r="L508" s="137">
        <f t="shared" si="53"/>
        <v>91203.295933664136</v>
      </c>
      <c r="N508" s="138">
        <f>Variables!$E$30*Variables!$C$19</f>
        <v>2.2291759999999998</v>
      </c>
      <c r="O508" s="87">
        <f t="shared" si="54"/>
        <v>203308.19841622165</v>
      </c>
      <c r="P508" s="145">
        <f>Variables!$E$29</f>
        <v>48.483938529092256</v>
      </c>
      <c r="Q508" s="146">
        <f t="shared" si="55"/>
        <v>4421894.9936983818</v>
      </c>
    </row>
    <row r="509" spans="1:17">
      <c r="A509" s="101">
        <v>36</v>
      </c>
      <c r="B509" s="132" t="s">
        <v>56</v>
      </c>
      <c r="C509" s="101">
        <v>2029</v>
      </c>
      <c r="D509" s="133">
        <f>Population!N37</f>
        <v>304435.01312647882</v>
      </c>
      <c r="E509" s="133" t="str">
        <f t="shared" si="50"/>
        <v>Medium</v>
      </c>
      <c r="F509" s="133"/>
      <c r="G509" s="134">
        <f>Variables!$C$3*POWER(SUM(1,Variables!$C$2/100),C509-2017)</f>
        <v>21962.167905254031</v>
      </c>
      <c r="H509" s="134">
        <f t="shared" si="51"/>
        <v>412.61073210305449</v>
      </c>
      <c r="I509" s="135">
        <f>VLOOKUP(B509,'Waste per capita'!$B$2:$F$48,4,FALSE)*(H509/Variables!$C$6)</f>
        <v>261.06070462808793</v>
      </c>
      <c r="J509" s="134">
        <f t="shared" si="52"/>
        <v>79476.019040259765</v>
      </c>
      <c r="K509" s="136">
        <f>Variables!$C$15</f>
        <v>1</v>
      </c>
      <c r="L509" s="137">
        <f t="shared" si="53"/>
        <v>79476.019040259765</v>
      </c>
      <c r="N509" s="138">
        <f>Variables!$E$30*Variables!$C$19</f>
        <v>2.2291759999999998</v>
      </c>
      <c r="O509" s="87">
        <f t="shared" si="54"/>
        <v>177166.03422009008</v>
      </c>
      <c r="P509" s="145">
        <f>Variables!$E$29</f>
        <v>48.483938529092256</v>
      </c>
      <c r="Q509" s="146">
        <f t="shared" si="55"/>
        <v>3853310.4216849203</v>
      </c>
    </row>
    <row r="510" spans="1:17">
      <c r="A510" s="101">
        <v>37</v>
      </c>
      <c r="B510" s="132" t="s">
        <v>57</v>
      </c>
      <c r="C510" s="101">
        <v>2029</v>
      </c>
      <c r="D510" s="133">
        <f>Population!N38</f>
        <v>141898.08489714211</v>
      </c>
      <c r="E510" s="133" t="str">
        <f t="shared" si="50"/>
        <v>Medium</v>
      </c>
      <c r="F510" s="133"/>
      <c r="G510" s="134">
        <f>Variables!$C$3*POWER(SUM(1,Variables!$C$2/100),C510-2017)</f>
        <v>21962.167905254031</v>
      </c>
      <c r="H510" s="134">
        <f t="shared" si="51"/>
        <v>412.61073210305449</v>
      </c>
      <c r="I510" s="135">
        <f>VLOOKUP(B510,'Waste per capita'!$B$2:$F$48,4,FALSE)*(H510/Variables!$C$6)</f>
        <v>160.66683592197367</v>
      </c>
      <c r="J510" s="134">
        <f t="shared" si="52"/>
        <v>22798.316323811425</v>
      </c>
      <c r="K510" s="136">
        <f>Variables!$C$15</f>
        <v>1</v>
      </c>
      <c r="L510" s="137">
        <f t="shared" si="53"/>
        <v>22798.316323811425</v>
      </c>
      <c r="N510" s="138">
        <f>Variables!$E$30*Variables!$C$19</f>
        <v>2.2291759999999998</v>
      </c>
      <c r="O510" s="87">
        <f t="shared" si="54"/>
        <v>50821.459589448656</v>
      </c>
      <c r="P510" s="145">
        <f>Variables!$E$29</f>
        <v>48.483938529092256</v>
      </c>
      <c r="Q510" s="146">
        <f t="shared" si="55"/>
        <v>1105352.1672104737</v>
      </c>
    </row>
    <row r="511" spans="1:17">
      <c r="A511" s="101">
        <v>38</v>
      </c>
      <c r="B511" s="132" t="s">
        <v>58</v>
      </c>
      <c r="C511" s="101">
        <v>2029</v>
      </c>
      <c r="D511" s="133">
        <f>Population!N39</f>
        <v>41883.152418213089</v>
      </c>
      <c r="E511" s="133" t="str">
        <f t="shared" si="50"/>
        <v>Small</v>
      </c>
      <c r="F511" s="133"/>
      <c r="G511" s="134">
        <f>Variables!$C$3*POWER(SUM(1,Variables!$C$2/100),C511-2017)</f>
        <v>21962.167905254031</v>
      </c>
      <c r="H511" s="134">
        <f t="shared" si="51"/>
        <v>412.61073210305449</v>
      </c>
      <c r="I511" s="135">
        <f>VLOOKUP(B511,'Waste per capita'!$B$2:$F$48,4,FALSE)*(H511/Variables!$C$6)</f>
        <v>352.66095186601353</v>
      </c>
      <c r="J511" s="134">
        <f t="shared" si="52"/>
        <v>14770.552398956355</v>
      </c>
      <c r="K511" s="136">
        <f>Variables!$C$15</f>
        <v>1</v>
      </c>
      <c r="L511" s="137">
        <f t="shared" si="53"/>
        <v>14770.552398956355</v>
      </c>
      <c r="N511" s="138">
        <f>Variables!$E$30*Variables!$C$19</f>
        <v>2.2291759999999998</v>
      </c>
      <c r="O511" s="87">
        <f t="shared" si="54"/>
        <v>32926.160914495929</v>
      </c>
      <c r="P511" s="145">
        <f>Variables!$E$29</f>
        <v>48.483938529092256</v>
      </c>
      <c r="Q511" s="146">
        <f t="shared" si="55"/>
        <v>716134.5545517361</v>
      </c>
    </row>
    <row r="512" spans="1:17">
      <c r="A512" s="101">
        <v>39</v>
      </c>
      <c r="B512" s="132" t="s">
        <v>59</v>
      </c>
      <c r="C512" s="101">
        <v>2029</v>
      </c>
      <c r="D512" s="133">
        <f>Population!N40</f>
        <v>79061.576780448479</v>
      </c>
      <c r="E512" s="133" t="str">
        <f t="shared" si="50"/>
        <v>Small</v>
      </c>
      <c r="F512" s="133"/>
      <c r="G512" s="134">
        <f>Variables!$C$3*POWER(SUM(1,Variables!$C$2/100),C512-2017)</f>
        <v>21962.167905254031</v>
      </c>
      <c r="H512" s="134">
        <f t="shared" si="51"/>
        <v>412.61073210305449</v>
      </c>
      <c r="I512" s="135">
        <f>VLOOKUP(B512,'Waste per capita'!$B$2:$F$48,4,FALSE)*(H512/Variables!$C$6)</f>
        <v>176.61645215263448</v>
      </c>
      <c r="J512" s="134">
        <f t="shared" si="52"/>
        <v>13963.575192555916</v>
      </c>
      <c r="K512" s="136">
        <f>Variables!$C$15</f>
        <v>1</v>
      </c>
      <c r="L512" s="137">
        <f t="shared" si="53"/>
        <v>13963.575192555916</v>
      </c>
      <c r="N512" s="138">
        <f>Variables!$E$30*Variables!$C$19</f>
        <v>2.2291759999999998</v>
      </c>
      <c r="O512" s="87">
        <f t="shared" si="54"/>
        <v>31127.266693441026</v>
      </c>
      <c r="P512" s="145">
        <f>Variables!$E$29</f>
        <v>48.483938529092256</v>
      </c>
      <c r="Q512" s="146">
        <f t="shared" si="55"/>
        <v>677009.12128223863</v>
      </c>
    </row>
    <row r="513" spans="1:17">
      <c r="A513" s="101">
        <v>40</v>
      </c>
      <c r="B513" s="132" t="s">
        <v>60</v>
      </c>
      <c r="C513" s="101">
        <v>2029</v>
      </c>
      <c r="D513" s="133">
        <f>Population!N41</f>
        <v>3576.252973947996</v>
      </c>
      <c r="E513" s="133" t="str">
        <f t="shared" si="50"/>
        <v>Small</v>
      </c>
      <c r="F513" s="133"/>
      <c r="G513" s="134">
        <f>Variables!$C$3*POWER(SUM(1,Variables!$C$2/100),C513-2017)</f>
        <v>21962.167905254031</v>
      </c>
      <c r="H513" s="134">
        <f t="shared" si="51"/>
        <v>412.61073210305449</v>
      </c>
      <c r="I513" s="135">
        <f>VLOOKUP(B513,'Waste per capita'!$B$2:$F$48,4,FALSE)*(H513/Variables!$C$6)</f>
        <v>183.2004944758512</v>
      </c>
      <c r="J513" s="134">
        <f t="shared" si="52"/>
        <v>655.17131319800626</v>
      </c>
      <c r="K513" s="136">
        <f>Variables!$C$15</f>
        <v>1</v>
      </c>
      <c r="L513" s="137">
        <f t="shared" si="53"/>
        <v>655.17131319800626</v>
      </c>
      <c r="N513" s="138">
        <f>Variables!$E$30*Variables!$C$19</f>
        <v>2.2291759999999998</v>
      </c>
      <c r="O513" s="87">
        <f t="shared" si="54"/>
        <v>1460.4921672694786</v>
      </c>
      <c r="P513" s="145">
        <f>Variables!$E$29</f>
        <v>48.483938529092256</v>
      </c>
      <c r="Q513" s="146">
        <f t="shared" si="55"/>
        <v>31765.285675116786</v>
      </c>
    </row>
    <row r="514" spans="1:17">
      <c r="A514" s="101">
        <v>41</v>
      </c>
      <c r="B514" s="132" t="s">
        <v>61</v>
      </c>
      <c r="C514" s="101">
        <v>2029</v>
      </c>
      <c r="D514" s="133">
        <f>Population!N42</f>
        <v>61631.466353732903</v>
      </c>
      <c r="E514" s="133" t="str">
        <f t="shared" si="50"/>
        <v>Small</v>
      </c>
      <c r="F514" s="133"/>
      <c r="G514" s="134">
        <f>Variables!$C$3*POWER(SUM(1,Variables!$C$2/100),C514-2017)</f>
        <v>21962.167905254031</v>
      </c>
      <c r="H514" s="134">
        <f t="shared" si="51"/>
        <v>412.61073210305449</v>
      </c>
      <c r="I514" s="135">
        <f>VLOOKUP(B514,'Waste per capita'!$B$2:$F$48,4,FALSE)*(H514/Variables!$C$6)</f>
        <v>176.61645215263448</v>
      </c>
      <c r="J514" s="134">
        <f t="shared" si="52"/>
        <v>10885.13092836077</v>
      </c>
      <c r="K514" s="136">
        <f>Variables!$C$15</f>
        <v>1</v>
      </c>
      <c r="L514" s="137">
        <f t="shared" si="53"/>
        <v>10885.13092836077</v>
      </c>
      <c r="N514" s="138">
        <f>Variables!$E$30*Variables!$C$19</f>
        <v>2.2291759999999998</v>
      </c>
      <c r="O514" s="87">
        <f t="shared" si="54"/>
        <v>24264.872622359544</v>
      </c>
      <c r="P514" s="145">
        <f>Variables!$E$29</f>
        <v>48.483938529092256</v>
      </c>
      <c r="Q514" s="146">
        <f t="shared" si="55"/>
        <v>527754.01881176454</v>
      </c>
    </row>
    <row r="515" spans="1:17">
      <c r="A515" s="101">
        <v>42</v>
      </c>
      <c r="B515" s="139" t="s">
        <v>62</v>
      </c>
      <c r="C515" s="101">
        <v>2029</v>
      </c>
      <c r="D515" s="133">
        <f>Population!N43</f>
        <v>53621.413579409331</v>
      </c>
      <c r="E515" s="133" t="str">
        <f t="shared" si="50"/>
        <v>Small</v>
      </c>
      <c r="F515" s="133"/>
      <c r="G515" s="134">
        <f>Variables!$C$3*POWER(SUM(1,Variables!$C$2/100),C515-2017)</f>
        <v>21962.167905254031</v>
      </c>
      <c r="H515" s="134">
        <f t="shared" si="51"/>
        <v>412.61073210305449</v>
      </c>
      <c r="I515" s="135">
        <f>VLOOKUP(B515,'Waste per capita'!$B$2:$F$48,4,FALSE)*(H515/Variables!$C$6)</f>
        <v>176.61645215263448</v>
      </c>
      <c r="J515" s="134">
        <f t="shared" si="52"/>
        <v>9470.4238258043733</v>
      </c>
      <c r="K515" s="136">
        <f>Variables!$C$15</f>
        <v>1</v>
      </c>
      <c r="L515" s="137">
        <f t="shared" si="53"/>
        <v>9470.4238258043733</v>
      </c>
      <c r="N515" s="138">
        <f>Variables!$E$30*Variables!$C$19</f>
        <v>2.2291759999999998</v>
      </c>
      <c r="O515" s="87">
        <f t="shared" si="54"/>
        <v>21111.241502311288</v>
      </c>
      <c r="P515" s="145">
        <f>Variables!$E$29</f>
        <v>48.483938529092256</v>
      </c>
      <c r="Q515" s="146">
        <f t="shared" si="55"/>
        <v>459163.44661474996</v>
      </c>
    </row>
    <row r="516" spans="1:17">
      <c r="A516" s="101">
        <v>43</v>
      </c>
      <c r="B516" s="139" t="s">
        <v>63</v>
      </c>
      <c r="C516" s="101">
        <v>2029</v>
      </c>
      <c r="D516" s="133">
        <f>Population!N44</f>
        <v>28314.358608296436</v>
      </c>
      <c r="E516" s="133" t="str">
        <f t="shared" si="50"/>
        <v>Small</v>
      </c>
      <c r="F516" s="133"/>
      <c r="G516" s="134">
        <f>Variables!$C$3*POWER(SUM(1,Variables!$C$2/100),C516-2017)</f>
        <v>21962.167905254031</v>
      </c>
      <c r="H516" s="134">
        <f t="shared" si="51"/>
        <v>412.61073210305449</v>
      </c>
      <c r="I516" s="135">
        <f>VLOOKUP(B516,'Waste per capita'!$B$2:$F$48,4,FALSE)*(H516/Variables!$C$6)</f>
        <v>176.61645215263448</v>
      </c>
      <c r="J516" s="134">
        <f t="shared" si="52"/>
        <v>5000.781562374721</v>
      </c>
      <c r="K516" s="136">
        <f>Variables!$C$15</f>
        <v>1</v>
      </c>
      <c r="L516" s="137">
        <f t="shared" si="53"/>
        <v>5000.781562374721</v>
      </c>
      <c r="N516" s="138">
        <f>Variables!$E$30*Variables!$C$19</f>
        <v>2.2291759999999998</v>
      </c>
      <c r="O516" s="87">
        <f t="shared" si="54"/>
        <v>11147.622240088231</v>
      </c>
      <c r="P516" s="145">
        <f>Variables!$E$29</f>
        <v>48.483938529092256</v>
      </c>
      <c r="Q516" s="146">
        <f t="shared" si="55"/>
        <v>242457.58586759391</v>
      </c>
    </row>
    <row r="517" spans="1:17">
      <c r="A517" s="101">
        <v>44</v>
      </c>
      <c r="B517" s="85" t="s">
        <v>108</v>
      </c>
      <c r="C517" s="101">
        <v>2029</v>
      </c>
      <c r="D517" s="133">
        <f>Population!N45</f>
        <v>78110.971987966259</v>
      </c>
      <c r="E517" s="133" t="str">
        <f t="shared" ref="E517:E567" si="56">IF(D517&lt;100000,"Small",IF(D517&lt;1000000,"Medium","Large"))</f>
        <v>Small</v>
      </c>
      <c r="F517" s="133"/>
      <c r="G517" s="134">
        <f>Variables!$C$3*POWER(SUM(1,Variables!$C$2/100),C517-2017)</f>
        <v>21962.167905254031</v>
      </c>
      <c r="H517" s="134">
        <f t="shared" si="51"/>
        <v>412.61073210305449</v>
      </c>
      <c r="I517" s="135">
        <f>VLOOKUP(B517,'Waste per capita'!$B$2:$F$48,4,FALSE)*(H517/Variables!$C$6)</f>
        <v>176.61645215263448</v>
      </c>
      <c r="J517" s="134">
        <f t="shared" si="52"/>
        <v>13795.682746708415</v>
      </c>
      <c r="K517" s="136">
        <f>Variables!$C$15</f>
        <v>1</v>
      </c>
      <c r="L517" s="137">
        <f t="shared" si="53"/>
        <v>13795.682746708415</v>
      </c>
      <c r="N517" s="138">
        <f>Variables!$E$30*Variables!$C$19</f>
        <v>2.2291759999999998</v>
      </c>
      <c r="O517" s="87">
        <f t="shared" si="54"/>
        <v>30753.004882576475</v>
      </c>
      <c r="P517" s="145">
        <f>Variables!$E$29</f>
        <v>48.483938529092256</v>
      </c>
      <c r="Q517" s="146">
        <f t="shared" si="55"/>
        <v>668869.03425826936</v>
      </c>
    </row>
    <row r="518" spans="1:17">
      <c r="A518" s="101">
        <v>45</v>
      </c>
      <c r="B518" s="139" t="s">
        <v>64</v>
      </c>
      <c r="C518" s="101">
        <v>2029</v>
      </c>
      <c r="D518" s="133">
        <f>Population!N46</f>
        <v>27818.442105650814</v>
      </c>
      <c r="E518" s="133" t="str">
        <f t="shared" si="56"/>
        <v>Small</v>
      </c>
      <c r="F518" s="133"/>
      <c r="G518" s="134">
        <f>Variables!$C$3*POWER(SUM(1,Variables!$C$2/100),C518-2017)</f>
        <v>21962.167905254031</v>
      </c>
      <c r="H518" s="134">
        <f t="shared" si="51"/>
        <v>412.61073210305449</v>
      </c>
      <c r="I518" s="135">
        <f>VLOOKUP(B518,'Waste per capita'!$B$2:$F$48,4,FALSE)*(H518/Variables!$C$6)</f>
        <v>176.61645215263448</v>
      </c>
      <c r="J518" s="134">
        <f t="shared" si="52"/>
        <v>4913.1945491135093</v>
      </c>
      <c r="K518" s="136">
        <f>Variables!$C$15</f>
        <v>1</v>
      </c>
      <c r="L518" s="137">
        <f t="shared" si="53"/>
        <v>4913.1945491135093</v>
      </c>
      <c r="N518" s="138">
        <f>Variables!$E$30*Variables!$C$19</f>
        <v>2.2291759999999998</v>
      </c>
      <c r="O518" s="87">
        <f t="shared" si="54"/>
        <v>10952.375372214656</v>
      </c>
      <c r="P518" s="145">
        <f>Variables!$E$29</f>
        <v>48.483938529092256</v>
      </c>
      <c r="Q518" s="146">
        <f t="shared" si="55"/>
        <v>238211.02250069054</v>
      </c>
    </row>
    <row r="519" spans="1:17">
      <c r="A519" s="101">
        <v>46</v>
      </c>
      <c r="B519" s="139" t="s">
        <v>65</v>
      </c>
      <c r="C519" s="101">
        <v>2029</v>
      </c>
      <c r="D519" s="133">
        <f>Population!N47</f>
        <v>35554.032777560067</v>
      </c>
      <c r="E519" s="133" t="str">
        <f t="shared" si="56"/>
        <v>Small</v>
      </c>
      <c r="F519" s="133"/>
      <c r="G519" s="134">
        <f>Variables!$C$3*POWER(SUM(1,Variables!$C$2/100),C519-2017)</f>
        <v>21962.167905254031</v>
      </c>
      <c r="H519" s="134">
        <f t="shared" si="51"/>
        <v>412.61073210305449</v>
      </c>
      <c r="I519" s="135">
        <f>VLOOKUP(B519,'Waste per capita'!$B$2:$F$48,4,FALSE)*(H519/Variables!$C$6)</f>
        <v>195.37081394564555</v>
      </c>
      <c r="J519" s="134">
        <f t="shared" si="52"/>
        <v>6946.2203228020717</v>
      </c>
      <c r="K519" s="136">
        <f>Variables!$C$15</f>
        <v>1</v>
      </c>
      <c r="L519" s="137">
        <f t="shared" si="53"/>
        <v>6946.2203228020717</v>
      </c>
      <c r="N519" s="138">
        <f>Variables!$E$30*Variables!$C$19</f>
        <v>2.2291759999999998</v>
      </c>
      <c r="O519" s="87">
        <f t="shared" si="54"/>
        <v>15484.34763430263</v>
      </c>
      <c r="P519" s="145">
        <f>Variables!$E$29</f>
        <v>48.483938529092256</v>
      </c>
      <c r="Q519" s="146">
        <f t="shared" si="55"/>
        <v>336780.11914026702</v>
      </c>
    </row>
    <row r="520" spans="1:17">
      <c r="A520" s="101">
        <v>47</v>
      </c>
      <c r="B520" s="85" t="s">
        <v>107</v>
      </c>
      <c r="C520" s="101">
        <v>2029</v>
      </c>
      <c r="D520" s="133">
        <f>Population!N48</f>
        <v>79465.613265976863</v>
      </c>
      <c r="E520" s="133" t="str">
        <f t="shared" si="56"/>
        <v>Small</v>
      </c>
      <c r="F520" s="133"/>
      <c r="G520" s="134">
        <f>Variables!$C$3*POWER(SUM(1,Variables!$C$2/100),C520-2017)</f>
        <v>21962.167905254031</v>
      </c>
      <c r="H520" s="134">
        <f t="shared" si="51"/>
        <v>412.61073210305449</v>
      </c>
      <c r="I520" s="135">
        <f>VLOOKUP(B520,'Waste per capita'!$B$2:$F$48,4,FALSE)*(H520/Variables!$C$6)</f>
        <v>176.61645215263448</v>
      </c>
      <c r="J520" s="134">
        <f t="shared" si="52"/>
        <v>14034.934683170159</v>
      </c>
      <c r="K520" s="136">
        <f>Variables!$C$15</f>
        <v>1</v>
      </c>
      <c r="L520" s="137">
        <f t="shared" si="53"/>
        <v>14034.934683170159</v>
      </c>
      <c r="N520" s="138">
        <f>Variables!$E$30*Variables!$C$19</f>
        <v>2.2291759999999998</v>
      </c>
      <c r="O520" s="87">
        <f t="shared" si="54"/>
        <v>31286.339557290517</v>
      </c>
      <c r="P520" s="145">
        <f>Variables!$E$29</f>
        <v>48.483938529092256</v>
      </c>
      <c r="Q520" s="146">
        <f t="shared" si="55"/>
        <v>680468.91043864691</v>
      </c>
    </row>
    <row r="521" spans="1:17">
      <c r="A521" s="101">
        <v>1</v>
      </c>
      <c r="B521" s="132" t="s">
        <v>21</v>
      </c>
      <c r="C521" s="101">
        <v>2030</v>
      </c>
      <c r="D521" s="133">
        <f>Population!O2</f>
        <v>8586294.8341876864</v>
      </c>
      <c r="E521" s="133" t="str">
        <f t="shared" si="56"/>
        <v>Large</v>
      </c>
      <c r="F521" s="133"/>
      <c r="G521" s="134">
        <f>Variables!$C$3*POWER(SUM(1,Variables!$C$2/100),C521-2017)</f>
        <v>22734.357728802763</v>
      </c>
      <c r="H521" s="134">
        <f t="shared" si="51"/>
        <v>418.54451333225234</v>
      </c>
      <c r="I521" s="135">
        <f>VLOOKUP(B521,'Waste per capita'!$B$2:$F$48,4,FALSE)*(H521/Variables!$C$6)</f>
        <v>372.44205156249234</v>
      </c>
      <c r="J521" s="134">
        <f t="shared" si="52"/>
        <v>3197897.263365292</v>
      </c>
      <c r="K521" s="136">
        <f>Variables!$C$15</f>
        <v>1</v>
      </c>
      <c r="L521" s="137">
        <f t="shared" si="53"/>
        <v>3197897.263365292</v>
      </c>
      <c r="N521" s="138">
        <f>Variables!$E$30*Variables!$C$19</f>
        <v>2.2291759999999998</v>
      </c>
      <c r="O521" s="87">
        <f t="shared" si="54"/>
        <v>7128675.8299595872</v>
      </c>
      <c r="P521" s="145">
        <f>Variables!$E$29</f>
        <v>48.483938529092256</v>
      </c>
      <c r="Q521" s="146">
        <f t="shared" si="55"/>
        <v>155046654.33935517</v>
      </c>
    </row>
    <row r="522" spans="1:17">
      <c r="A522" s="101">
        <v>2</v>
      </c>
      <c r="B522" s="132" t="s">
        <v>22</v>
      </c>
      <c r="C522" s="101">
        <v>2030</v>
      </c>
      <c r="D522" s="133">
        <f>Population!O3</f>
        <v>2836400.8567033391</v>
      </c>
      <c r="E522" s="133" t="str">
        <f t="shared" si="56"/>
        <v>Large</v>
      </c>
      <c r="F522" s="133"/>
      <c r="G522" s="134">
        <f>Variables!$C$3*POWER(SUM(1,Variables!$C$2/100),C522-2017)</f>
        <v>22734.357728802763</v>
      </c>
      <c r="H522" s="134">
        <f t="shared" si="51"/>
        <v>418.54451333225234</v>
      </c>
      <c r="I522" s="135">
        <f>VLOOKUP(B522,'Waste per capita'!$B$2:$F$48,4,FALSE)*(H522/Variables!$C$6)</f>
        <v>166.88404072529548</v>
      </c>
      <c r="J522" s="134">
        <f t="shared" si="52"/>
        <v>473350.03608334303</v>
      </c>
      <c r="K522" s="136">
        <f>Variables!$C$15</f>
        <v>1</v>
      </c>
      <c r="L522" s="137">
        <f t="shared" si="53"/>
        <v>473350.03608334303</v>
      </c>
      <c r="N522" s="138">
        <f>Variables!$E$30*Variables!$C$19</f>
        <v>2.2291759999999998</v>
      </c>
      <c r="O522" s="87">
        <f t="shared" si="54"/>
        <v>1055180.5400361223</v>
      </c>
      <c r="P522" s="145">
        <f>Variables!$E$29</f>
        <v>48.483938529092256</v>
      </c>
      <c r="Q522" s="146">
        <f t="shared" si="55"/>
        <v>22949874.052208405</v>
      </c>
    </row>
    <row r="523" spans="1:17">
      <c r="A523" s="101">
        <v>3</v>
      </c>
      <c r="B523" s="132" t="s">
        <v>23</v>
      </c>
      <c r="C523" s="101">
        <v>2030</v>
      </c>
      <c r="D523" s="133">
        <f>Population!O4</f>
        <v>2179455.3005939135</v>
      </c>
      <c r="E523" s="133" t="str">
        <f t="shared" si="56"/>
        <v>Large</v>
      </c>
      <c r="F523" s="133"/>
      <c r="G523" s="134">
        <f>Variables!$C$3*POWER(SUM(1,Variables!$C$2/100),C523-2017)</f>
        <v>22734.357728802763</v>
      </c>
      <c r="H523" s="134">
        <f t="shared" si="51"/>
        <v>418.54451333225234</v>
      </c>
      <c r="I523" s="135">
        <f>VLOOKUP(B523,'Waste per capita'!$B$2:$F$48,4,FALSE)*(H523/Variables!$C$6)</f>
        <v>124.0885608758486</v>
      </c>
      <c r="J523" s="134">
        <f t="shared" si="52"/>
        <v>270445.47174393875</v>
      </c>
      <c r="K523" s="136">
        <f>Variables!$C$15</f>
        <v>1</v>
      </c>
      <c r="L523" s="137">
        <f t="shared" si="53"/>
        <v>270445.47174393875</v>
      </c>
      <c r="N523" s="138">
        <f>Variables!$E$30*Variables!$C$19</f>
        <v>2.2291759999999998</v>
      </c>
      <c r="O523" s="87">
        <f t="shared" si="54"/>
        <v>602870.55492026638</v>
      </c>
      <c r="P523" s="145">
        <f>Variables!$E$29</f>
        <v>48.483938529092256</v>
      </c>
      <c r="Q523" s="146">
        <f t="shared" si="55"/>
        <v>13112261.627504483</v>
      </c>
    </row>
    <row r="524" spans="1:17">
      <c r="A524" s="101">
        <v>4</v>
      </c>
      <c r="B524" s="132" t="s">
        <v>24</v>
      </c>
      <c r="C524" s="101">
        <v>2030</v>
      </c>
      <c r="D524" s="133">
        <f>Population!O5</f>
        <v>1339215.5007085777</v>
      </c>
      <c r="E524" s="133" t="str">
        <f t="shared" si="56"/>
        <v>Large</v>
      </c>
      <c r="F524" s="133"/>
      <c r="G524" s="134">
        <f>Variables!$C$3*POWER(SUM(1,Variables!$C$2/100),C524-2017)</f>
        <v>22734.357728802763</v>
      </c>
      <c r="H524" s="134">
        <f t="shared" si="51"/>
        <v>418.54451333225234</v>
      </c>
      <c r="I524" s="135">
        <f>VLOOKUP(B524,'Waste per capita'!$B$2:$F$48,4,FALSE)*(H524/Variables!$C$6)</f>
        <v>427.41615412792299</v>
      </c>
      <c r="J524" s="134">
        <f t="shared" si="52"/>
        <v>572402.33886136103</v>
      </c>
      <c r="K524" s="136">
        <f>Variables!$C$15</f>
        <v>1</v>
      </c>
      <c r="L524" s="137">
        <f t="shared" si="53"/>
        <v>572402.33886136103</v>
      </c>
      <c r="N524" s="138">
        <f>Variables!$E$30*Variables!$C$19</f>
        <v>2.2291759999999998</v>
      </c>
      <c r="O524" s="87">
        <f t="shared" si="54"/>
        <v>1275985.5561336132</v>
      </c>
      <c r="P524" s="145">
        <f>Variables!$E$29</f>
        <v>48.483938529092256</v>
      </c>
      <c r="Q524" s="146">
        <f t="shared" si="55"/>
        <v>27752319.811262865</v>
      </c>
    </row>
    <row r="525" spans="1:17">
      <c r="A525" s="101">
        <v>5</v>
      </c>
      <c r="B525" s="132" t="s">
        <v>25</v>
      </c>
      <c r="C525" s="101">
        <v>2030</v>
      </c>
      <c r="D525" s="133">
        <f>Population!O6</f>
        <v>632308.64806828916</v>
      </c>
      <c r="E525" s="133" t="str">
        <f t="shared" si="56"/>
        <v>Medium</v>
      </c>
      <c r="F525" s="133"/>
      <c r="G525" s="134">
        <f>Variables!$C$3*POWER(SUM(1,Variables!$C$2/100),C525-2017)</f>
        <v>22734.357728802763</v>
      </c>
      <c r="H525" s="134">
        <f t="shared" si="51"/>
        <v>418.54451333225234</v>
      </c>
      <c r="I525" s="135">
        <f>VLOOKUP(B525,'Waste per capita'!$B$2:$F$48,4,FALSE)*(H525/Variables!$C$6)</f>
        <v>162.97739592677331</v>
      </c>
      <c r="J525" s="134">
        <f t="shared" si="52"/>
        <v>103052.01688414832</v>
      </c>
      <c r="K525" s="136">
        <f>Variables!$C$15</f>
        <v>1</v>
      </c>
      <c r="L525" s="137">
        <f t="shared" si="53"/>
        <v>103052.01688414832</v>
      </c>
      <c r="N525" s="138">
        <f>Variables!$E$30*Variables!$C$19</f>
        <v>2.2291759999999998</v>
      </c>
      <c r="O525" s="87">
        <f t="shared" si="54"/>
        <v>229721.0827897382</v>
      </c>
      <c r="P525" s="145">
        <f>Variables!$E$29</f>
        <v>48.483938529092256</v>
      </c>
      <c r="Q525" s="146">
        <f t="shared" si="55"/>
        <v>4996367.6519100247</v>
      </c>
    </row>
    <row r="526" spans="1:17">
      <c r="A526" s="101">
        <v>6</v>
      </c>
      <c r="B526" s="132" t="s">
        <v>26</v>
      </c>
      <c r="C526" s="101">
        <v>2030</v>
      </c>
      <c r="D526" s="133">
        <f>Population!O7</f>
        <v>1061644.3728765827</v>
      </c>
      <c r="E526" s="133" t="str">
        <f t="shared" si="56"/>
        <v>Large</v>
      </c>
      <c r="F526" s="133"/>
      <c r="G526" s="134">
        <f>Variables!$C$3*POWER(SUM(1,Variables!$C$2/100),C526-2017)</f>
        <v>22734.357728802763</v>
      </c>
      <c r="H526" s="134">
        <f t="shared" si="51"/>
        <v>418.54451333225234</v>
      </c>
      <c r="I526" s="135">
        <f>VLOOKUP(B526,'Waste per capita'!$B$2:$F$48,4,FALSE)*(H526/Variables!$C$6)</f>
        <v>162.97739592677331</v>
      </c>
      <c r="J526" s="134">
        <f t="shared" si="52"/>
        <v>173024.03529173776</v>
      </c>
      <c r="K526" s="136">
        <f>Variables!$C$15</f>
        <v>1</v>
      </c>
      <c r="L526" s="137">
        <f t="shared" si="53"/>
        <v>173024.03529173776</v>
      </c>
      <c r="N526" s="138">
        <f>Variables!$E$30*Variables!$C$19</f>
        <v>2.2291759999999998</v>
      </c>
      <c r="O526" s="87">
        <f t="shared" si="54"/>
        <v>385701.02689549478</v>
      </c>
      <c r="P526" s="145">
        <f>Variables!$E$29</f>
        <v>48.483938529092256</v>
      </c>
      <c r="Q526" s="146">
        <f t="shared" si="55"/>
        <v>8388886.6911401022</v>
      </c>
    </row>
    <row r="527" spans="1:17">
      <c r="A527" s="101">
        <v>7</v>
      </c>
      <c r="B527" s="132" t="s">
        <v>27</v>
      </c>
      <c r="C527" s="101">
        <v>2030</v>
      </c>
      <c r="D527" s="133">
        <f>Population!O8</f>
        <v>752538.81577228953</v>
      </c>
      <c r="E527" s="133" t="str">
        <f t="shared" si="56"/>
        <v>Medium</v>
      </c>
      <c r="F527" s="133"/>
      <c r="G527" s="134">
        <f>Variables!$C$3*POWER(SUM(1,Variables!$C$2/100),C527-2017)</f>
        <v>22734.357728802763</v>
      </c>
      <c r="H527" s="134">
        <f t="shared" si="51"/>
        <v>418.54451333225234</v>
      </c>
      <c r="I527" s="135">
        <f>VLOOKUP(B527,'Waste per capita'!$B$2:$F$48,4,FALSE)*(H527/Variables!$C$6)</f>
        <v>162.97739592677331</v>
      </c>
      <c r="J527" s="134">
        <f t="shared" si="52"/>
        <v>122646.81652838555</v>
      </c>
      <c r="K527" s="136">
        <f>Variables!$C$15</f>
        <v>1</v>
      </c>
      <c r="L527" s="137">
        <f t="shared" si="53"/>
        <v>122646.81652838555</v>
      </c>
      <c r="N527" s="138">
        <f>Variables!$E$30*Variables!$C$19</f>
        <v>2.2291759999999998</v>
      </c>
      <c r="O527" s="87">
        <f t="shared" si="54"/>
        <v>273401.33988148038</v>
      </c>
      <c r="P527" s="145">
        <f>Variables!$E$29</f>
        <v>48.483938529092256</v>
      </c>
      <c r="Q527" s="146">
        <f t="shared" si="55"/>
        <v>5946400.7133511007</v>
      </c>
    </row>
    <row r="528" spans="1:17">
      <c r="A528" s="101">
        <v>8</v>
      </c>
      <c r="B528" s="132" t="s">
        <v>28</v>
      </c>
      <c r="C528" s="101">
        <v>2030</v>
      </c>
      <c r="D528" s="133">
        <f>Population!O9</f>
        <v>489808.89630264632</v>
      </c>
      <c r="E528" s="133" t="str">
        <f t="shared" si="56"/>
        <v>Medium</v>
      </c>
      <c r="F528" s="133"/>
      <c r="G528" s="134">
        <f>Variables!$C$3*POWER(SUM(1,Variables!$C$2/100),C528-2017)</f>
        <v>22734.357728802763</v>
      </c>
      <c r="H528" s="134">
        <f t="shared" si="51"/>
        <v>418.54451333225234</v>
      </c>
      <c r="I528" s="135">
        <f>VLOOKUP(B528,'Waste per capita'!$B$2:$F$48,4,FALSE)*(H528/Variables!$C$6)</f>
        <v>162.97739592677331</v>
      </c>
      <c r="J528" s="134">
        <f t="shared" si="52"/>
        <v>79827.778421172246</v>
      </c>
      <c r="K528" s="136">
        <f>Variables!$C$15</f>
        <v>1</v>
      </c>
      <c r="L528" s="137">
        <f t="shared" si="53"/>
        <v>79827.778421172246</v>
      </c>
      <c r="N528" s="138">
        <f>Variables!$E$30*Variables!$C$19</f>
        <v>2.2291759999999998</v>
      </c>
      <c r="O528" s="87">
        <f t="shared" si="54"/>
        <v>177950.16778979506</v>
      </c>
      <c r="P528" s="145">
        <f>Variables!$E$29</f>
        <v>48.483938529092256</v>
      </c>
      <c r="Q528" s="146">
        <f t="shared" si="55"/>
        <v>3870365.1018861127</v>
      </c>
    </row>
    <row r="529" spans="1:17">
      <c r="A529" s="101">
        <v>9</v>
      </c>
      <c r="B529" s="132" t="s">
        <v>29</v>
      </c>
      <c r="C529" s="101">
        <v>2030</v>
      </c>
      <c r="D529" s="133">
        <f>Population!O10</f>
        <v>573720.96643033111</v>
      </c>
      <c r="E529" s="133" t="str">
        <f t="shared" si="56"/>
        <v>Medium</v>
      </c>
      <c r="F529" s="133"/>
      <c r="G529" s="134">
        <f>Variables!$C$3*POWER(SUM(1,Variables!$C$2/100),C529-2017)</f>
        <v>22734.357728802763</v>
      </c>
      <c r="H529" s="134">
        <f t="shared" si="51"/>
        <v>418.54451333225234</v>
      </c>
      <c r="I529" s="135">
        <f>VLOOKUP(B529,'Waste per capita'!$B$2:$F$48,4,FALSE)*(H529/Variables!$C$6)</f>
        <v>162.97739592677331</v>
      </c>
      <c r="J529" s="134">
        <f t="shared" si="52"/>
        <v>93503.549097407085</v>
      </c>
      <c r="K529" s="136">
        <f>Variables!$C$15</f>
        <v>1</v>
      </c>
      <c r="L529" s="137">
        <f t="shared" si="53"/>
        <v>93503.549097407085</v>
      </c>
      <c r="N529" s="138">
        <f>Variables!$E$30*Variables!$C$19</f>
        <v>2.2291759999999998</v>
      </c>
      <c r="O529" s="87">
        <f t="shared" si="54"/>
        <v>208435.86756276153</v>
      </c>
      <c r="P529" s="145">
        <f>Variables!$E$29</f>
        <v>48.483938529092256</v>
      </c>
      <c r="Q529" s="146">
        <f t="shared" si="55"/>
        <v>4533420.326690645</v>
      </c>
    </row>
    <row r="530" spans="1:17">
      <c r="A530" s="101">
        <v>10</v>
      </c>
      <c r="B530" s="132" t="s">
        <v>30</v>
      </c>
      <c r="C530" s="101">
        <v>2030</v>
      </c>
      <c r="D530" s="133">
        <f>Population!O11</f>
        <v>598629.27979638928</v>
      </c>
      <c r="E530" s="133" t="str">
        <f t="shared" si="56"/>
        <v>Medium</v>
      </c>
      <c r="F530" s="133"/>
      <c r="G530" s="134">
        <f>Variables!$C$3*POWER(SUM(1,Variables!$C$2/100),C530-2017)</f>
        <v>22734.357728802763</v>
      </c>
      <c r="H530" s="134">
        <f t="shared" si="51"/>
        <v>418.54451333225234</v>
      </c>
      <c r="I530" s="135">
        <f>VLOOKUP(B530,'Waste per capita'!$B$2:$F$48,4,FALSE)*(H530/Variables!$C$6)</f>
        <v>162.97739592677331</v>
      </c>
      <c r="J530" s="134">
        <f t="shared" si="52"/>
        <v>97563.041146735297</v>
      </c>
      <c r="K530" s="136">
        <f>Variables!$C$15</f>
        <v>1</v>
      </c>
      <c r="L530" s="137">
        <f t="shared" si="53"/>
        <v>97563.041146735297</v>
      </c>
      <c r="N530" s="138">
        <f>Variables!$E$30*Variables!$C$19</f>
        <v>2.2291759999999998</v>
      </c>
      <c r="O530" s="87">
        <f t="shared" si="54"/>
        <v>217485.18981131478</v>
      </c>
      <c r="P530" s="145">
        <f>Variables!$E$29</f>
        <v>48.483938529092256</v>
      </c>
      <c r="Q530" s="146">
        <f t="shared" si="55"/>
        <v>4730240.4896696126</v>
      </c>
    </row>
    <row r="531" spans="1:17">
      <c r="A531" s="101">
        <v>11</v>
      </c>
      <c r="B531" s="132" t="s">
        <v>31</v>
      </c>
      <c r="C531" s="101">
        <v>2030</v>
      </c>
      <c r="D531" s="133">
        <f>Population!O12</f>
        <v>421247.36787835619</v>
      </c>
      <c r="E531" s="133" t="str">
        <f t="shared" si="56"/>
        <v>Medium</v>
      </c>
      <c r="F531" s="133"/>
      <c r="G531" s="134">
        <f>Variables!$C$3*POWER(SUM(1,Variables!$C$2/100),C531-2017)</f>
        <v>22734.357728802763</v>
      </c>
      <c r="H531" s="134">
        <f t="shared" si="51"/>
        <v>418.54451333225234</v>
      </c>
      <c r="I531" s="135">
        <f>VLOOKUP(B531,'Waste per capita'!$B$2:$F$48,4,FALSE)*(H531/Variables!$C$6)</f>
        <v>162.97739592677331</v>
      </c>
      <c r="J531" s="134">
        <f t="shared" si="52"/>
        <v>68653.799057821991</v>
      </c>
      <c r="K531" s="136">
        <f>Variables!$C$15</f>
        <v>1</v>
      </c>
      <c r="L531" s="137">
        <f t="shared" si="53"/>
        <v>68653.799057821991</v>
      </c>
      <c r="N531" s="138">
        <f>Variables!$E$30*Variables!$C$19</f>
        <v>2.2291759999999998</v>
      </c>
      <c r="O531" s="87">
        <f t="shared" si="54"/>
        <v>153041.40116851937</v>
      </c>
      <c r="P531" s="145">
        <f>Variables!$E$29</f>
        <v>48.483938529092256</v>
      </c>
      <c r="Q531" s="146">
        <f t="shared" si="55"/>
        <v>3328606.5733080935</v>
      </c>
    </row>
    <row r="532" spans="1:17">
      <c r="A532" s="101">
        <v>12</v>
      </c>
      <c r="B532" s="132" t="s">
        <v>32</v>
      </c>
      <c r="C532" s="101">
        <v>2030</v>
      </c>
      <c r="D532" s="133">
        <f>Population!O13</f>
        <v>478768.55810737051</v>
      </c>
      <c r="E532" s="133" t="str">
        <f t="shared" si="56"/>
        <v>Medium</v>
      </c>
      <c r="F532" s="133"/>
      <c r="G532" s="134">
        <f>Variables!$C$3*POWER(SUM(1,Variables!$C$2/100),C532-2017)</f>
        <v>22734.357728802763</v>
      </c>
      <c r="H532" s="134">
        <f t="shared" si="51"/>
        <v>418.54451333225234</v>
      </c>
      <c r="I532" s="135">
        <f>VLOOKUP(B532,'Waste per capita'!$B$2:$F$48,4,FALSE)*(H532/Variables!$C$6)</f>
        <v>162.97739592677331</v>
      </c>
      <c r="J532" s="134">
        <f t="shared" si="52"/>
        <v>78028.452851955299</v>
      </c>
      <c r="K532" s="136">
        <f>Variables!$C$15</f>
        <v>1</v>
      </c>
      <c r="L532" s="137">
        <f t="shared" si="53"/>
        <v>78028.452851955299</v>
      </c>
      <c r="N532" s="138">
        <f>Variables!$E$30*Variables!$C$19</f>
        <v>2.2291759999999998</v>
      </c>
      <c r="O532" s="87">
        <f t="shared" si="54"/>
        <v>173939.1544147103</v>
      </c>
      <c r="P532" s="145">
        <f>Variables!$E$29</f>
        <v>48.483938529092256</v>
      </c>
      <c r="Q532" s="146">
        <f t="shared" si="55"/>
        <v>3783126.7115943739</v>
      </c>
    </row>
    <row r="533" spans="1:17">
      <c r="A533" s="101">
        <v>13</v>
      </c>
      <c r="B533" s="132" t="s">
        <v>33</v>
      </c>
      <c r="C533" s="101">
        <v>2030</v>
      </c>
      <c r="D533" s="133">
        <f>Population!O14</f>
        <v>539477.26638150134</v>
      </c>
      <c r="E533" s="133" t="str">
        <f t="shared" si="56"/>
        <v>Medium</v>
      </c>
      <c r="F533" s="133"/>
      <c r="G533" s="134">
        <f>Variables!$C$3*POWER(SUM(1,Variables!$C$2/100),C533-2017)</f>
        <v>22734.357728802763</v>
      </c>
      <c r="H533" s="134">
        <f t="shared" si="51"/>
        <v>418.54451333225234</v>
      </c>
      <c r="I533" s="135">
        <f>VLOOKUP(B533,'Waste per capita'!$B$2:$F$48,4,FALSE)*(H533/Variables!$C$6)</f>
        <v>162.97739592677331</v>
      </c>
      <c r="J533" s="134">
        <f t="shared" si="52"/>
        <v>87922.600036551303</v>
      </c>
      <c r="K533" s="136">
        <f>Variables!$C$15</f>
        <v>1</v>
      </c>
      <c r="L533" s="137">
        <f t="shared" si="53"/>
        <v>87922.600036551303</v>
      </c>
      <c r="N533" s="138">
        <f>Variables!$E$30*Variables!$C$19</f>
        <v>2.2291759999999998</v>
      </c>
      <c r="O533" s="87">
        <f t="shared" si="54"/>
        <v>195994.94985907926</v>
      </c>
      <c r="P533" s="145">
        <f>Variables!$E$29</f>
        <v>48.483938529092256</v>
      </c>
      <c r="Q533" s="146">
        <f t="shared" si="55"/>
        <v>4262833.9354901183</v>
      </c>
    </row>
    <row r="534" spans="1:17">
      <c r="A534" s="101">
        <v>14</v>
      </c>
      <c r="B534" s="132" t="s">
        <v>34</v>
      </c>
      <c r="C534" s="101">
        <v>2030</v>
      </c>
      <c r="D534" s="133">
        <f>Population!O15</f>
        <v>376053.00099711021</v>
      </c>
      <c r="E534" s="133" t="str">
        <f t="shared" si="56"/>
        <v>Medium</v>
      </c>
      <c r="F534" s="133"/>
      <c r="G534" s="134">
        <f>Variables!$C$3*POWER(SUM(1,Variables!$C$2/100),C534-2017)</f>
        <v>22734.357728802763</v>
      </c>
      <c r="H534" s="134">
        <f t="shared" si="51"/>
        <v>418.54451333225234</v>
      </c>
      <c r="I534" s="135">
        <f>VLOOKUP(B534,'Waste per capita'!$B$2:$F$48,4,FALSE)*(H534/Variables!$C$6)</f>
        <v>162.97739592677331</v>
      </c>
      <c r="J534" s="134">
        <f t="shared" si="52"/>
        <v>61288.138832957309</v>
      </c>
      <c r="K534" s="136">
        <f>Variables!$C$15</f>
        <v>1</v>
      </c>
      <c r="L534" s="137">
        <f t="shared" si="53"/>
        <v>61288.138832957309</v>
      </c>
      <c r="N534" s="138">
        <f>Variables!$E$30*Variables!$C$19</f>
        <v>2.2291759999999998</v>
      </c>
      <c r="O534" s="87">
        <f t="shared" si="54"/>
        <v>136622.04817109642</v>
      </c>
      <c r="P534" s="145">
        <f>Variables!$E$29</f>
        <v>48.483938529092256</v>
      </c>
      <c r="Q534" s="146">
        <f t="shared" si="55"/>
        <v>2971490.3557395744</v>
      </c>
    </row>
    <row r="535" spans="1:17">
      <c r="A535" s="101">
        <v>15</v>
      </c>
      <c r="B535" s="132" t="s">
        <v>35</v>
      </c>
      <c r="C535" s="101">
        <v>2030</v>
      </c>
      <c r="D535" s="133">
        <f>Population!O16</f>
        <v>329561.38839982852</v>
      </c>
      <c r="E535" s="133" t="str">
        <f t="shared" si="56"/>
        <v>Medium</v>
      </c>
      <c r="F535" s="133"/>
      <c r="G535" s="134">
        <f>Variables!$C$3*POWER(SUM(1,Variables!$C$2/100),C535-2017)</f>
        <v>22734.357728802763</v>
      </c>
      <c r="H535" s="134">
        <f t="shared" si="51"/>
        <v>418.54451333225234</v>
      </c>
      <c r="I535" s="135">
        <f>VLOOKUP(B535,'Waste per capita'!$B$2:$F$48,4,FALSE)*(H535/Variables!$C$6)</f>
        <v>101.00011077883859</v>
      </c>
      <c r="J535" s="134">
        <f t="shared" si="52"/>
        <v>33285.736736810533</v>
      </c>
      <c r="K535" s="136">
        <f>Variables!$C$15</f>
        <v>1</v>
      </c>
      <c r="L535" s="137">
        <f t="shared" si="53"/>
        <v>33285.736736810533</v>
      </c>
      <c r="N535" s="138">
        <f>Variables!$E$30*Variables!$C$19</f>
        <v>2.2291759999999998</v>
      </c>
      <c r="O535" s="87">
        <f t="shared" si="54"/>
        <v>74199.765476016357</v>
      </c>
      <c r="P535" s="145">
        <f>Variables!$E$29</f>
        <v>48.483938529092256</v>
      </c>
      <c r="Q535" s="146">
        <f t="shared" si="55"/>
        <v>1613823.6138430699</v>
      </c>
    </row>
    <row r="536" spans="1:17">
      <c r="A536" s="101">
        <v>16</v>
      </c>
      <c r="B536" s="132" t="s">
        <v>36</v>
      </c>
      <c r="C536" s="101">
        <v>2030</v>
      </c>
      <c r="D536" s="133">
        <f>Population!O17</f>
        <v>549206.01144268387</v>
      </c>
      <c r="E536" s="133" t="str">
        <f t="shared" si="56"/>
        <v>Medium</v>
      </c>
      <c r="F536" s="133"/>
      <c r="G536" s="134">
        <f>Variables!$C$3*POWER(SUM(1,Variables!$C$2/100),C536-2017)</f>
        <v>22734.357728802763</v>
      </c>
      <c r="H536" s="134">
        <f t="shared" si="51"/>
        <v>418.54451333225234</v>
      </c>
      <c r="I536" s="135">
        <f>VLOOKUP(B536,'Waste per capita'!$B$2:$F$48,4,FALSE)*(H536/Variables!$C$6)</f>
        <v>162.97739592677331</v>
      </c>
      <c r="J536" s="134">
        <f t="shared" si="52"/>
        <v>89508.16557225828</v>
      </c>
      <c r="K536" s="136">
        <f>Variables!$C$15</f>
        <v>1</v>
      </c>
      <c r="L536" s="137">
        <f t="shared" si="53"/>
        <v>89508.16557225828</v>
      </c>
      <c r="N536" s="138">
        <f>Variables!$E$30*Variables!$C$19</f>
        <v>2.2291759999999998</v>
      </c>
      <c r="O536" s="87">
        <f t="shared" si="54"/>
        <v>199529.4544977044</v>
      </c>
      <c r="P536" s="145">
        <f>Variables!$E$29</f>
        <v>48.483938529092256</v>
      </c>
      <c r="Q536" s="146">
        <f t="shared" si="55"/>
        <v>4339708.3974571824</v>
      </c>
    </row>
    <row r="537" spans="1:17">
      <c r="A537" s="101">
        <v>17</v>
      </c>
      <c r="B537" s="132" t="s">
        <v>37</v>
      </c>
      <c r="C537" s="101">
        <v>2030</v>
      </c>
      <c r="D537" s="133">
        <f>Population!O18</f>
        <v>518567.10018081061</v>
      </c>
      <c r="E537" s="133" t="str">
        <f t="shared" si="56"/>
        <v>Medium</v>
      </c>
      <c r="F537" s="133"/>
      <c r="G537" s="134">
        <f>Variables!$C$3*POWER(SUM(1,Variables!$C$2/100),C537-2017)</f>
        <v>22734.357728802763</v>
      </c>
      <c r="H537" s="134">
        <f t="shared" si="51"/>
        <v>418.54451333225234</v>
      </c>
      <c r="I537" s="135">
        <f>VLOOKUP(B537,'Waste per capita'!$B$2:$F$48,4,FALSE)*(H537/Variables!$C$6)</f>
        <v>162.97739592677331</v>
      </c>
      <c r="J537" s="134">
        <f t="shared" si="52"/>
        <v>84514.715600766693</v>
      </c>
      <c r="K537" s="136">
        <f>Variables!$C$15</f>
        <v>1</v>
      </c>
      <c r="L537" s="137">
        <f t="shared" si="53"/>
        <v>84514.715600766693</v>
      </c>
      <c r="N537" s="138">
        <f>Variables!$E$30*Variables!$C$19</f>
        <v>2.2291759999999998</v>
      </c>
      <c r="O537" s="87">
        <f t="shared" si="54"/>
        <v>188398.17566405467</v>
      </c>
      <c r="P537" s="145">
        <f>Variables!$E$29</f>
        <v>48.483938529092256</v>
      </c>
      <c r="Q537" s="146">
        <f t="shared" si="55"/>
        <v>4097606.2759912866</v>
      </c>
    </row>
    <row r="538" spans="1:17">
      <c r="A538" s="101">
        <v>18</v>
      </c>
      <c r="B538" s="132" t="s">
        <v>38</v>
      </c>
      <c r="C538" s="101">
        <v>2030</v>
      </c>
      <c r="D538" s="133">
        <f>Population!O19</f>
        <v>328343.05348310916</v>
      </c>
      <c r="E538" s="133" t="str">
        <f t="shared" si="56"/>
        <v>Medium</v>
      </c>
      <c r="F538" s="133"/>
      <c r="G538" s="134">
        <f>Variables!$C$3*POWER(SUM(1,Variables!$C$2/100),C538-2017)</f>
        <v>22734.357728802763</v>
      </c>
      <c r="H538" s="134">
        <f t="shared" si="51"/>
        <v>418.54451333225234</v>
      </c>
      <c r="I538" s="135">
        <f>VLOOKUP(B538,'Waste per capita'!$B$2:$F$48,4,FALSE)*(H538/Variables!$C$6)</f>
        <v>162.97739592677331</v>
      </c>
      <c r="J538" s="134">
        <f t="shared" si="52"/>
        <v>53512.495827322389</v>
      </c>
      <c r="K538" s="136">
        <f>Variables!$C$15</f>
        <v>1</v>
      </c>
      <c r="L538" s="137">
        <f t="shared" si="53"/>
        <v>53512.495827322389</v>
      </c>
      <c r="N538" s="138">
        <f>Variables!$E$30*Variables!$C$19</f>
        <v>2.2291759999999998</v>
      </c>
      <c r="O538" s="87">
        <f t="shared" si="54"/>
        <v>119288.7713983672</v>
      </c>
      <c r="P538" s="145">
        <f>Variables!$E$29</f>
        <v>48.483938529092256</v>
      </c>
      <c r="Q538" s="146">
        <f t="shared" si="55"/>
        <v>2594496.5582302045</v>
      </c>
    </row>
    <row r="539" spans="1:17">
      <c r="A539" s="101">
        <v>19</v>
      </c>
      <c r="B539" s="132" t="s">
        <v>39</v>
      </c>
      <c r="C539" s="101">
        <v>2030</v>
      </c>
      <c r="D539" s="133">
        <f>Population!O20</f>
        <v>331509.05040113931</v>
      </c>
      <c r="E539" s="133" t="str">
        <f t="shared" si="56"/>
        <v>Medium</v>
      </c>
      <c r="F539" s="133"/>
      <c r="G539" s="134">
        <f>Variables!$C$3*POWER(SUM(1,Variables!$C$2/100),C539-2017)</f>
        <v>22734.357728802763</v>
      </c>
      <c r="H539" s="134">
        <f t="shared" si="51"/>
        <v>418.54451333225234</v>
      </c>
      <c r="I539" s="135">
        <f>VLOOKUP(B539,'Waste per capita'!$B$2:$F$48,4,FALSE)*(H539/Variables!$C$6)</f>
        <v>162.97739592677331</v>
      </c>
      <c r="J539" s="134">
        <f t="shared" si="52"/>
        <v>54028.481760535127</v>
      </c>
      <c r="K539" s="136">
        <f>Variables!$C$15</f>
        <v>1</v>
      </c>
      <c r="L539" s="137">
        <f t="shared" si="53"/>
        <v>54028.481760535127</v>
      </c>
      <c r="N539" s="138">
        <f>Variables!$E$30*Variables!$C$19</f>
        <v>2.2291759999999998</v>
      </c>
      <c r="O539" s="87">
        <f t="shared" si="54"/>
        <v>120438.99485702264</v>
      </c>
      <c r="P539" s="145">
        <f>Variables!$E$29</f>
        <v>48.483938529092256</v>
      </c>
      <c r="Q539" s="146">
        <f t="shared" si="55"/>
        <v>2619513.5884979675</v>
      </c>
    </row>
    <row r="540" spans="1:17">
      <c r="A540" s="101">
        <v>20</v>
      </c>
      <c r="B540" s="132" t="s">
        <v>40</v>
      </c>
      <c r="C540" s="101">
        <v>2030</v>
      </c>
      <c r="D540" s="133">
        <f>Population!O21</f>
        <v>200853.09224199443</v>
      </c>
      <c r="E540" s="133" t="str">
        <f t="shared" si="56"/>
        <v>Medium</v>
      </c>
      <c r="F540" s="133"/>
      <c r="G540" s="134">
        <f>Variables!$C$3*POWER(SUM(1,Variables!$C$2/100),C540-2017)</f>
        <v>22734.357728802763</v>
      </c>
      <c r="H540" s="134">
        <f t="shared" si="51"/>
        <v>418.54451333225234</v>
      </c>
      <c r="I540" s="135">
        <f>VLOOKUP(B540,'Waste per capita'!$B$2:$F$48,4,FALSE)*(H540/Variables!$C$6)</f>
        <v>162.97739592677331</v>
      </c>
      <c r="J540" s="134">
        <f t="shared" si="52"/>
        <v>32734.513937440246</v>
      </c>
      <c r="K540" s="136">
        <f>Variables!$C$15</f>
        <v>1</v>
      </c>
      <c r="L540" s="137">
        <f t="shared" si="53"/>
        <v>32734.513937440246</v>
      </c>
      <c r="N540" s="138">
        <f>Variables!$E$30*Variables!$C$19</f>
        <v>2.2291759999999998</v>
      </c>
      <c r="O540" s="87">
        <f t="shared" si="54"/>
        <v>72970.99284100729</v>
      </c>
      <c r="P540" s="145">
        <f>Variables!$E$29</f>
        <v>48.483938529092256</v>
      </c>
      <c r="Q540" s="146">
        <f t="shared" si="55"/>
        <v>1587098.1615225666</v>
      </c>
    </row>
    <row r="541" spans="1:17">
      <c r="A541" s="101">
        <v>21</v>
      </c>
      <c r="B541" s="132" t="s">
        <v>41</v>
      </c>
      <c r="C541" s="101">
        <v>2030</v>
      </c>
      <c r="D541" s="133">
        <f>Population!O22</f>
        <v>212309.50556093885</v>
      </c>
      <c r="E541" s="133" t="str">
        <f t="shared" si="56"/>
        <v>Medium</v>
      </c>
      <c r="F541" s="133"/>
      <c r="G541" s="134">
        <f>Variables!$C$3*POWER(SUM(1,Variables!$C$2/100),C541-2017)</f>
        <v>22734.357728802763</v>
      </c>
      <c r="H541" s="134">
        <f t="shared" si="51"/>
        <v>418.54451333225234</v>
      </c>
      <c r="I541" s="135">
        <f>VLOOKUP(B541,'Waste per capita'!$B$2:$F$48,4,FALSE)*(H541/Variables!$C$6)</f>
        <v>162.97739592677331</v>
      </c>
      <c r="J541" s="134">
        <f t="shared" si="52"/>
        <v>34601.650346822615</v>
      </c>
      <c r="K541" s="136">
        <f>Variables!$C$15</f>
        <v>1</v>
      </c>
      <c r="L541" s="137">
        <f t="shared" si="53"/>
        <v>34601.650346822615</v>
      </c>
      <c r="N541" s="138">
        <f>Variables!$E$30*Variables!$C$19</f>
        <v>2.2291759999999998</v>
      </c>
      <c r="O541" s="87">
        <f t="shared" si="54"/>
        <v>77133.168513528639</v>
      </c>
      <c r="P541" s="145">
        <f>Variables!$E$29</f>
        <v>48.483938529092256</v>
      </c>
      <c r="Q541" s="146">
        <f t="shared" si="55"/>
        <v>1677624.2884204914</v>
      </c>
    </row>
    <row r="542" spans="1:17">
      <c r="A542" s="101">
        <v>22</v>
      </c>
      <c r="B542" s="132" t="s">
        <v>42</v>
      </c>
      <c r="C542" s="101">
        <v>2030</v>
      </c>
      <c r="D542" s="133">
        <f>Population!O23</f>
        <v>187459.77748528233</v>
      </c>
      <c r="E542" s="133" t="str">
        <f t="shared" si="56"/>
        <v>Medium</v>
      </c>
      <c r="F542" s="133"/>
      <c r="G542" s="134">
        <f>Variables!$C$3*POWER(SUM(1,Variables!$C$2/100),C542-2017)</f>
        <v>22734.357728802763</v>
      </c>
      <c r="H542" s="134">
        <f t="shared" si="51"/>
        <v>418.54451333225234</v>
      </c>
      <c r="I542" s="135">
        <f>VLOOKUP(B542,'Waste per capita'!$B$2:$F$48,4,FALSE)*(H542/Variables!$C$6)</f>
        <v>123.21122524753089</v>
      </c>
      <c r="J542" s="134">
        <f t="shared" si="52"/>
        <v>23097.148868591143</v>
      </c>
      <c r="K542" s="136">
        <f>Variables!$C$15</f>
        <v>1</v>
      </c>
      <c r="L542" s="137">
        <f t="shared" si="53"/>
        <v>23097.148868591143</v>
      </c>
      <c r="N542" s="138">
        <f>Variables!$E$30*Variables!$C$19</f>
        <v>2.2291759999999998</v>
      </c>
      <c r="O542" s="87">
        <f t="shared" si="54"/>
        <v>51487.609926290526</v>
      </c>
      <c r="P542" s="145">
        <f>Variables!$E$29</f>
        <v>48.483938529092256</v>
      </c>
      <c r="Q542" s="146">
        <f t="shared" si="55"/>
        <v>1119840.7459420657</v>
      </c>
    </row>
    <row r="543" spans="1:17">
      <c r="A543" s="101">
        <v>23</v>
      </c>
      <c r="B543" s="132" t="s">
        <v>43</v>
      </c>
      <c r="C543" s="101">
        <v>2030</v>
      </c>
      <c r="D543" s="133">
        <f>Population!O24</f>
        <v>144286.00531380638</v>
      </c>
      <c r="E543" s="133" t="str">
        <f t="shared" si="56"/>
        <v>Medium</v>
      </c>
      <c r="F543" s="133"/>
      <c r="G543" s="134">
        <f>Variables!$C$3*POWER(SUM(1,Variables!$C$2/100),C543-2017)</f>
        <v>22734.357728802763</v>
      </c>
      <c r="H543" s="134">
        <f t="shared" si="51"/>
        <v>418.54451333225234</v>
      </c>
      <c r="I543" s="135">
        <f>VLOOKUP(B543,'Waste per capita'!$B$2:$F$48,4,FALSE)*(H543/Variables!$C$6)</f>
        <v>120.9201074226801</v>
      </c>
      <c r="J543" s="134">
        <f t="shared" si="52"/>
        <v>17447.079262134863</v>
      </c>
      <c r="K543" s="136">
        <f>Variables!$C$15</f>
        <v>1</v>
      </c>
      <c r="L543" s="137">
        <f t="shared" si="53"/>
        <v>17447.079262134863</v>
      </c>
      <c r="N543" s="138">
        <f>Variables!$E$30*Variables!$C$19</f>
        <v>2.2291759999999998</v>
      </c>
      <c r="O543" s="87">
        <f t="shared" si="54"/>
        <v>38892.610361248742</v>
      </c>
      <c r="P543" s="145">
        <f>Variables!$E$29</f>
        <v>48.483938529092256</v>
      </c>
      <c r="Q543" s="146">
        <f t="shared" si="55"/>
        <v>845903.11845754692</v>
      </c>
    </row>
    <row r="544" spans="1:17">
      <c r="A544" s="101">
        <v>24</v>
      </c>
      <c r="B544" s="132" t="s">
        <v>44</v>
      </c>
      <c r="C544" s="101">
        <v>2030</v>
      </c>
      <c r="D544" s="133">
        <f>Population!O25</f>
        <v>90550.142215639222</v>
      </c>
      <c r="E544" s="133" t="str">
        <f t="shared" si="56"/>
        <v>Small</v>
      </c>
      <c r="F544" s="133"/>
      <c r="G544" s="134">
        <f>Variables!$C$3*POWER(SUM(1,Variables!$C$2/100),C544-2017)</f>
        <v>22734.357728802763</v>
      </c>
      <c r="H544" s="134">
        <f t="shared" si="51"/>
        <v>418.54451333225234</v>
      </c>
      <c r="I544" s="135">
        <f>VLOOKUP(B544,'Waste per capita'!$B$2:$F$48,4,FALSE)*(H544/Variables!$C$6)</f>
        <v>122.51463189467344</v>
      </c>
      <c r="J544" s="134">
        <f t="shared" si="52"/>
        <v>11093.71734155937</v>
      </c>
      <c r="K544" s="136">
        <f>Variables!$C$15</f>
        <v>1</v>
      </c>
      <c r="L544" s="137">
        <f t="shared" si="53"/>
        <v>11093.71734155937</v>
      </c>
      <c r="N544" s="138">
        <f>Variables!$E$30*Variables!$C$19</f>
        <v>2.2291759999999998</v>
      </c>
      <c r="O544" s="87">
        <f t="shared" si="54"/>
        <v>24729.848448587949</v>
      </c>
      <c r="P544" s="145">
        <f>Variables!$E$29</f>
        <v>48.483938529092256</v>
      </c>
      <c r="Q544" s="146">
        <f t="shared" si="55"/>
        <v>537867.10964728927</v>
      </c>
    </row>
    <row r="545" spans="1:17">
      <c r="A545" s="101">
        <v>25</v>
      </c>
      <c r="B545" s="132" t="s">
        <v>45</v>
      </c>
      <c r="C545" s="101">
        <v>2030</v>
      </c>
      <c r="D545" s="133">
        <f>Population!O26</f>
        <v>187642.70706551595</v>
      </c>
      <c r="E545" s="133" t="str">
        <f t="shared" si="56"/>
        <v>Medium</v>
      </c>
      <c r="F545" s="133"/>
      <c r="G545" s="134">
        <f>Variables!$C$3*POWER(SUM(1,Variables!$C$2/100),C545-2017)</f>
        <v>22734.357728802763</v>
      </c>
      <c r="H545" s="134">
        <f t="shared" si="51"/>
        <v>418.54451333225234</v>
      </c>
      <c r="I545" s="135">
        <f>VLOOKUP(B545,'Waste per capita'!$B$2:$F$48,4,FALSE)*(H545/Variables!$C$6)</f>
        <v>122.13688893919141</v>
      </c>
      <c r="J545" s="134">
        <f t="shared" si="52"/>
        <v>22918.096473110149</v>
      </c>
      <c r="K545" s="136">
        <f>Variables!$C$15</f>
        <v>1</v>
      </c>
      <c r="L545" s="137">
        <f t="shared" si="53"/>
        <v>22918.096473110149</v>
      </c>
      <c r="N545" s="138">
        <f>Variables!$E$30*Variables!$C$19</f>
        <v>2.2291759999999998</v>
      </c>
      <c r="O545" s="87">
        <f t="shared" si="54"/>
        <v>51088.470623541783</v>
      </c>
      <c r="P545" s="145">
        <f>Variables!$E$29</f>
        <v>48.483938529092256</v>
      </c>
      <c r="Q545" s="146">
        <f t="shared" si="55"/>
        <v>1111159.5806060785</v>
      </c>
    </row>
    <row r="546" spans="1:17">
      <c r="A546" s="101">
        <v>26</v>
      </c>
      <c r="B546" s="132" t="s">
        <v>46</v>
      </c>
      <c r="C546" s="101">
        <v>2030</v>
      </c>
      <c r="D546" s="133">
        <f>Population!O27</f>
        <v>51225.06493809793</v>
      </c>
      <c r="E546" s="133" t="str">
        <f t="shared" si="56"/>
        <v>Small</v>
      </c>
      <c r="F546" s="133"/>
      <c r="G546" s="134">
        <f>Variables!$C$3*POWER(SUM(1,Variables!$C$2/100),C546-2017)</f>
        <v>22734.357728802763</v>
      </c>
      <c r="H546" s="134">
        <f t="shared" si="51"/>
        <v>418.54451333225234</v>
      </c>
      <c r="I546" s="135">
        <f>VLOOKUP(B546,'Waste per capita'!$B$2:$F$48,4,FALSE)*(H546/Variables!$C$6)</f>
        <v>123.39603212413152</v>
      </c>
      <c r="J546" s="134">
        <f t="shared" si="52"/>
        <v>6320.9697586622551</v>
      </c>
      <c r="K546" s="136">
        <f>Variables!$C$15</f>
        <v>1</v>
      </c>
      <c r="L546" s="137">
        <f t="shared" si="53"/>
        <v>6320.9697586622551</v>
      </c>
      <c r="N546" s="138">
        <f>Variables!$E$30*Variables!$C$19</f>
        <v>2.2291759999999998</v>
      </c>
      <c r="O546" s="87">
        <f t="shared" si="54"/>
        <v>14090.554082735691</v>
      </c>
      <c r="P546" s="145">
        <f>Variables!$E$29</f>
        <v>48.483938529092256</v>
      </c>
      <c r="Q546" s="146">
        <f t="shared" si="55"/>
        <v>306465.50922323187</v>
      </c>
    </row>
    <row r="547" spans="1:17">
      <c r="A547" s="101">
        <v>27</v>
      </c>
      <c r="B547" s="132" t="s">
        <v>47</v>
      </c>
      <c r="C547" s="101">
        <v>2030</v>
      </c>
      <c r="D547" s="133">
        <f>Population!O28</f>
        <v>9606.7920076934206</v>
      </c>
      <c r="E547" s="133" t="str">
        <f t="shared" si="56"/>
        <v>Small</v>
      </c>
      <c r="F547" s="133"/>
      <c r="G547" s="134">
        <f>Variables!$C$3*POWER(SUM(1,Variables!$C$2/100),C547-2017)</f>
        <v>22734.357728802763</v>
      </c>
      <c r="H547" s="134">
        <f t="shared" si="51"/>
        <v>418.54451333225234</v>
      </c>
      <c r="I547" s="135">
        <f>VLOOKUP(B547,'Waste per capita'!$B$2:$F$48,4,FALSE)*(H547/Variables!$C$6)</f>
        <v>122.19295065870833</v>
      </c>
      <c r="J547" s="134">
        <f t="shared" si="52"/>
        <v>1173.8822617845556</v>
      </c>
      <c r="K547" s="136">
        <f>Variables!$C$15</f>
        <v>1</v>
      </c>
      <c r="L547" s="137">
        <f t="shared" si="53"/>
        <v>1173.8822617845556</v>
      </c>
      <c r="N547" s="138">
        <f>Variables!$E$30*Variables!$C$19</f>
        <v>2.2291759999999998</v>
      </c>
      <c r="O547" s="87">
        <f t="shared" si="54"/>
        <v>2616.7901647958483</v>
      </c>
      <c r="P547" s="145">
        <f>Variables!$E$29</f>
        <v>48.483938529092256</v>
      </c>
      <c r="Q547" s="146">
        <f t="shared" si="55"/>
        <v>56914.435420754176</v>
      </c>
    </row>
    <row r="548" spans="1:17">
      <c r="A548" s="101">
        <v>28</v>
      </c>
      <c r="B548" s="132" t="s">
        <v>48</v>
      </c>
      <c r="C548" s="101">
        <v>2030</v>
      </c>
      <c r="D548" s="133">
        <f>Population!O29</f>
        <v>57492.495392899291</v>
      </c>
      <c r="E548" s="133" t="str">
        <f t="shared" si="56"/>
        <v>Small</v>
      </c>
      <c r="F548" s="133"/>
      <c r="G548" s="134">
        <f>Variables!$C$3*POWER(SUM(1,Variables!$C$2/100),C548-2017)</f>
        <v>22734.357728802763</v>
      </c>
      <c r="H548" s="134">
        <f t="shared" si="51"/>
        <v>418.54451333225234</v>
      </c>
      <c r="I548" s="135">
        <f>VLOOKUP(B548,'Waste per capita'!$B$2:$F$48,4,FALSE)*(H548/Variables!$C$6)</f>
        <v>179.15638460472852</v>
      </c>
      <c r="J548" s="134">
        <f t="shared" si="52"/>
        <v>10300.147616495848</v>
      </c>
      <c r="K548" s="136">
        <f>Variables!$C$15</f>
        <v>1</v>
      </c>
      <c r="L548" s="137">
        <f t="shared" si="53"/>
        <v>10300.147616495848</v>
      </c>
      <c r="N548" s="138">
        <f>Variables!$E$30*Variables!$C$19</f>
        <v>2.2291759999999998</v>
      </c>
      <c r="O548" s="87">
        <f t="shared" si="54"/>
        <v>22960.841863149744</v>
      </c>
      <c r="P548" s="145">
        <f>Variables!$E$29</f>
        <v>48.483938529092256</v>
      </c>
      <c r="Q548" s="146">
        <f t="shared" si="55"/>
        <v>499391.72387876082</v>
      </c>
    </row>
    <row r="549" spans="1:17">
      <c r="A549" s="101">
        <v>29</v>
      </c>
      <c r="B549" s="132" t="s">
        <v>49</v>
      </c>
      <c r="C549" s="101">
        <v>2030</v>
      </c>
      <c r="D549" s="133">
        <f>Population!O30</f>
        <v>57894.223098510367</v>
      </c>
      <c r="E549" s="133" t="str">
        <f t="shared" si="56"/>
        <v>Small</v>
      </c>
      <c r="F549" s="133"/>
      <c r="G549" s="134">
        <f>Variables!$C$3*POWER(SUM(1,Variables!$C$2/100),C549-2017)</f>
        <v>22734.357728802763</v>
      </c>
      <c r="H549" s="134">
        <f t="shared" si="51"/>
        <v>418.54451333225234</v>
      </c>
      <c r="I549" s="135">
        <f>VLOOKUP(B549,'Waste per capita'!$B$2:$F$48,4,FALSE)*(H549/Variables!$C$6)</f>
        <v>179.15638460472852</v>
      </c>
      <c r="J549" s="134">
        <f t="shared" si="52"/>
        <v>10372.119699828681</v>
      </c>
      <c r="K549" s="136">
        <f>Variables!$C$15</f>
        <v>1</v>
      </c>
      <c r="L549" s="137">
        <f t="shared" si="53"/>
        <v>10372.119699828681</v>
      </c>
      <c r="N549" s="138">
        <f>Variables!$E$30*Variables!$C$19</f>
        <v>2.2291759999999998</v>
      </c>
      <c r="O549" s="87">
        <f t="shared" si="54"/>
        <v>23121.280303985299</v>
      </c>
      <c r="P549" s="145">
        <f>Variables!$E$29</f>
        <v>48.483938529092256</v>
      </c>
      <c r="Q549" s="146">
        <f t="shared" si="55"/>
        <v>502881.21394288063</v>
      </c>
    </row>
    <row r="550" spans="1:17">
      <c r="A550" s="101">
        <v>30</v>
      </c>
      <c r="B550" s="132" t="s">
        <v>50</v>
      </c>
      <c r="C550" s="101">
        <v>2030</v>
      </c>
      <c r="D550" s="133">
        <f>Population!O31</f>
        <v>23658.89237688082</v>
      </c>
      <c r="E550" s="133" t="str">
        <f t="shared" si="56"/>
        <v>Small</v>
      </c>
      <c r="F550" s="133"/>
      <c r="G550" s="134">
        <f>Variables!$C$3*POWER(SUM(1,Variables!$C$2/100),C550-2017)</f>
        <v>22734.357728802763</v>
      </c>
      <c r="H550" s="134">
        <f t="shared" si="51"/>
        <v>418.54451333225234</v>
      </c>
      <c r="I550" s="135">
        <f>VLOOKUP(B550,'Waste per capita'!$B$2:$F$48,4,FALSE)*(H550/Variables!$C$6)</f>
        <v>179.15638460472852</v>
      </c>
      <c r="J550" s="134">
        <f t="shared" si="52"/>
        <v>4238.6416219943403</v>
      </c>
      <c r="K550" s="136">
        <f>Variables!$C$15</f>
        <v>1</v>
      </c>
      <c r="L550" s="137">
        <f t="shared" si="53"/>
        <v>4238.6416219943403</v>
      </c>
      <c r="N550" s="138">
        <f>Variables!$E$30*Variables!$C$19</f>
        <v>2.2291759999999998</v>
      </c>
      <c r="O550" s="87">
        <f t="shared" si="54"/>
        <v>9448.6781763508552</v>
      </c>
      <c r="P550" s="145">
        <f>Variables!$E$29</f>
        <v>48.483938529092256</v>
      </c>
      <c r="Q550" s="146">
        <f t="shared" si="55"/>
        <v>205506.03984762548</v>
      </c>
    </row>
    <row r="551" spans="1:17">
      <c r="A551" s="101">
        <v>31</v>
      </c>
      <c r="B551" s="132" t="s">
        <v>51</v>
      </c>
      <c r="C551" s="101">
        <v>2030</v>
      </c>
      <c r="D551" s="133">
        <f>Population!O32</f>
        <v>35992.889433677999</v>
      </c>
      <c r="E551" s="133" t="str">
        <f t="shared" si="56"/>
        <v>Small</v>
      </c>
      <c r="F551" s="133"/>
      <c r="G551" s="134">
        <f>Variables!$C$3*POWER(SUM(1,Variables!$C$2/100),C551-2017)</f>
        <v>22734.357728802763</v>
      </c>
      <c r="H551" s="134">
        <f t="shared" si="51"/>
        <v>418.54451333225234</v>
      </c>
      <c r="I551" s="135">
        <f>VLOOKUP(B551,'Waste per capita'!$B$2:$F$48,4,FALSE)*(H551/Variables!$C$6)</f>
        <v>179.15638460472852</v>
      </c>
      <c r="J551" s="134">
        <f t="shared" si="52"/>
        <v>6448.3559424154855</v>
      </c>
      <c r="K551" s="136">
        <f>Variables!$C$15</f>
        <v>1</v>
      </c>
      <c r="L551" s="137">
        <f t="shared" si="53"/>
        <v>6448.3559424154855</v>
      </c>
      <c r="N551" s="138">
        <f>Variables!$E$30*Variables!$C$19</f>
        <v>2.2291759999999998</v>
      </c>
      <c r="O551" s="87">
        <f t="shared" si="54"/>
        <v>14374.520306289982</v>
      </c>
      <c r="P551" s="145">
        <f>Variables!$E$29</f>
        <v>48.483938529092256</v>
      </c>
      <c r="Q551" s="146">
        <f t="shared" si="55"/>
        <v>312641.69312577916</v>
      </c>
    </row>
    <row r="552" spans="1:17">
      <c r="A552" s="101">
        <v>32</v>
      </c>
      <c r="B552" s="132" t="s">
        <v>52</v>
      </c>
      <c r="C552" s="101">
        <v>2030</v>
      </c>
      <c r="D552" s="133">
        <f>Population!O33</f>
        <v>33129.383913027625</v>
      </c>
      <c r="E552" s="133" t="str">
        <f t="shared" si="56"/>
        <v>Small</v>
      </c>
      <c r="F552" s="133"/>
      <c r="G552" s="134">
        <f>Variables!$C$3*POWER(SUM(1,Variables!$C$2/100),C552-2017)</f>
        <v>22734.357728802763</v>
      </c>
      <c r="H552" s="134">
        <f t="shared" si="51"/>
        <v>418.54451333225234</v>
      </c>
      <c r="I552" s="135">
        <f>VLOOKUP(B552,'Waste per capita'!$B$2:$F$48,4,FALSE)*(H552/Variables!$C$6)</f>
        <v>179.15638460472852</v>
      </c>
      <c r="J552" s="134">
        <f t="shared" si="52"/>
        <v>5935.3406460400829</v>
      </c>
      <c r="K552" s="136">
        <f>Variables!$C$15</f>
        <v>1</v>
      </c>
      <c r="L552" s="137">
        <f t="shared" si="53"/>
        <v>5935.3406460400829</v>
      </c>
      <c r="N552" s="138">
        <f>Variables!$E$30*Variables!$C$19</f>
        <v>2.2291759999999998</v>
      </c>
      <c r="O552" s="87">
        <f t="shared" si="54"/>
        <v>13230.918919977046</v>
      </c>
      <c r="P552" s="145">
        <f>Variables!$E$29</f>
        <v>48.483938529092256</v>
      </c>
      <c r="Q552" s="146">
        <f t="shared" si="55"/>
        <v>287768.69103183009</v>
      </c>
    </row>
    <row r="553" spans="1:17">
      <c r="A553" s="101">
        <v>33</v>
      </c>
      <c r="B553" s="132" t="s">
        <v>53</v>
      </c>
      <c r="C553" s="101">
        <v>2030</v>
      </c>
      <c r="D553" s="133">
        <f>Population!O34</f>
        <v>142043.02562414453</v>
      </c>
      <c r="E553" s="133" t="str">
        <f t="shared" si="56"/>
        <v>Medium</v>
      </c>
      <c r="F553" s="133"/>
      <c r="G553" s="134">
        <f>Variables!$C$3*POWER(SUM(1,Variables!$C$2/100),C553-2017)</f>
        <v>22734.357728802763</v>
      </c>
      <c r="H553" s="134">
        <f t="shared" si="51"/>
        <v>418.54451333225234</v>
      </c>
      <c r="I553" s="135">
        <f>VLOOKUP(B553,'Waste per capita'!$B$2:$F$48,4,FALSE)*(H553/Variables!$C$6)</f>
        <v>234.3895038766029</v>
      </c>
      <c r="J553" s="134">
        <f t="shared" si="52"/>
        <v>33293.394305174828</v>
      </c>
      <c r="K553" s="136">
        <f>Variables!$C$15</f>
        <v>1</v>
      </c>
      <c r="L553" s="137">
        <f t="shared" si="53"/>
        <v>33293.394305174828</v>
      </c>
      <c r="N553" s="138">
        <f>Variables!$E$30*Variables!$C$19</f>
        <v>2.2291759999999998</v>
      </c>
      <c r="O553" s="87">
        <f t="shared" si="54"/>
        <v>74216.835543632391</v>
      </c>
      <c r="P553" s="145">
        <f>Variables!$E$29</f>
        <v>48.483938529092256</v>
      </c>
      <c r="Q553" s="146">
        <f t="shared" si="55"/>
        <v>1614194.8829169266</v>
      </c>
    </row>
    <row r="554" spans="1:17">
      <c r="A554" s="101">
        <v>34</v>
      </c>
      <c r="B554" s="132" t="s">
        <v>54</v>
      </c>
      <c r="C554" s="101">
        <v>2030</v>
      </c>
      <c r="D554" s="133">
        <f>Population!O35</f>
        <v>126158.04259810661</v>
      </c>
      <c r="E554" s="133" t="str">
        <f t="shared" si="56"/>
        <v>Medium</v>
      </c>
      <c r="F554" s="133"/>
      <c r="G554" s="134">
        <f>Variables!$C$3*POWER(SUM(1,Variables!$C$2/100),C554-2017)</f>
        <v>22734.357728802763</v>
      </c>
      <c r="H554" s="134">
        <f t="shared" si="51"/>
        <v>418.54451333225234</v>
      </c>
      <c r="I554" s="135">
        <f>VLOOKUP(B554,'Waste per capita'!$B$2:$F$48,4,FALSE)*(H554/Variables!$C$6)</f>
        <v>162.97739592677331</v>
      </c>
      <c r="J554" s="134">
        <f t="shared" si="52"/>
        <v>20560.909257858355</v>
      </c>
      <c r="K554" s="136">
        <f>Variables!$C$15</f>
        <v>1</v>
      </c>
      <c r="L554" s="137">
        <f t="shared" si="53"/>
        <v>20560.909257858355</v>
      </c>
      <c r="N554" s="138">
        <f>Variables!$E$30*Variables!$C$19</f>
        <v>2.2291759999999998</v>
      </c>
      <c r="O554" s="87">
        <f t="shared" si="54"/>
        <v>45833.885455795651</v>
      </c>
      <c r="P554" s="145">
        <f>Variables!$E$29</f>
        <v>48.483938529092256</v>
      </c>
      <c r="Q554" s="146">
        <f t="shared" si="55"/>
        <v>996873.86056024837</v>
      </c>
    </row>
    <row r="555" spans="1:17">
      <c r="A555" s="101">
        <v>35</v>
      </c>
      <c r="B555" s="132" t="s">
        <v>55</v>
      </c>
      <c r="C555" s="101">
        <v>2030</v>
      </c>
      <c r="D555" s="133">
        <f>Population!O36</f>
        <v>576169.59244548436</v>
      </c>
      <c r="E555" s="133" t="str">
        <f t="shared" si="56"/>
        <v>Medium</v>
      </c>
      <c r="F555" s="133"/>
      <c r="G555" s="134">
        <f>Variables!$C$3*POWER(SUM(1,Variables!$C$2/100),C555-2017)</f>
        <v>22734.357728802763</v>
      </c>
      <c r="H555" s="134">
        <f t="shared" si="51"/>
        <v>418.54451333225234</v>
      </c>
      <c r="I555" s="135">
        <f>VLOOKUP(B555,'Waste per capita'!$B$2:$F$48,4,FALSE)*(H555/Variables!$C$6)</f>
        <v>162.97739592677331</v>
      </c>
      <c r="J555" s="134">
        <f t="shared" si="52"/>
        <v>93902.619788955315</v>
      </c>
      <c r="K555" s="136">
        <f>Variables!$C$15</f>
        <v>1</v>
      </c>
      <c r="L555" s="137">
        <f t="shared" si="53"/>
        <v>93902.619788955315</v>
      </c>
      <c r="N555" s="138">
        <f>Variables!$E$30*Variables!$C$19</f>
        <v>2.2291759999999998</v>
      </c>
      <c r="O555" s="87">
        <f t="shared" si="54"/>
        <v>209325.46637066425</v>
      </c>
      <c r="P555" s="145">
        <f>Variables!$E$29</f>
        <v>48.483938529092256</v>
      </c>
      <c r="Q555" s="146">
        <f t="shared" si="55"/>
        <v>4552768.8455684315</v>
      </c>
    </row>
    <row r="556" spans="1:17">
      <c r="A556" s="101">
        <v>36</v>
      </c>
      <c r="B556" s="132" t="s">
        <v>56</v>
      </c>
      <c r="C556" s="101">
        <v>2030</v>
      </c>
      <c r="D556" s="133">
        <f>Population!O37</f>
        <v>309001.53832337598</v>
      </c>
      <c r="E556" s="133" t="str">
        <f t="shared" si="56"/>
        <v>Medium</v>
      </c>
      <c r="F556" s="133"/>
      <c r="G556" s="134">
        <f>Variables!$C$3*POWER(SUM(1,Variables!$C$2/100),C556-2017)</f>
        <v>22734.357728802763</v>
      </c>
      <c r="H556" s="134">
        <f t="shared" si="51"/>
        <v>418.54451333225234</v>
      </c>
      <c r="I556" s="135">
        <f>VLOOKUP(B556,'Waste per capita'!$B$2:$F$48,4,FALSE)*(H556/Variables!$C$6)</f>
        <v>264.81503525566944</v>
      </c>
      <c r="J556" s="134">
        <f t="shared" si="52"/>
        <v>81828.253265160907</v>
      </c>
      <c r="K556" s="136">
        <f>Variables!$C$15</f>
        <v>1</v>
      </c>
      <c r="L556" s="137">
        <f t="shared" si="53"/>
        <v>81828.253265160907</v>
      </c>
      <c r="N556" s="138">
        <f>Variables!$E$30*Variables!$C$19</f>
        <v>2.2291759999999998</v>
      </c>
      <c r="O556" s="87">
        <f t="shared" si="54"/>
        <v>182409.5783006183</v>
      </c>
      <c r="P556" s="145">
        <f>Variables!$E$29</f>
        <v>48.483938529092256</v>
      </c>
      <c r="Q556" s="146">
        <f t="shared" si="55"/>
        <v>3967356.001251054</v>
      </c>
    </row>
    <row r="557" spans="1:17">
      <c r="A557" s="101">
        <v>37</v>
      </c>
      <c r="B557" s="132" t="s">
        <v>57</v>
      </c>
      <c r="C557" s="101">
        <v>2030</v>
      </c>
      <c r="D557" s="133">
        <f>Population!O38</f>
        <v>144026.55617059921</v>
      </c>
      <c r="E557" s="133" t="str">
        <f t="shared" si="56"/>
        <v>Medium</v>
      </c>
      <c r="F557" s="133"/>
      <c r="G557" s="134">
        <f>Variables!$C$3*POWER(SUM(1,Variables!$C$2/100),C557-2017)</f>
        <v>22734.357728802763</v>
      </c>
      <c r="H557" s="134">
        <f t="shared" si="51"/>
        <v>418.54451333225234</v>
      </c>
      <c r="I557" s="135">
        <f>VLOOKUP(B557,'Waste per capita'!$B$2:$F$48,4,FALSE)*(H557/Variables!$C$6)</f>
        <v>162.97739592677331</v>
      </c>
      <c r="J557" s="134">
        <f t="shared" si="52"/>
        <v>23473.073068985403</v>
      </c>
      <c r="K557" s="136">
        <f>Variables!$C$15</f>
        <v>1</v>
      </c>
      <c r="L557" s="137">
        <f t="shared" si="53"/>
        <v>23473.073068985403</v>
      </c>
      <c r="N557" s="138">
        <f>Variables!$E$30*Variables!$C$19</f>
        <v>2.2291759999999998</v>
      </c>
      <c r="O557" s="87">
        <f t="shared" si="54"/>
        <v>52325.611131628597</v>
      </c>
      <c r="P557" s="145">
        <f>Variables!$E$29</f>
        <v>48.483938529092256</v>
      </c>
      <c r="Q557" s="146">
        <f t="shared" si="55"/>
        <v>1138067.0317655792</v>
      </c>
    </row>
    <row r="558" spans="1:17">
      <c r="A558" s="101">
        <v>38</v>
      </c>
      <c r="B558" s="132" t="s">
        <v>58</v>
      </c>
      <c r="C558" s="101">
        <v>2030</v>
      </c>
      <c r="D558" s="133">
        <f>Population!O39</f>
        <v>42511.399704486277</v>
      </c>
      <c r="E558" s="133" t="str">
        <f t="shared" si="56"/>
        <v>Small</v>
      </c>
      <c r="F558" s="133"/>
      <c r="G558" s="134">
        <f>Variables!$C$3*POWER(SUM(1,Variables!$C$2/100),C558-2017)</f>
        <v>22734.357728802763</v>
      </c>
      <c r="H558" s="134">
        <f t="shared" si="51"/>
        <v>418.54451333225234</v>
      </c>
      <c r="I558" s="135">
        <f>VLOOKUP(B558,'Waste per capita'!$B$2:$F$48,4,FALSE)*(H558/Variables!$C$6)</f>
        <v>357.7325914857289</v>
      </c>
      <c r="J558" s="134">
        <f t="shared" si="52"/>
        <v>15207.713183971526</v>
      </c>
      <c r="K558" s="136">
        <f>Variables!$C$15</f>
        <v>1</v>
      </c>
      <c r="L558" s="137">
        <f t="shared" si="53"/>
        <v>15207.713183971526</v>
      </c>
      <c r="N558" s="138">
        <f>Variables!$E$30*Variables!$C$19</f>
        <v>2.2291759999999998</v>
      </c>
      <c r="O558" s="87">
        <f t="shared" si="54"/>
        <v>33900.669244592907</v>
      </c>
      <c r="P558" s="145">
        <f>Variables!$E$29</f>
        <v>48.483938529092256</v>
      </c>
      <c r="Q558" s="146">
        <f t="shared" si="55"/>
        <v>737329.8311797413</v>
      </c>
    </row>
    <row r="559" spans="1:17">
      <c r="A559" s="101">
        <v>39</v>
      </c>
      <c r="B559" s="132" t="s">
        <v>59</v>
      </c>
      <c r="C559" s="101">
        <v>2030</v>
      </c>
      <c r="D559" s="133">
        <f>Population!O40</f>
        <v>80247.500432155182</v>
      </c>
      <c r="E559" s="133" t="str">
        <f t="shared" si="56"/>
        <v>Small</v>
      </c>
      <c r="F559" s="133"/>
      <c r="G559" s="134">
        <f>Variables!$C$3*POWER(SUM(1,Variables!$C$2/100),C559-2017)</f>
        <v>22734.357728802763</v>
      </c>
      <c r="H559" s="134">
        <f t="shared" si="51"/>
        <v>418.54451333225234</v>
      </c>
      <c r="I559" s="135">
        <f>VLOOKUP(B559,'Waste per capita'!$B$2:$F$48,4,FALSE)*(H559/Variables!$C$6)</f>
        <v>179.15638460472852</v>
      </c>
      <c r="J559" s="134">
        <f t="shared" si="52"/>
        <v>14376.852050991312</v>
      </c>
      <c r="K559" s="136">
        <f>Variables!$C$15</f>
        <v>1</v>
      </c>
      <c r="L559" s="137">
        <f t="shared" si="53"/>
        <v>14376.852050991312</v>
      </c>
      <c r="N559" s="138">
        <f>Variables!$E$30*Variables!$C$19</f>
        <v>2.2291759999999998</v>
      </c>
      <c r="O559" s="87">
        <f t="shared" si="54"/>
        <v>32048.533547620606</v>
      </c>
      <c r="P559" s="145">
        <f>Variables!$E$29</f>
        <v>48.483938529092256</v>
      </c>
      <c r="Q559" s="146">
        <f t="shared" si="55"/>
        <v>697046.41108211677</v>
      </c>
    </row>
    <row r="560" spans="1:17">
      <c r="A560" s="101">
        <v>40</v>
      </c>
      <c r="B560" s="132" t="s">
        <v>60</v>
      </c>
      <c r="C560" s="101">
        <v>2030</v>
      </c>
      <c r="D560" s="133">
        <f>Population!O41</f>
        <v>3629.8967685572152</v>
      </c>
      <c r="E560" s="133" t="str">
        <f t="shared" si="56"/>
        <v>Small</v>
      </c>
      <c r="F560" s="133"/>
      <c r="G560" s="134">
        <f>Variables!$C$3*POWER(SUM(1,Variables!$C$2/100),C560-2017)</f>
        <v>22734.357728802763</v>
      </c>
      <c r="H560" s="134">
        <f t="shared" si="51"/>
        <v>418.54451333225234</v>
      </c>
      <c r="I560" s="135">
        <f>VLOOKUP(B560,'Waste per capita'!$B$2:$F$48,4,FALSE)*(H560/Variables!$C$6)</f>
        <v>185.83511246011889</v>
      </c>
      <c r="J560" s="134">
        <f t="shared" si="52"/>
        <v>674.56227420345226</v>
      </c>
      <c r="K560" s="136">
        <f>Variables!$C$15</f>
        <v>1</v>
      </c>
      <c r="L560" s="137">
        <f t="shared" si="53"/>
        <v>674.56227420345226</v>
      </c>
      <c r="N560" s="138">
        <f>Variables!$E$30*Variables!$C$19</f>
        <v>2.2291759999999998</v>
      </c>
      <c r="O560" s="87">
        <f t="shared" si="54"/>
        <v>1503.7180321597548</v>
      </c>
      <c r="P560" s="145">
        <f>Variables!$E$29</f>
        <v>48.483938529092256</v>
      </c>
      <c r="Q560" s="146">
        <f t="shared" si="55"/>
        <v>32705.435836524855</v>
      </c>
    </row>
    <row r="561" spans="1:17">
      <c r="A561" s="101">
        <v>41</v>
      </c>
      <c r="B561" s="132" t="s">
        <v>61</v>
      </c>
      <c r="C561" s="101">
        <v>2030</v>
      </c>
      <c r="D561" s="133">
        <f>Population!O42</f>
        <v>62555.938349038879</v>
      </c>
      <c r="E561" s="133" t="str">
        <f t="shared" si="56"/>
        <v>Small</v>
      </c>
      <c r="F561" s="133"/>
      <c r="G561" s="134">
        <f>Variables!$C$3*POWER(SUM(1,Variables!$C$2/100),C561-2017)</f>
        <v>22734.357728802763</v>
      </c>
      <c r="H561" s="134">
        <f t="shared" si="51"/>
        <v>418.54451333225234</v>
      </c>
      <c r="I561" s="135">
        <f>VLOOKUP(B561,'Waste per capita'!$B$2:$F$48,4,FALSE)*(H561/Variables!$C$6)</f>
        <v>179.15638460472852</v>
      </c>
      <c r="J561" s="134">
        <f t="shared" si="52"/>
        <v>11207.295750170095</v>
      </c>
      <c r="K561" s="136">
        <f>Variables!$C$15</f>
        <v>1</v>
      </c>
      <c r="L561" s="137">
        <f t="shared" si="53"/>
        <v>11207.295750170095</v>
      </c>
      <c r="N561" s="138">
        <f>Variables!$E$30*Variables!$C$19</f>
        <v>2.2291759999999998</v>
      </c>
      <c r="O561" s="87">
        <f t="shared" si="54"/>
        <v>24983.034711181168</v>
      </c>
      <c r="P561" s="145">
        <f>Variables!$E$29</f>
        <v>48.483938529092256</v>
      </c>
      <c r="Q561" s="146">
        <f t="shared" si="55"/>
        <v>543373.83822860371</v>
      </c>
    </row>
    <row r="562" spans="1:17">
      <c r="A562" s="101">
        <v>42</v>
      </c>
      <c r="B562" s="139" t="s">
        <v>62</v>
      </c>
      <c r="C562" s="101">
        <v>2030</v>
      </c>
      <c r="D562" s="133">
        <f>Population!O43</f>
        <v>54425.734783100459</v>
      </c>
      <c r="E562" s="133" t="str">
        <f t="shared" si="56"/>
        <v>Small</v>
      </c>
      <c r="F562" s="133"/>
      <c r="G562" s="134">
        <f>Variables!$C$3*POWER(SUM(1,Variables!$C$2/100),C562-2017)</f>
        <v>22734.357728802763</v>
      </c>
      <c r="H562" s="134">
        <f t="shared" si="51"/>
        <v>418.54451333225234</v>
      </c>
      <c r="I562" s="135">
        <f>VLOOKUP(B562,'Waste per capita'!$B$2:$F$48,4,FALSE)*(H562/Variables!$C$6)</f>
        <v>179.15638460472852</v>
      </c>
      <c r="J562" s="134">
        <f t="shared" si="52"/>
        <v>9750.7178731960976</v>
      </c>
      <c r="K562" s="136">
        <f>Variables!$C$15</f>
        <v>1</v>
      </c>
      <c r="L562" s="137">
        <f t="shared" si="53"/>
        <v>9750.7178731960976</v>
      </c>
      <c r="N562" s="138">
        <f>Variables!$E$30*Variables!$C$19</f>
        <v>2.2291759999999998</v>
      </c>
      <c r="O562" s="87">
        <f t="shared" si="54"/>
        <v>21736.066265699781</v>
      </c>
      <c r="P562" s="145">
        <f>Variables!$E$29</f>
        <v>48.483938529092256</v>
      </c>
      <c r="Q562" s="146">
        <f t="shared" si="55"/>
        <v>472753.20597856079</v>
      </c>
    </row>
    <row r="563" spans="1:17">
      <c r="A563" s="101">
        <v>43</v>
      </c>
      <c r="B563" s="139" t="s">
        <v>63</v>
      </c>
      <c r="C563" s="101">
        <v>2030</v>
      </c>
      <c r="D563" s="133">
        <f>Population!O44</f>
        <v>28739.073987420874</v>
      </c>
      <c r="E563" s="133" t="str">
        <f t="shared" si="56"/>
        <v>Small</v>
      </c>
      <c r="F563" s="133"/>
      <c r="G563" s="134">
        <f>Variables!$C$3*POWER(SUM(1,Variables!$C$2/100),C563-2017)</f>
        <v>22734.357728802763</v>
      </c>
      <c r="H563" s="134">
        <f t="shared" si="51"/>
        <v>418.54451333225234</v>
      </c>
      <c r="I563" s="135">
        <f>VLOOKUP(B563,'Waste per capita'!$B$2:$F$48,4,FALSE)*(H563/Variables!$C$6)</f>
        <v>179.15638460472852</v>
      </c>
      <c r="J563" s="134">
        <f t="shared" si="52"/>
        <v>5148.7885924741222</v>
      </c>
      <c r="K563" s="136">
        <f>Variables!$C$15</f>
        <v>1</v>
      </c>
      <c r="L563" s="137">
        <f t="shared" si="53"/>
        <v>5148.7885924741222</v>
      </c>
      <c r="N563" s="138">
        <f>Variables!$E$30*Variables!$C$19</f>
        <v>2.2291759999999998</v>
      </c>
      <c r="O563" s="87">
        <f t="shared" si="54"/>
        <v>11477.555959417094</v>
      </c>
      <c r="P563" s="145">
        <f>Variables!$E$29</f>
        <v>48.483938529092256</v>
      </c>
      <c r="Q563" s="146">
        <f t="shared" si="55"/>
        <v>249633.54961680679</v>
      </c>
    </row>
    <row r="564" spans="1:17">
      <c r="A564" s="101">
        <v>44</v>
      </c>
      <c r="B564" s="85" t="s">
        <v>108</v>
      </c>
      <c r="C564" s="101">
        <v>2030</v>
      </c>
      <c r="D564" s="133">
        <f>Population!O45</f>
        <v>79282.636567785739</v>
      </c>
      <c r="E564" s="133" t="str">
        <f t="shared" si="56"/>
        <v>Small</v>
      </c>
      <c r="F564" s="133"/>
      <c r="G564" s="134">
        <f>Variables!$C$3*POWER(SUM(1,Variables!$C$2/100),C564-2017)</f>
        <v>22734.357728802763</v>
      </c>
      <c r="H564" s="134">
        <f t="shared" ref="H564:H567" si="57">1647.41-417.73*LN(G564)+29.43*(LN(G564))^2</f>
        <v>418.54451333225234</v>
      </c>
      <c r="I564" s="135">
        <f>VLOOKUP(B564,'Waste per capita'!$B$2:$F$48,4,FALSE)*(H564/Variables!$C$6)</f>
        <v>179.15638460472852</v>
      </c>
      <c r="J564" s="134">
        <f t="shared" ref="J564:J567" si="58">I564*D564/1000</f>
        <v>14203.990529415134</v>
      </c>
      <c r="K564" s="136">
        <f>Variables!$C$15</f>
        <v>1</v>
      </c>
      <c r="L564" s="137">
        <f t="shared" ref="L564:L567" si="59">J564*K564</f>
        <v>14203.990529415134</v>
      </c>
      <c r="N564" s="138">
        <f>Variables!$E$30*Variables!$C$19</f>
        <v>2.2291759999999998</v>
      </c>
      <c r="O564" s="87">
        <f t="shared" ref="O564:O567" si="60">N564*L564</f>
        <v>31663.194792399507</v>
      </c>
      <c r="P564" s="145">
        <f>Variables!$E$29</f>
        <v>48.483938529092256</v>
      </c>
      <c r="Q564" s="146">
        <f t="shared" ref="Q564:Q567" si="61">P564*J564</f>
        <v>688665.40369597194</v>
      </c>
    </row>
    <row r="565" spans="1:17">
      <c r="A565" s="101">
        <v>45</v>
      </c>
      <c r="B565" s="139" t="s">
        <v>64</v>
      </c>
      <c r="C565" s="101">
        <v>2030</v>
      </c>
      <c r="D565" s="133">
        <f>Population!O46</f>
        <v>28235.718737235569</v>
      </c>
      <c r="E565" s="133" t="str">
        <f t="shared" si="56"/>
        <v>Small</v>
      </c>
      <c r="F565" s="133"/>
      <c r="G565" s="134">
        <f>Variables!$C$3*POWER(SUM(1,Variables!$C$2/100),C565-2017)</f>
        <v>22734.357728802763</v>
      </c>
      <c r="H565" s="134">
        <f t="shared" si="57"/>
        <v>418.54451333225234</v>
      </c>
      <c r="I565" s="135">
        <f>VLOOKUP(B565,'Waste per capita'!$B$2:$F$48,4,FALSE)*(H565/Variables!$C$6)</f>
        <v>179.15638460472852</v>
      </c>
      <c r="J565" s="134">
        <f t="shared" si="58"/>
        <v>5058.6092856791147</v>
      </c>
      <c r="K565" s="136">
        <f>Variables!$C$15</f>
        <v>1</v>
      </c>
      <c r="L565" s="137">
        <f t="shared" si="59"/>
        <v>5058.6092856791147</v>
      </c>
      <c r="N565" s="138">
        <f>Variables!$E$30*Variables!$C$19</f>
        <v>2.2291759999999998</v>
      </c>
      <c r="O565" s="87">
        <f t="shared" si="60"/>
        <v>11276.530413013026</v>
      </c>
      <c r="P565" s="145">
        <f>Variables!$E$29</f>
        <v>48.483938529092256</v>
      </c>
      <c r="Q565" s="146">
        <f t="shared" si="61"/>
        <v>245261.30164956147</v>
      </c>
    </row>
    <row r="566" spans="1:17">
      <c r="A566" s="101">
        <v>46</v>
      </c>
      <c r="B566" s="139" t="s">
        <v>65</v>
      </c>
      <c r="C566" s="101">
        <v>2030</v>
      </c>
      <c r="D566" s="133">
        <f>Population!O47</f>
        <v>36087.343269223456</v>
      </c>
      <c r="E566" s="133" t="str">
        <f t="shared" si="56"/>
        <v>Small</v>
      </c>
      <c r="F566" s="133"/>
      <c r="G566" s="134">
        <f>Variables!$C$3*POWER(SUM(1,Variables!$C$2/100),C566-2017)</f>
        <v>22734.357728802763</v>
      </c>
      <c r="H566" s="134">
        <f t="shared" si="57"/>
        <v>418.54451333225234</v>
      </c>
      <c r="I566" s="135">
        <f>VLOOKUP(B566,'Waste per capita'!$B$2:$F$48,4,FALSE)*(H566/Variables!$C$6)</f>
        <v>198.18045406967951</v>
      </c>
      <c r="J566" s="134">
        <f t="shared" si="58"/>
        <v>7151.8060752630972</v>
      </c>
      <c r="K566" s="136">
        <f>Variables!$C$15</f>
        <v>1</v>
      </c>
      <c r="L566" s="137">
        <f t="shared" si="59"/>
        <v>7151.8060752630972</v>
      </c>
      <c r="N566" s="138">
        <f>Variables!$E$30*Variables!$C$19</f>
        <v>2.2291759999999998</v>
      </c>
      <c r="O566" s="87">
        <f t="shared" si="60"/>
        <v>15942.634459630688</v>
      </c>
      <c r="P566" s="145">
        <f>Variables!$E$29</f>
        <v>48.483938529092256</v>
      </c>
      <c r="Q566" s="146">
        <f t="shared" si="61"/>
        <v>346747.72612504457</v>
      </c>
    </row>
    <row r="567" spans="1:17">
      <c r="A567" s="101">
        <v>47</v>
      </c>
      <c r="B567" s="85" t="s">
        <v>107</v>
      </c>
      <c r="C567" s="101">
        <v>2030</v>
      </c>
      <c r="D567" s="133">
        <f>Population!O48</f>
        <v>80657.5974649665</v>
      </c>
      <c r="E567" s="133" t="str">
        <f t="shared" si="56"/>
        <v>Small</v>
      </c>
      <c r="F567" s="133"/>
      <c r="G567" s="134">
        <f>Variables!$C$3*POWER(SUM(1,Variables!$C$2/100),C567-2017)</f>
        <v>22734.357728802763</v>
      </c>
      <c r="H567" s="134">
        <f t="shared" si="57"/>
        <v>418.54451333225234</v>
      </c>
      <c r="I567" s="135">
        <f>VLOOKUP(B567,'Waste per capita'!$B$2:$F$48,4,FALSE)*(H567/Variables!$C$6)</f>
        <v>179.15638460472852</v>
      </c>
      <c r="J567" s="134">
        <f t="shared" si="58"/>
        <v>14450.323552726913</v>
      </c>
      <c r="K567" s="136">
        <f>Variables!$C$15</f>
        <v>1</v>
      </c>
      <c r="L567" s="137">
        <f t="shared" si="59"/>
        <v>14450.323552726913</v>
      </c>
      <c r="N567" s="138">
        <f>Variables!$E$30*Variables!$C$19</f>
        <v>2.2291759999999998</v>
      </c>
      <c r="O567" s="87">
        <f t="shared" si="60"/>
        <v>32212.314455973567</v>
      </c>
      <c r="P567" s="145">
        <f>Variables!$E$29</f>
        <v>48.483938529092256</v>
      </c>
      <c r="Q567" s="146">
        <f t="shared" si="61"/>
        <v>700608.5988559057</v>
      </c>
    </row>
    <row r="568" spans="1:17" ht="18">
      <c r="D568" s="133"/>
      <c r="G568" s="140"/>
      <c r="H568" s="140"/>
      <c r="I568" s="141"/>
      <c r="J568" s="131"/>
      <c r="K568" s="131"/>
      <c r="L568" s="142"/>
      <c r="O568" s="156">
        <f>SUM(O4:O567)</f>
        <v>144923792.27660796</v>
      </c>
      <c r="Q568" s="156">
        <f>SUM(Q4:Q567)</f>
        <v>3152050908.560833</v>
      </c>
    </row>
    <row r="569" spans="1:17">
      <c r="G569" s="140"/>
      <c r="H569" s="140"/>
      <c r="I569" s="141"/>
      <c r="J569" s="131"/>
      <c r="K569" s="131"/>
      <c r="L569" s="142"/>
    </row>
    <row r="570" spans="1:17">
      <c r="G570" s="140"/>
      <c r="H570" s="140"/>
      <c r="I570" s="141"/>
      <c r="J570" s="131"/>
      <c r="K570" s="131"/>
      <c r="L570" s="142"/>
    </row>
    <row r="571" spans="1:17">
      <c r="G571" s="140"/>
      <c r="H571" s="140"/>
      <c r="I571" s="141"/>
      <c r="J571" s="131"/>
      <c r="K571" s="131"/>
      <c r="L571" s="142"/>
    </row>
    <row r="572" spans="1:17">
      <c r="G572" s="140"/>
      <c r="H572" s="140"/>
      <c r="I572" s="141"/>
      <c r="J572" s="131"/>
      <c r="K572" s="131"/>
      <c r="L572" s="142"/>
    </row>
    <row r="573" spans="1:17">
      <c r="G573" s="140"/>
      <c r="H573" s="140"/>
      <c r="I573" s="141"/>
      <c r="J573" s="131"/>
      <c r="K573" s="131"/>
      <c r="L573" s="142"/>
    </row>
    <row r="574" spans="1:17">
      <c r="G574" s="140"/>
      <c r="H574" s="140"/>
      <c r="I574" s="141"/>
      <c r="J574" s="131"/>
      <c r="K574" s="131"/>
      <c r="L574" s="142"/>
    </row>
    <row r="575" spans="1:17">
      <c r="G575" s="140"/>
      <c r="H575" s="140"/>
      <c r="I575" s="141"/>
      <c r="J575" s="131"/>
      <c r="K575" s="131"/>
      <c r="L575" s="142"/>
    </row>
    <row r="576" spans="1:17">
      <c r="G576" s="140"/>
      <c r="H576" s="140"/>
      <c r="I576" s="141"/>
      <c r="J576" s="131"/>
      <c r="K576" s="131"/>
      <c r="L576" s="142"/>
    </row>
    <row r="577" spans="7:12">
      <c r="G577" s="140"/>
      <c r="H577" s="140"/>
      <c r="I577" s="141"/>
      <c r="J577" s="131"/>
      <c r="K577" s="131"/>
      <c r="L577" s="142"/>
    </row>
    <row r="578" spans="7:12">
      <c r="G578" s="140"/>
      <c r="H578" s="140"/>
      <c r="I578" s="141"/>
      <c r="J578" s="131"/>
      <c r="K578" s="131"/>
      <c r="L578" s="142"/>
    </row>
    <row r="579" spans="7:12">
      <c r="G579" s="140"/>
      <c r="H579" s="140"/>
      <c r="I579" s="141"/>
      <c r="J579" s="131"/>
      <c r="K579" s="131"/>
      <c r="L579" s="142"/>
    </row>
    <row r="580" spans="7:12">
      <c r="G580" s="140"/>
      <c r="H580" s="140"/>
      <c r="I580" s="141"/>
      <c r="J580" s="131"/>
      <c r="K580" s="131"/>
      <c r="L580" s="142"/>
    </row>
    <row r="581" spans="7:12">
      <c r="G581" s="140"/>
      <c r="H581" s="140"/>
      <c r="I581" s="141"/>
      <c r="J581" s="131"/>
      <c r="K581" s="131"/>
      <c r="L581" s="142"/>
    </row>
    <row r="582" spans="7:12">
      <c r="G582" s="140"/>
      <c r="H582" s="140"/>
      <c r="I582" s="141"/>
      <c r="J582" s="131"/>
      <c r="K582" s="131"/>
      <c r="L582" s="142"/>
    </row>
    <row r="583" spans="7:12">
      <c r="G583" s="140"/>
      <c r="H583" s="140"/>
      <c r="I583" s="141"/>
      <c r="J583" s="131"/>
      <c r="K583" s="131"/>
      <c r="L583" s="142"/>
    </row>
    <row r="584" spans="7:12">
      <c r="G584" s="140"/>
      <c r="H584" s="140"/>
      <c r="I584" s="141"/>
      <c r="J584" s="131"/>
      <c r="K584" s="131"/>
      <c r="L584" s="142"/>
    </row>
    <row r="585" spans="7:12">
      <c r="G585" s="140"/>
      <c r="H585" s="140"/>
      <c r="I585" s="141"/>
      <c r="J585" s="131"/>
      <c r="K585" s="131"/>
      <c r="L585" s="142"/>
    </row>
    <row r="586" spans="7:12">
      <c r="G586" s="140"/>
      <c r="H586" s="140"/>
      <c r="I586" s="141"/>
      <c r="J586" s="131"/>
      <c r="K586" s="131"/>
      <c r="L586" s="142"/>
    </row>
    <row r="587" spans="7:12">
      <c r="G587" s="140"/>
      <c r="H587" s="140"/>
      <c r="I587" s="141"/>
      <c r="J587" s="131"/>
      <c r="K587" s="131"/>
      <c r="L587" s="142"/>
    </row>
    <row r="588" spans="7:12">
      <c r="G588" s="140"/>
      <c r="H588" s="140"/>
      <c r="I588" s="141"/>
      <c r="J588" s="131"/>
      <c r="K588" s="131"/>
      <c r="L588" s="142"/>
    </row>
    <row r="589" spans="7:12">
      <c r="G589" s="140"/>
      <c r="H589" s="140"/>
      <c r="I589" s="141"/>
      <c r="J589" s="131"/>
      <c r="K589" s="131"/>
      <c r="L589" s="142"/>
    </row>
    <row r="590" spans="7:12">
      <c r="G590" s="140"/>
      <c r="H590" s="140"/>
      <c r="I590" s="141"/>
      <c r="J590" s="131"/>
      <c r="K590" s="131"/>
      <c r="L590" s="142"/>
    </row>
    <row r="591" spans="7:12">
      <c r="G591" s="140"/>
      <c r="H591" s="140"/>
      <c r="I591" s="141"/>
      <c r="J591" s="131"/>
      <c r="K591" s="131"/>
      <c r="L591" s="142"/>
    </row>
    <row r="592" spans="7:12">
      <c r="G592" s="140"/>
      <c r="H592" s="140"/>
      <c r="I592" s="141"/>
      <c r="J592" s="131"/>
      <c r="K592" s="131"/>
      <c r="L592" s="142"/>
    </row>
    <row r="593" spans="7:12">
      <c r="G593" s="140"/>
      <c r="H593" s="140"/>
      <c r="I593" s="141"/>
      <c r="J593" s="131"/>
      <c r="K593" s="131"/>
      <c r="L593" s="142"/>
    </row>
    <row r="594" spans="7:12">
      <c r="G594" s="140"/>
      <c r="H594" s="140"/>
      <c r="I594" s="141"/>
      <c r="J594" s="131"/>
      <c r="K594" s="131"/>
      <c r="L594" s="142"/>
    </row>
    <row r="595" spans="7:12">
      <c r="G595" s="140"/>
      <c r="H595" s="140"/>
      <c r="I595" s="141"/>
      <c r="J595" s="131"/>
      <c r="K595" s="131"/>
      <c r="L595" s="142"/>
    </row>
    <row r="596" spans="7:12">
      <c r="G596" s="140"/>
      <c r="H596" s="140"/>
      <c r="I596" s="141"/>
      <c r="J596" s="131"/>
      <c r="K596" s="131"/>
      <c r="L596" s="142"/>
    </row>
    <row r="597" spans="7:12">
      <c r="G597" s="140"/>
      <c r="H597" s="140"/>
      <c r="I597" s="141"/>
      <c r="J597" s="131"/>
      <c r="K597" s="131"/>
      <c r="L597" s="142"/>
    </row>
    <row r="598" spans="7:12">
      <c r="G598" s="140"/>
      <c r="H598" s="140"/>
      <c r="I598" s="141"/>
      <c r="J598" s="131"/>
      <c r="K598" s="131"/>
      <c r="L598" s="142"/>
    </row>
    <row r="599" spans="7:12">
      <c r="G599" s="140"/>
      <c r="H599" s="140"/>
      <c r="I599" s="141"/>
      <c r="J599" s="131"/>
      <c r="K599" s="131"/>
      <c r="L599" s="142"/>
    </row>
    <row r="600" spans="7:12">
      <c r="G600" s="140"/>
      <c r="H600" s="140"/>
      <c r="I600" s="141"/>
      <c r="J600" s="131"/>
      <c r="K600" s="131"/>
      <c r="L600" s="142"/>
    </row>
    <row r="601" spans="7:12">
      <c r="G601" s="140"/>
      <c r="H601" s="140"/>
      <c r="I601" s="141"/>
      <c r="J601" s="131"/>
      <c r="K601" s="131"/>
      <c r="L601" s="142"/>
    </row>
    <row r="602" spans="7:12">
      <c r="G602" s="140"/>
      <c r="H602" s="140"/>
      <c r="I602" s="141"/>
      <c r="J602" s="131"/>
      <c r="K602" s="131"/>
      <c r="L602" s="142"/>
    </row>
    <row r="603" spans="7:12">
      <c r="G603" s="140"/>
      <c r="H603" s="140"/>
      <c r="I603" s="141"/>
      <c r="J603" s="131"/>
      <c r="K603" s="131"/>
      <c r="L603" s="142"/>
    </row>
    <row r="604" spans="7:12">
      <c r="G604" s="140"/>
      <c r="H604" s="140"/>
      <c r="I604" s="141"/>
      <c r="J604" s="131"/>
      <c r="K604" s="131"/>
      <c r="L604" s="142"/>
    </row>
    <row r="605" spans="7:12">
      <c r="G605" s="140"/>
      <c r="H605" s="140"/>
      <c r="I605" s="141"/>
      <c r="J605" s="131"/>
      <c r="K605" s="131"/>
      <c r="L605" s="142"/>
    </row>
    <row r="606" spans="7:12">
      <c r="G606" s="140"/>
      <c r="H606" s="140"/>
      <c r="I606" s="141"/>
      <c r="J606" s="131"/>
      <c r="K606" s="131"/>
      <c r="L606" s="142"/>
    </row>
    <row r="607" spans="7:12">
      <c r="G607" s="140"/>
      <c r="H607" s="140"/>
      <c r="I607" s="141"/>
      <c r="J607" s="131"/>
      <c r="K607" s="131"/>
      <c r="L607" s="142"/>
    </row>
    <row r="608" spans="7:12">
      <c r="G608" s="140"/>
      <c r="H608" s="140"/>
      <c r="I608" s="141"/>
      <c r="J608" s="131"/>
      <c r="K608" s="131"/>
      <c r="L608" s="142"/>
    </row>
    <row r="609" spans="7:12">
      <c r="G609" s="140"/>
      <c r="H609" s="140"/>
      <c r="I609" s="141"/>
      <c r="J609" s="131"/>
      <c r="K609" s="131"/>
      <c r="L609" s="142"/>
    </row>
    <row r="610" spans="7:12">
      <c r="G610" s="140"/>
      <c r="H610" s="140"/>
      <c r="I610" s="141"/>
      <c r="J610" s="131"/>
      <c r="K610" s="131"/>
      <c r="L610" s="142"/>
    </row>
    <row r="611" spans="7:12">
      <c r="G611" s="140"/>
      <c r="H611" s="140"/>
      <c r="I611" s="141"/>
      <c r="J611" s="131"/>
      <c r="K611" s="131"/>
      <c r="L611" s="142"/>
    </row>
    <row r="612" spans="7:12">
      <c r="G612" s="140"/>
      <c r="H612" s="140"/>
      <c r="I612" s="141"/>
      <c r="J612" s="131"/>
      <c r="K612" s="131"/>
      <c r="L612" s="142"/>
    </row>
    <row r="613" spans="7:12">
      <c r="G613" s="140"/>
      <c r="H613" s="140"/>
      <c r="I613" s="141"/>
      <c r="J613" s="131"/>
      <c r="K613" s="131"/>
      <c r="L613" s="142"/>
    </row>
    <row r="614" spans="7:12">
      <c r="G614" s="140"/>
      <c r="H614" s="140"/>
      <c r="I614" s="141"/>
      <c r="J614" s="131"/>
      <c r="K614" s="131"/>
      <c r="L614" s="142"/>
    </row>
    <row r="615" spans="7:12">
      <c r="G615" s="140"/>
      <c r="H615" s="140"/>
      <c r="I615" s="141"/>
      <c r="J615" s="131"/>
      <c r="K615" s="131"/>
      <c r="L615" s="142"/>
    </row>
    <row r="616" spans="7:12">
      <c r="G616" s="140"/>
      <c r="H616" s="140"/>
      <c r="I616" s="141"/>
      <c r="J616" s="131"/>
      <c r="K616" s="131"/>
      <c r="L616" s="142"/>
    </row>
    <row r="617" spans="7:12">
      <c r="G617" s="140"/>
      <c r="H617" s="140"/>
      <c r="I617" s="141"/>
      <c r="J617" s="131"/>
      <c r="K617" s="131"/>
      <c r="L617" s="142"/>
    </row>
    <row r="618" spans="7:12">
      <c r="G618" s="140"/>
      <c r="H618" s="140"/>
      <c r="I618" s="141"/>
      <c r="J618" s="131"/>
      <c r="K618" s="131"/>
      <c r="L618" s="142"/>
    </row>
    <row r="619" spans="7:12">
      <c r="G619" s="140"/>
      <c r="H619" s="140"/>
      <c r="I619" s="141"/>
      <c r="J619" s="131"/>
      <c r="K619" s="131"/>
      <c r="L619" s="142"/>
    </row>
    <row r="620" spans="7:12">
      <c r="G620" s="140"/>
      <c r="H620" s="140"/>
      <c r="I620" s="141"/>
      <c r="J620" s="131"/>
      <c r="K620" s="131"/>
      <c r="L620" s="142"/>
    </row>
    <row r="621" spans="7:12">
      <c r="G621" s="140"/>
      <c r="H621" s="140"/>
      <c r="I621" s="141"/>
      <c r="J621" s="131"/>
      <c r="K621" s="131"/>
      <c r="L621" s="142"/>
    </row>
    <row r="622" spans="7:12">
      <c r="G622" s="140"/>
      <c r="H622" s="140"/>
      <c r="I622" s="141"/>
      <c r="J622" s="131"/>
      <c r="K622" s="131"/>
      <c r="L622" s="142"/>
    </row>
    <row r="623" spans="7:12">
      <c r="G623" s="140"/>
      <c r="H623" s="140"/>
      <c r="I623" s="141"/>
      <c r="J623" s="131"/>
      <c r="K623" s="131"/>
      <c r="L623" s="142"/>
    </row>
    <row r="624" spans="7:12">
      <c r="G624" s="140"/>
      <c r="H624" s="140"/>
      <c r="I624" s="141"/>
      <c r="J624" s="131"/>
      <c r="K624" s="131"/>
      <c r="L624" s="142"/>
    </row>
    <row r="625" spans="7:12">
      <c r="G625" s="140"/>
      <c r="H625" s="140"/>
      <c r="I625" s="141"/>
      <c r="J625" s="131"/>
      <c r="K625" s="131"/>
      <c r="L625" s="142"/>
    </row>
    <row r="626" spans="7:12">
      <c r="G626" s="140"/>
      <c r="H626" s="140"/>
      <c r="I626" s="141"/>
      <c r="J626" s="131"/>
      <c r="K626" s="131"/>
      <c r="L626" s="142"/>
    </row>
    <row r="627" spans="7:12">
      <c r="G627" s="140"/>
      <c r="H627" s="140"/>
      <c r="I627" s="141"/>
      <c r="J627" s="131"/>
      <c r="K627" s="131"/>
      <c r="L627" s="142"/>
    </row>
    <row r="628" spans="7:12">
      <c r="G628" s="140"/>
      <c r="H628" s="140"/>
      <c r="I628" s="141"/>
      <c r="J628" s="131"/>
      <c r="K628" s="131"/>
      <c r="L628" s="142"/>
    </row>
    <row r="629" spans="7:12">
      <c r="G629" s="140"/>
      <c r="H629" s="140"/>
      <c r="I629" s="141"/>
      <c r="J629" s="131"/>
      <c r="K629" s="131"/>
      <c r="L629" s="142"/>
    </row>
    <row r="630" spans="7:12">
      <c r="G630" s="140"/>
      <c r="H630" s="140"/>
      <c r="I630" s="141"/>
      <c r="J630" s="131"/>
      <c r="K630" s="131"/>
      <c r="L630" s="142"/>
    </row>
    <row r="631" spans="7:12">
      <c r="G631" s="140"/>
      <c r="H631" s="140"/>
      <c r="I631" s="141"/>
      <c r="J631" s="131"/>
      <c r="K631" s="131"/>
      <c r="L631" s="142"/>
    </row>
    <row r="632" spans="7:12">
      <c r="G632" s="140"/>
      <c r="H632" s="140"/>
      <c r="I632" s="141"/>
      <c r="J632" s="131"/>
      <c r="K632" s="131"/>
      <c r="L632" s="142"/>
    </row>
    <row r="633" spans="7:12">
      <c r="G633" s="140"/>
      <c r="H633" s="140"/>
      <c r="I633" s="141"/>
      <c r="J633" s="131"/>
      <c r="K633" s="131"/>
      <c r="L633" s="142"/>
    </row>
    <row r="634" spans="7:12">
      <c r="G634" s="140"/>
      <c r="H634" s="140"/>
      <c r="I634" s="141"/>
      <c r="J634" s="131"/>
      <c r="K634" s="131"/>
      <c r="L634" s="142"/>
    </row>
    <row r="635" spans="7:12">
      <c r="G635" s="140"/>
      <c r="H635" s="140"/>
      <c r="I635" s="141"/>
      <c r="J635" s="131"/>
      <c r="K635" s="131"/>
      <c r="L635" s="142"/>
    </row>
    <row r="636" spans="7:12">
      <c r="G636" s="140"/>
      <c r="H636" s="140"/>
      <c r="I636" s="141"/>
      <c r="J636" s="131"/>
      <c r="K636" s="131"/>
      <c r="L636" s="142"/>
    </row>
    <row r="637" spans="7:12">
      <c r="G637" s="140"/>
      <c r="H637" s="140"/>
      <c r="I637" s="141"/>
      <c r="J637" s="131"/>
      <c r="K637" s="131"/>
      <c r="L637" s="142"/>
    </row>
  </sheetData>
  <mergeCells count="9">
    <mergeCell ref="G1:L1"/>
    <mergeCell ref="S2:V2"/>
    <mergeCell ref="W2:X2"/>
    <mergeCell ref="S1:X1"/>
    <mergeCell ref="G2:J2"/>
    <mergeCell ref="K2:L2"/>
    <mergeCell ref="N2:O2"/>
    <mergeCell ref="P2:Q2"/>
    <mergeCell ref="N1:Q1"/>
  </mergeCells>
  <conditionalFormatting sqref="I1:I1048576">
    <cfRule type="duplicateValues" dxfId="7" priority="7"/>
  </conditionalFormatting>
  <conditionalFormatting sqref="W1:W1048576">
    <cfRule type="cellIs" dxfId="6" priority="5" operator="equal">
      <formula>$W$4</formula>
    </cfRule>
    <cfRule type="cellIs" dxfId="5" priority="4" operator="equal">
      <formula>$W$21</formula>
    </cfRule>
    <cfRule type="cellIs" dxfId="4" priority="3" operator="equal">
      <formula>$W$34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F15F21C6-1509-49E2-BFCE-62AADE93A3A6}">
            <xm:f>Variables!$C$7</xm:f>
            <x14:dxf>
              <font>
                <color rgb="FFFF0000"/>
              </font>
            </x14:dxf>
          </x14:cfRule>
          <xm:sqref>G1:L1048576</xm:sqref>
        </x14:conditionalFormatting>
        <x14:conditionalFormatting xmlns:xm="http://schemas.microsoft.com/office/excel/2006/main">
          <x14:cfRule type="cellIs" priority="6" operator="equal" id="{B71AA2A4-0CBB-429F-AC9C-FBAF87F38232}">
            <xm:f>Variables!$E$12</xm:f>
            <x14:dxf>
              <font>
                <color rgb="FFFF0000"/>
              </font>
            </x14:dxf>
          </x14:cfRule>
          <xm:sqref>S1:X2 T3:W3 S4:X1048576</xm:sqref>
        </x14:conditionalFormatting>
        <x14:conditionalFormatting xmlns:xm="http://schemas.microsoft.com/office/excel/2006/main">
          <x14:cfRule type="cellIs" priority="2" operator="equal" id="{949359CF-705E-4A9B-A06A-08997D7672B8}">
            <xm:f>Variables!$E$12</xm:f>
            <x14:dxf>
              <font>
                <color rgb="FFFF0000"/>
              </font>
            </x14:dxf>
          </x14:cfRule>
          <xm:sqref>Y3</xm:sqref>
        </x14:conditionalFormatting>
        <x14:conditionalFormatting xmlns:xm="http://schemas.microsoft.com/office/excel/2006/main">
          <x14:cfRule type="cellIs" priority="1" operator="equal" id="{FA558A1A-77BD-49A7-B2B2-CF970D9BC2FB}">
            <xm:f>Variables!$E$12</xm:f>
            <x14:dxf>
              <font>
                <color rgb="FFFF0000"/>
              </font>
            </x14:dxf>
          </x14:cfRule>
          <xm:sqref>X3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8BA44-6E42-4B23-9743-D8B6DA9BA0E0}">
  <dimension ref="A1:E22"/>
  <sheetViews>
    <sheetView workbookViewId="0">
      <selection activeCell="B21" sqref="B21"/>
    </sheetView>
  </sheetViews>
  <sheetFormatPr baseColWidth="10" defaultColWidth="8.83203125" defaultRowHeight="16"/>
  <cols>
    <col min="1" max="1" width="63.33203125" bestFit="1" customWidth="1"/>
    <col min="2" max="2" width="16.1640625" customWidth="1"/>
    <col min="3" max="3" width="7.6640625" customWidth="1"/>
    <col min="5" max="5" width="10.83203125" bestFit="1" customWidth="1"/>
  </cols>
  <sheetData>
    <row r="1" spans="1:5" ht="68">
      <c r="A1" s="103" t="s">
        <v>143</v>
      </c>
    </row>
    <row r="2" spans="1:5">
      <c r="A2" t="s">
        <v>144</v>
      </c>
    </row>
    <row r="3" spans="1:5" ht="17" thickBot="1"/>
    <row r="4" spans="1:5" ht="17" thickBot="1">
      <c r="A4" s="107" t="s">
        <v>149</v>
      </c>
      <c r="B4" s="108"/>
    </row>
    <row r="5" spans="1:5">
      <c r="A5" s="125" t="s">
        <v>112</v>
      </c>
      <c r="B5" s="109">
        <v>500000</v>
      </c>
    </row>
    <row r="6" spans="1:5">
      <c r="A6" s="126" t="s">
        <v>113</v>
      </c>
      <c r="B6" s="110">
        <v>110000</v>
      </c>
    </row>
    <row r="7" spans="1:5">
      <c r="A7" s="126" t="s">
        <v>114</v>
      </c>
      <c r="B7" s="111">
        <v>20</v>
      </c>
    </row>
    <row r="8" spans="1:5">
      <c r="A8" s="126" t="s">
        <v>131</v>
      </c>
      <c r="B8" s="111">
        <v>11</v>
      </c>
    </row>
    <row r="9" spans="1:5">
      <c r="A9" s="126" t="s">
        <v>115</v>
      </c>
      <c r="B9" s="111">
        <f>200000/10^4</f>
        <v>20</v>
      </c>
    </row>
    <row r="10" spans="1:5" ht="17" thickBot="1">
      <c r="A10" s="127" t="s">
        <v>116</v>
      </c>
      <c r="B10" s="112">
        <f>B7*B5</f>
        <v>10000000</v>
      </c>
    </row>
    <row r="11" spans="1:5" s="99" customFormat="1" ht="17" thickBot="1">
      <c r="B11" s="100"/>
    </row>
    <row r="12" spans="1:5" ht="17" thickBot="1">
      <c r="A12" s="107" t="s">
        <v>149</v>
      </c>
      <c r="B12" s="108"/>
      <c r="E12" s="102"/>
    </row>
    <row r="13" spans="1:5">
      <c r="A13" s="119" t="s">
        <v>119</v>
      </c>
      <c r="B13" s="128">
        <v>400000</v>
      </c>
      <c r="E13" s="102"/>
    </row>
    <row r="14" spans="1:5">
      <c r="A14" s="120" t="s">
        <v>120</v>
      </c>
      <c r="B14" s="113">
        <v>1200000</v>
      </c>
    </row>
    <row r="15" spans="1:5">
      <c r="A15" s="129" t="s">
        <v>121</v>
      </c>
      <c r="B15" s="130">
        <v>250000</v>
      </c>
    </row>
    <row r="16" spans="1:5">
      <c r="A16" s="120" t="s">
        <v>122</v>
      </c>
      <c r="B16" s="114">
        <f>(B13*Variables!$C$26)*Variables!$E$27/Variables!$C$17</f>
        <v>544000</v>
      </c>
    </row>
    <row r="17" spans="1:4">
      <c r="A17" s="120" t="s">
        <v>123</v>
      </c>
      <c r="B17" s="114">
        <f>(B14*Variables!$C$26)*Variables!$E$27/Variables!$C$17</f>
        <v>1632000</v>
      </c>
    </row>
    <row r="18" spans="1:4" ht="17" thickBot="1">
      <c r="A18" s="120" t="s">
        <v>124</v>
      </c>
      <c r="B18" s="114">
        <f>(B15*Variables!$C$26)*Variables!$E$27/Variables!$C$17</f>
        <v>340000</v>
      </c>
      <c r="D18" s="3"/>
    </row>
    <row r="19" spans="1:4">
      <c r="A19" s="121" t="s">
        <v>139</v>
      </c>
      <c r="B19" s="117">
        <f>B16/$B$5</f>
        <v>1.0880000000000001</v>
      </c>
    </row>
    <row r="20" spans="1:4">
      <c r="A20" s="122" t="s">
        <v>140</v>
      </c>
      <c r="B20" s="115">
        <f t="shared" ref="B20:B21" si="0">B17/$B$5</f>
        <v>3.2639999999999998</v>
      </c>
    </row>
    <row r="21" spans="1:4" ht="17" thickBot="1">
      <c r="A21" s="123" t="s">
        <v>141</v>
      </c>
      <c r="B21" s="118">
        <f t="shared" si="0"/>
        <v>0.68</v>
      </c>
    </row>
    <row r="22" spans="1:4" ht="17" thickBot="1">
      <c r="A22" s="124" t="s">
        <v>142</v>
      </c>
      <c r="B22" s="116">
        <f>SUM(B19:B21)</f>
        <v>5.032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DF26F-A88F-45B0-8D83-24625190E750}">
  <dimension ref="A1:AB1000"/>
  <sheetViews>
    <sheetView topLeftCell="A17" workbookViewId="0">
      <selection activeCell="C45" sqref="C45"/>
    </sheetView>
  </sheetViews>
  <sheetFormatPr baseColWidth="10" defaultColWidth="11.33203125" defaultRowHeight="16"/>
  <cols>
    <col min="1" max="1" width="3.1640625" style="29" bestFit="1" customWidth="1"/>
    <col min="2" max="16384" width="11.33203125" style="29"/>
  </cols>
  <sheetData>
    <row r="1" spans="1:28" ht="17" thickBot="1">
      <c r="A1" s="42"/>
      <c r="B1" s="43"/>
      <c r="C1" s="44">
        <v>2018</v>
      </c>
      <c r="D1" s="44">
        <v>2019</v>
      </c>
      <c r="E1" s="44">
        <v>2020</v>
      </c>
      <c r="F1" s="44">
        <v>2021</v>
      </c>
      <c r="G1" s="44">
        <v>2022</v>
      </c>
      <c r="H1" s="44">
        <v>2023</v>
      </c>
      <c r="I1" s="44">
        <v>2024</v>
      </c>
      <c r="J1" s="44">
        <v>2025</v>
      </c>
      <c r="K1" s="44">
        <v>2026</v>
      </c>
      <c r="L1" s="44">
        <v>2027</v>
      </c>
      <c r="M1" s="44">
        <v>2028</v>
      </c>
      <c r="N1" s="44">
        <v>2029</v>
      </c>
      <c r="O1" s="44">
        <v>2030</v>
      </c>
      <c r="P1" s="26"/>
      <c r="Q1" s="26"/>
      <c r="R1" s="26"/>
      <c r="S1" s="27"/>
      <c r="T1" s="28"/>
      <c r="U1" s="26"/>
      <c r="V1" s="26"/>
      <c r="W1" s="26"/>
      <c r="X1" s="26"/>
      <c r="Y1" s="26"/>
      <c r="Z1" s="26"/>
      <c r="AA1" s="26"/>
      <c r="AB1" s="26"/>
    </row>
    <row r="2" spans="1:28" ht="14.25" customHeight="1">
      <c r="A2" s="30">
        <v>1</v>
      </c>
      <c r="B2" s="45" t="s">
        <v>21</v>
      </c>
      <c r="C2" s="46">
        <v>7181469</v>
      </c>
      <c r="D2" s="46">
        <v>7289191.0349999992</v>
      </c>
      <c r="E2" s="46">
        <v>7398528.9005249981</v>
      </c>
      <c r="F2" s="46">
        <v>7509506.8340328718</v>
      </c>
      <c r="G2" s="46">
        <v>7622149.4365433641</v>
      </c>
      <c r="H2" s="46">
        <v>7736481.6780915139</v>
      </c>
      <c r="I2" s="46">
        <v>7852528.9032628844</v>
      </c>
      <c r="J2" s="46">
        <v>7970316.8368118266</v>
      </c>
      <c r="K2" s="46">
        <v>8089871.5893640034</v>
      </c>
      <c r="L2" s="46">
        <v>8211219.6632044623</v>
      </c>
      <c r="M2" s="46">
        <v>8334387.9581525289</v>
      </c>
      <c r="N2" s="46">
        <v>8459403.7775248159</v>
      </c>
      <c r="O2" s="46">
        <v>8586294.8341876864</v>
      </c>
      <c r="P2" s="32"/>
      <c r="Q2" s="11"/>
      <c r="R2" s="11"/>
      <c r="S2" s="33"/>
      <c r="T2" s="34"/>
      <c r="U2" s="11"/>
      <c r="V2" s="11"/>
      <c r="W2" s="11"/>
      <c r="X2" s="11"/>
      <c r="Y2" s="11"/>
      <c r="Z2" s="11"/>
      <c r="AA2" s="11"/>
      <c r="AB2" s="11"/>
    </row>
    <row r="3" spans="1:28" ht="14.25" customHeight="1">
      <c r="A3" s="30">
        <v>2</v>
      </c>
      <c r="B3" s="45" t="s">
        <v>22</v>
      </c>
      <c r="C3" s="46">
        <v>2372330</v>
      </c>
      <c r="D3" s="46">
        <v>2407914.9499999997</v>
      </c>
      <c r="E3" s="46">
        <v>2444033.6742499992</v>
      </c>
      <c r="F3" s="46">
        <v>2480694.179363749</v>
      </c>
      <c r="G3" s="46">
        <v>2517904.592054205</v>
      </c>
      <c r="H3" s="46">
        <v>2555673.1609350177</v>
      </c>
      <c r="I3" s="46">
        <v>2594008.2583490424</v>
      </c>
      <c r="J3" s="46">
        <v>2632918.3822242776</v>
      </c>
      <c r="K3" s="46">
        <v>2672412.1579576414</v>
      </c>
      <c r="L3" s="46">
        <v>2712498.3403270058</v>
      </c>
      <c r="M3" s="46">
        <v>2753185.8154319106</v>
      </c>
      <c r="N3" s="46">
        <v>2794483.6026633889</v>
      </c>
      <c r="O3" s="46">
        <v>2836400.8567033391</v>
      </c>
      <c r="P3" s="32"/>
      <c r="Q3" s="11"/>
      <c r="R3" s="11"/>
      <c r="S3" s="32"/>
      <c r="T3" s="34"/>
      <c r="U3" s="11"/>
      <c r="V3" s="11"/>
      <c r="W3" s="11"/>
      <c r="X3" s="11"/>
      <c r="Y3" s="11"/>
      <c r="Z3" s="11"/>
      <c r="AA3" s="11"/>
      <c r="AB3" s="11"/>
    </row>
    <row r="4" spans="1:28" ht="14.25" customHeight="1">
      <c r="A4" s="30">
        <v>3</v>
      </c>
      <c r="B4" s="45" t="s">
        <v>23</v>
      </c>
      <c r="C4" s="46">
        <v>1822869</v>
      </c>
      <c r="D4" s="46">
        <v>1850212.0349999999</v>
      </c>
      <c r="E4" s="46">
        <v>1877965.2155249994</v>
      </c>
      <c r="F4" s="46">
        <v>1906134.6937578742</v>
      </c>
      <c r="G4" s="46">
        <v>1934726.7141642421</v>
      </c>
      <c r="H4" s="46">
        <v>1963747.6148767055</v>
      </c>
      <c r="I4" s="46">
        <v>1993203.8290998556</v>
      </c>
      <c r="J4" s="46">
        <v>2023101.8865363533</v>
      </c>
      <c r="K4" s="46">
        <v>2053448.4148343983</v>
      </c>
      <c r="L4" s="46">
        <v>2084250.1410569141</v>
      </c>
      <c r="M4" s="46">
        <v>2115513.8931727675</v>
      </c>
      <c r="N4" s="46">
        <v>2147246.601570359</v>
      </c>
      <c r="O4" s="46">
        <v>2179455.3005939135</v>
      </c>
      <c r="P4" s="32"/>
      <c r="Q4" s="11"/>
      <c r="R4" s="11"/>
      <c r="S4" s="32"/>
      <c r="T4" s="34"/>
      <c r="U4" s="11"/>
      <c r="V4" s="11"/>
      <c r="W4" s="11"/>
      <c r="X4" s="11"/>
      <c r="Y4" s="11"/>
      <c r="Z4" s="11"/>
      <c r="AA4" s="11"/>
      <c r="AB4" s="11"/>
    </row>
    <row r="5" spans="1:28" ht="14.25" customHeight="1">
      <c r="A5" s="30">
        <v>4</v>
      </c>
      <c r="B5" s="45" t="s">
        <v>24</v>
      </c>
      <c r="C5" s="35">
        <v>1120103</v>
      </c>
      <c r="D5" s="46">
        <v>1136904.5449999999</v>
      </c>
      <c r="E5" s="46">
        <v>1153958.1131749996</v>
      </c>
      <c r="F5" s="46">
        <v>1171267.4848726245</v>
      </c>
      <c r="G5" s="46">
        <v>1188836.4971457138</v>
      </c>
      <c r="H5" s="46">
        <v>1206669.0446028993</v>
      </c>
      <c r="I5" s="46">
        <v>1224769.0802719425</v>
      </c>
      <c r="J5" s="46">
        <v>1243140.6164760215</v>
      </c>
      <c r="K5" s="46">
        <v>1261787.7257231618</v>
      </c>
      <c r="L5" s="46">
        <v>1280714.541609009</v>
      </c>
      <c r="M5" s="46">
        <v>1299925.259733144</v>
      </c>
      <c r="N5" s="46">
        <v>1319424.138629141</v>
      </c>
      <c r="O5" s="46">
        <v>1339215.5007085777</v>
      </c>
      <c r="P5" s="32"/>
      <c r="Q5" s="11"/>
      <c r="R5" s="11"/>
      <c r="S5" s="32"/>
      <c r="T5" s="34"/>
      <c r="U5" s="11"/>
      <c r="V5" s="11"/>
      <c r="W5" s="11"/>
      <c r="X5" s="11"/>
      <c r="Y5" s="11"/>
      <c r="Z5" s="11"/>
      <c r="AA5" s="11"/>
      <c r="AB5" s="11"/>
    </row>
    <row r="6" spans="1:28" ht="14.25" customHeight="1">
      <c r="A6" s="30">
        <v>5</v>
      </c>
      <c r="B6" s="45" t="s">
        <v>25</v>
      </c>
      <c r="C6" s="35">
        <v>528855</v>
      </c>
      <c r="D6" s="46">
        <v>536787.82499999995</v>
      </c>
      <c r="E6" s="46">
        <v>544839.64237499982</v>
      </c>
      <c r="F6" s="46">
        <v>553012.23701062484</v>
      </c>
      <c r="G6" s="46">
        <v>561307.42056578409</v>
      </c>
      <c r="H6" s="46">
        <v>569727.03187427076</v>
      </c>
      <c r="I6" s="46">
        <v>578272.93735238467</v>
      </c>
      <c r="J6" s="46">
        <v>586947.03141267039</v>
      </c>
      <c r="K6" s="46">
        <v>595751.23688386043</v>
      </c>
      <c r="L6" s="46">
        <v>604687.50543711823</v>
      </c>
      <c r="M6" s="46">
        <v>613757.81801867497</v>
      </c>
      <c r="N6" s="46">
        <v>622964.18528895499</v>
      </c>
      <c r="O6" s="46">
        <v>632308.64806828916</v>
      </c>
      <c r="P6" s="32"/>
      <c r="Q6" s="11"/>
      <c r="R6" s="11"/>
      <c r="S6" s="32"/>
      <c r="T6" s="34"/>
      <c r="U6" s="11"/>
      <c r="V6" s="11"/>
      <c r="W6" s="11"/>
      <c r="X6" s="11"/>
      <c r="Y6" s="11"/>
      <c r="Z6" s="11"/>
      <c r="AA6" s="11"/>
      <c r="AB6" s="11"/>
    </row>
    <row r="7" spans="1:28" ht="14.25" customHeight="1">
      <c r="A7" s="30">
        <v>6</v>
      </c>
      <c r="B7" s="45" t="s">
        <v>26</v>
      </c>
      <c r="C7" s="35">
        <v>887946</v>
      </c>
      <c r="D7" s="46">
        <v>901265.19</v>
      </c>
      <c r="E7" s="46">
        <v>914784.16784999974</v>
      </c>
      <c r="F7" s="46">
        <v>928505.93036774965</v>
      </c>
      <c r="G7" s="46">
        <v>942433.51932326576</v>
      </c>
      <c r="H7" s="46">
        <v>956570.0221131146</v>
      </c>
      <c r="I7" s="46">
        <v>970918.57244481111</v>
      </c>
      <c r="J7" s="46">
        <v>985482.35103148315</v>
      </c>
      <c r="K7" s="46">
        <v>1000264.5862969554</v>
      </c>
      <c r="L7" s="46">
        <v>1015268.5550914095</v>
      </c>
      <c r="M7" s="46">
        <v>1030497.5834177806</v>
      </c>
      <c r="N7" s="46">
        <v>1045955.0471690472</v>
      </c>
      <c r="O7" s="46">
        <v>1061644.3728765827</v>
      </c>
      <c r="P7" s="32"/>
      <c r="Q7" s="11"/>
      <c r="R7" s="11"/>
      <c r="S7" s="32"/>
      <c r="T7" s="34"/>
      <c r="U7" s="11"/>
      <c r="V7" s="11"/>
      <c r="W7" s="11"/>
      <c r="X7" s="11"/>
      <c r="Y7" s="11"/>
      <c r="Z7" s="11"/>
      <c r="AA7" s="11"/>
      <c r="AB7" s="11"/>
    </row>
    <row r="8" spans="1:28" ht="14.25" customHeight="1">
      <c r="A8" s="30">
        <v>7</v>
      </c>
      <c r="B8" s="45" t="s">
        <v>27</v>
      </c>
      <c r="C8" s="35">
        <v>629414</v>
      </c>
      <c r="D8" s="46">
        <v>638855.21</v>
      </c>
      <c r="E8" s="46">
        <v>648438.0381499998</v>
      </c>
      <c r="F8" s="46">
        <v>658164.60872224974</v>
      </c>
      <c r="G8" s="46">
        <v>668037.07785308338</v>
      </c>
      <c r="H8" s="46">
        <v>678057.63402087952</v>
      </c>
      <c r="I8" s="46">
        <v>688228.49853119266</v>
      </c>
      <c r="J8" s="46">
        <v>698551.92600916035</v>
      </c>
      <c r="K8" s="46">
        <v>709030.20489929779</v>
      </c>
      <c r="L8" s="46">
        <v>719665.65797278716</v>
      </c>
      <c r="M8" s="46">
        <v>730460.64284237882</v>
      </c>
      <c r="N8" s="46">
        <v>741417.55248501443</v>
      </c>
      <c r="O8" s="46">
        <v>752538.81577228953</v>
      </c>
      <c r="P8" s="32"/>
      <c r="Q8" s="11"/>
      <c r="R8" s="11"/>
      <c r="S8" s="32"/>
      <c r="T8" s="34"/>
      <c r="U8" s="11"/>
      <c r="V8" s="11"/>
      <c r="W8" s="11"/>
      <c r="X8" s="11"/>
      <c r="Y8" s="11"/>
      <c r="Z8" s="11"/>
      <c r="AA8" s="11"/>
      <c r="AB8" s="11"/>
    </row>
    <row r="9" spans="1:28" ht="14.25" customHeight="1">
      <c r="A9" s="30">
        <v>8</v>
      </c>
      <c r="B9" s="45" t="s">
        <v>28</v>
      </c>
      <c r="C9" s="35">
        <v>409670</v>
      </c>
      <c r="D9" s="46">
        <v>415815.05</v>
      </c>
      <c r="E9" s="46">
        <v>422052.27574999991</v>
      </c>
      <c r="F9" s="46">
        <v>428383.05988624983</v>
      </c>
      <c r="G9" s="46">
        <v>434808.80578454351</v>
      </c>
      <c r="H9" s="46">
        <v>441330.93787131162</v>
      </c>
      <c r="I9" s="46">
        <v>447950.90193938121</v>
      </c>
      <c r="J9" s="46">
        <v>454670.16546847182</v>
      </c>
      <c r="K9" s="46">
        <v>461490.21795049892</v>
      </c>
      <c r="L9" s="46">
        <v>468412.57121975633</v>
      </c>
      <c r="M9" s="46">
        <v>475438.75978805259</v>
      </c>
      <c r="N9" s="46">
        <v>482570.34118487337</v>
      </c>
      <c r="O9" s="46">
        <v>489808.89630264632</v>
      </c>
      <c r="P9" s="32"/>
      <c r="Q9" s="11"/>
      <c r="R9" s="11"/>
      <c r="S9" s="32"/>
      <c r="T9" s="34"/>
      <c r="U9" s="11"/>
      <c r="V9" s="11"/>
      <c r="W9" s="11"/>
      <c r="X9" s="11"/>
      <c r="Y9" s="11"/>
      <c r="Z9" s="11"/>
      <c r="AA9" s="11"/>
      <c r="AB9" s="11"/>
    </row>
    <row r="10" spans="1:28" ht="14.25" customHeight="1">
      <c r="A10" s="30">
        <v>9</v>
      </c>
      <c r="B10" s="45" t="s">
        <v>29</v>
      </c>
      <c r="C10" s="35">
        <v>479853</v>
      </c>
      <c r="D10" s="46">
        <v>487050.79499999993</v>
      </c>
      <c r="E10" s="46">
        <v>494356.55692499987</v>
      </c>
      <c r="F10" s="46">
        <v>501771.90527887479</v>
      </c>
      <c r="G10" s="46">
        <v>509298.48385805788</v>
      </c>
      <c r="H10" s="46">
        <v>516937.96111592866</v>
      </c>
      <c r="I10" s="46">
        <v>524692.03053266753</v>
      </c>
      <c r="J10" s="46">
        <v>532562.4109906574</v>
      </c>
      <c r="K10" s="46">
        <v>540550.8471555172</v>
      </c>
      <c r="L10" s="46">
        <v>548659.10986284993</v>
      </c>
      <c r="M10" s="46">
        <v>556888.99651079264</v>
      </c>
      <c r="N10" s="46">
        <v>565242.33145845449</v>
      </c>
      <c r="O10" s="46">
        <v>573720.96643033111</v>
      </c>
      <c r="P10" s="32"/>
      <c r="Q10" s="11"/>
      <c r="R10" s="11"/>
      <c r="S10" s="32"/>
      <c r="T10" s="34"/>
      <c r="U10" s="11"/>
      <c r="V10" s="11"/>
      <c r="W10" s="11"/>
      <c r="X10" s="11"/>
      <c r="Y10" s="11"/>
      <c r="Z10" s="11"/>
      <c r="AA10" s="11"/>
      <c r="AB10" s="11"/>
    </row>
    <row r="11" spans="1:28" ht="14.25" customHeight="1">
      <c r="A11" s="30">
        <v>10</v>
      </c>
      <c r="B11" s="45" t="s">
        <v>30</v>
      </c>
      <c r="C11" s="35">
        <v>500686</v>
      </c>
      <c r="D11" s="46">
        <v>508196.29</v>
      </c>
      <c r="E11" s="46">
        <v>515819.23434999987</v>
      </c>
      <c r="F11" s="46">
        <v>523556.52286524978</v>
      </c>
      <c r="G11" s="46">
        <v>531409.87070822844</v>
      </c>
      <c r="H11" s="46">
        <v>539381.01876885188</v>
      </c>
      <c r="I11" s="46">
        <v>547471.73405038449</v>
      </c>
      <c r="J11" s="46">
        <v>555683.81006114022</v>
      </c>
      <c r="K11" s="46">
        <v>564019.06721205718</v>
      </c>
      <c r="L11" s="46">
        <v>572479.353220238</v>
      </c>
      <c r="M11" s="46">
        <v>581066.5435185415</v>
      </c>
      <c r="N11" s="46">
        <v>589782.54167131963</v>
      </c>
      <c r="O11" s="46">
        <v>598629.27979638928</v>
      </c>
      <c r="P11" s="32"/>
      <c r="Q11" s="11"/>
      <c r="R11" s="11"/>
      <c r="S11" s="32"/>
      <c r="T11" s="34"/>
      <c r="U11" s="11"/>
      <c r="V11" s="11"/>
      <c r="W11" s="11"/>
      <c r="X11" s="11"/>
      <c r="Y11" s="11"/>
      <c r="Z11" s="11"/>
      <c r="AA11" s="11"/>
      <c r="AB11" s="11"/>
    </row>
    <row r="12" spans="1:28" ht="14.25" customHeight="1">
      <c r="A12" s="30">
        <v>11</v>
      </c>
      <c r="B12" s="45" t="s">
        <v>31</v>
      </c>
      <c r="C12" s="35">
        <v>352326</v>
      </c>
      <c r="D12" s="46">
        <v>357610.88999999996</v>
      </c>
      <c r="E12" s="46">
        <v>362975.05334999989</v>
      </c>
      <c r="F12" s="46">
        <v>368419.67915024987</v>
      </c>
      <c r="G12" s="46">
        <v>373945.97433750355</v>
      </c>
      <c r="H12" s="46">
        <v>379555.16395256604</v>
      </c>
      <c r="I12" s="46">
        <v>385248.49141185445</v>
      </c>
      <c r="J12" s="46">
        <v>391027.21878303221</v>
      </c>
      <c r="K12" s="46">
        <v>396892.62706477765</v>
      </c>
      <c r="L12" s="46">
        <v>402846.01647074928</v>
      </c>
      <c r="M12" s="46">
        <v>408888.70671781048</v>
      </c>
      <c r="N12" s="46">
        <v>415022.03731857758</v>
      </c>
      <c r="O12" s="46">
        <v>421247.36787835619</v>
      </c>
      <c r="P12" s="32"/>
      <c r="Q12" s="11"/>
      <c r="R12" s="11"/>
      <c r="S12" s="32"/>
      <c r="T12" s="34"/>
      <c r="U12" s="11"/>
      <c r="V12" s="11"/>
      <c r="W12" s="11"/>
      <c r="X12" s="11"/>
      <c r="Y12" s="11"/>
      <c r="Z12" s="11"/>
      <c r="AA12" s="11"/>
      <c r="AB12" s="11"/>
    </row>
    <row r="13" spans="1:28" ht="14.25" customHeight="1">
      <c r="A13" s="30">
        <v>12</v>
      </c>
      <c r="B13" s="45" t="s">
        <v>32</v>
      </c>
      <c r="C13" s="35">
        <v>400436</v>
      </c>
      <c r="D13" s="46">
        <v>406442.54</v>
      </c>
      <c r="E13" s="46">
        <v>412539.1780999999</v>
      </c>
      <c r="F13" s="46">
        <v>418727.26577149983</v>
      </c>
      <c r="G13" s="46">
        <v>425008.17475807224</v>
      </c>
      <c r="H13" s="46">
        <v>431383.29737944331</v>
      </c>
      <c r="I13" s="46">
        <v>437854.04684013489</v>
      </c>
      <c r="J13" s="46">
        <v>444421.85754273681</v>
      </c>
      <c r="K13" s="46">
        <v>451088.18540587783</v>
      </c>
      <c r="L13" s="46">
        <v>457854.50818696595</v>
      </c>
      <c r="M13" s="46">
        <v>464722.32580977038</v>
      </c>
      <c r="N13" s="46">
        <v>471693.16069691686</v>
      </c>
      <c r="O13" s="46">
        <v>478768.55810737051</v>
      </c>
      <c r="P13" s="32"/>
      <c r="Q13" s="11"/>
      <c r="R13" s="11"/>
      <c r="S13" s="32"/>
      <c r="T13" s="34"/>
      <c r="U13" s="11"/>
      <c r="V13" s="11"/>
      <c r="W13" s="11"/>
      <c r="X13" s="11"/>
      <c r="Y13" s="11"/>
      <c r="Z13" s="11"/>
      <c r="AA13" s="11"/>
      <c r="AB13" s="11"/>
    </row>
    <row r="14" spans="1:28" ht="14.25" customHeight="1">
      <c r="A14" s="30">
        <v>13</v>
      </c>
      <c r="B14" s="45" t="s">
        <v>33</v>
      </c>
      <c r="C14" s="35">
        <v>451212</v>
      </c>
      <c r="D14" s="46">
        <v>457980.17999999993</v>
      </c>
      <c r="E14" s="46">
        <v>464849.8826999999</v>
      </c>
      <c r="F14" s="46">
        <v>471822.63094049983</v>
      </c>
      <c r="G14" s="46">
        <v>478899.97040460724</v>
      </c>
      <c r="H14" s="46">
        <v>486083.46996067627</v>
      </c>
      <c r="I14" s="46">
        <v>493374.72201008635</v>
      </c>
      <c r="J14" s="46">
        <v>500775.34284023754</v>
      </c>
      <c r="K14" s="46">
        <v>508286.97298284108</v>
      </c>
      <c r="L14" s="46">
        <v>515911.27757758362</v>
      </c>
      <c r="M14" s="46">
        <v>523649.94674124732</v>
      </c>
      <c r="N14" s="46">
        <v>531504.69594236603</v>
      </c>
      <c r="O14" s="46">
        <v>539477.26638150134</v>
      </c>
      <c r="P14" s="32"/>
      <c r="Q14" s="11"/>
      <c r="R14" s="11"/>
      <c r="S14" s="32"/>
      <c r="T14" s="34"/>
      <c r="U14" s="11"/>
      <c r="V14" s="11"/>
      <c r="W14" s="11"/>
      <c r="X14" s="11"/>
      <c r="Y14" s="11"/>
      <c r="Z14" s="11"/>
      <c r="AA14" s="11"/>
      <c r="AB14" s="11"/>
    </row>
    <row r="15" spans="1:28" ht="14.25" customHeight="1">
      <c r="A15" s="30">
        <v>14</v>
      </c>
      <c r="B15" s="45" t="s">
        <v>34</v>
      </c>
      <c r="C15" s="35">
        <v>314526</v>
      </c>
      <c r="D15" s="46">
        <v>319243.88999999996</v>
      </c>
      <c r="E15" s="46">
        <v>324032.54834999994</v>
      </c>
      <c r="F15" s="46">
        <v>328893.03657524986</v>
      </c>
      <c r="G15" s="46">
        <v>333826.43212387856</v>
      </c>
      <c r="H15" s="46">
        <v>338833.82860573672</v>
      </c>
      <c r="I15" s="46">
        <v>343916.33603482269</v>
      </c>
      <c r="J15" s="46">
        <v>349075.08107534499</v>
      </c>
      <c r="K15" s="46">
        <v>354311.20729147515</v>
      </c>
      <c r="L15" s="46">
        <v>359625.87540084723</v>
      </c>
      <c r="M15" s="46">
        <v>365020.26353185985</v>
      </c>
      <c r="N15" s="46">
        <v>370495.56748483772</v>
      </c>
      <c r="O15" s="46">
        <v>376053.00099711021</v>
      </c>
      <c r="P15" s="32"/>
      <c r="Q15" s="11"/>
      <c r="R15" s="11"/>
      <c r="S15" s="32"/>
      <c r="T15" s="34"/>
      <c r="U15" s="11"/>
      <c r="V15" s="11"/>
      <c r="W15" s="11"/>
      <c r="X15" s="11"/>
      <c r="Y15" s="11"/>
      <c r="Z15" s="11"/>
      <c r="AA15" s="11"/>
      <c r="AB15" s="11"/>
    </row>
    <row r="16" spans="1:28" ht="14.25" customHeight="1">
      <c r="A16" s="30">
        <v>15</v>
      </c>
      <c r="B16" s="45" t="s">
        <v>35</v>
      </c>
      <c r="C16" s="35">
        <v>275641</v>
      </c>
      <c r="D16" s="46">
        <v>279775.61499999999</v>
      </c>
      <c r="E16" s="46">
        <v>283972.24922499992</v>
      </c>
      <c r="F16" s="46">
        <v>288231.83296337491</v>
      </c>
      <c r="G16" s="46">
        <v>292555.31045782549</v>
      </c>
      <c r="H16" s="46">
        <v>296943.6401146928</v>
      </c>
      <c r="I16" s="46">
        <v>301397.79471641313</v>
      </c>
      <c r="J16" s="46">
        <v>305918.76163715927</v>
      </c>
      <c r="K16" s="46">
        <v>310507.54306171666</v>
      </c>
      <c r="L16" s="46">
        <v>315165.15620764234</v>
      </c>
      <c r="M16" s="46">
        <v>319892.63355075696</v>
      </c>
      <c r="N16" s="46">
        <v>324691.02305401827</v>
      </c>
      <c r="O16" s="46">
        <v>329561.38839982852</v>
      </c>
      <c r="P16" s="32"/>
      <c r="Q16" s="11"/>
      <c r="R16" s="11"/>
      <c r="S16" s="32"/>
      <c r="T16" s="34"/>
      <c r="U16" s="11"/>
      <c r="V16" s="11"/>
      <c r="W16" s="11"/>
      <c r="X16" s="11"/>
      <c r="Y16" s="11"/>
      <c r="Z16" s="11"/>
      <c r="AA16" s="11"/>
      <c r="AB16" s="11"/>
    </row>
    <row r="17" spans="1:28" ht="14.25" customHeight="1">
      <c r="A17" s="30">
        <v>16</v>
      </c>
      <c r="B17" s="45" t="s">
        <v>36</v>
      </c>
      <c r="C17" s="35">
        <v>459349</v>
      </c>
      <c r="D17" s="46">
        <v>466239.23499999993</v>
      </c>
      <c r="E17" s="46">
        <v>473232.8235249999</v>
      </c>
      <c r="F17" s="46">
        <v>480331.31587787485</v>
      </c>
      <c r="G17" s="46">
        <v>487536.28561604285</v>
      </c>
      <c r="H17" s="46">
        <v>494849.32990028342</v>
      </c>
      <c r="I17" s="46">
        <v>502272.06984878762</v>
      </c>
      <c r="J17" s="46">
        <v>509806.15089651931</v>
      </c>
      <c r="K17" s="46">
        <v>517453.24315996707</v>
      </c>
      <c r="L17" s="46">
        <v>525215.04180736654</v>
      </c>
      <c r="M17" s="46">
        <v>533093.26743447699</v>
      </c>
      <c r="N17" s="46">
        <v>541089.66644599405</v>
      </c>
      <c r="O17" s="46">
        <v>549206.01144268387</v>
      </c>
      <c r="P17" s="32"/>
      <c r="Q17" s="11"/>
      <c r="R17" s="11"/>
      <c r="S17" s="33"/>
      <c r="T17" s="34"/>
      <c r="U17" s="11"/>
      <c r="V17" s="11"/>
      <c r="W17" s="11"/>
      <c r="X17" s="11"/>
      <c r="Y17" s="11"/>
      <c r="Z17" s="11"/>
      <c r="AA17" s="11"/>
      <c r="AB17" s="11"/>
    </row>
    <row r="18" spans="1:28" ht="14.25" customHeight="1">
      <c r="A18" s="30">
        <v>17</v>
      </c>
      <c r="B18" s="45" t="s">
        <v>37</v>
      </c>
      <c r="C18" s="35">
        <v>433723</v>
      </c>
      <c r="D18" s="46">
        <v>440228.84499999997</v>
      </c>
      <c r="E18" s="46">
        <v>446832.2776749999</v>
      </c>
      <c r="F18" s="46">
        <v>453534.76184012485</v>
      </c>
      <c r="G18" s="46">
        <v>460337.78326772666</v>
      </c>
      <c r="H18" s="46">
        <v>467242.85001674248</v>
      </c>
      <c r="I18" s="46">
        <v>474251.49276699353</v>
      </c>
      <c r="J18" s="46">
        <v>481365.26515849837</v>
      </c>
      <c r="K18" s="46">
        <v>488585.74413587578</v>
      </c>
      <c r="L18" s="46">
        <v>495914.53029791388</v>
      </c>
      <c r="M18" s="46">
        <v>503353.2482523825</v>
      </c>
      <c r="N18" s="46">
        <v>510903.54697616817</v>
      </c>
      <c r="O18" s="46">
        <v>518567.10018081061</v>
      </c>
      <c r="P18" s="32"/>
      <c r="Q18" s="11"/>
      <c r="R18" s="11"/>
      <c r="S18" s="32"/>
      <c r="T18" s="34"/>
      <c r="U18" s="11"/>
      <c r="V18" s="11"/>
      <c r="W18" s="11"/>
      <c r="X18" s="11"/>
      <c r="Y18" s="11"/>
      <c r="Z18" s="11"/>
      <c r="AA18" s="11"/>
      <c r="AB18" s="11"/>
    </row>
    <row r="19" spans="1:28" ht="14.25" customHeight="1">
      <c r="A19" s="30">
        <v>18</v>
      </c>
      <c r="B19" s="45" t="s">
        <v>38</v>
      </c>
      <c r="C19" s="35">
        <v>274622</v>
      </c>
      <c r="D19" s="46">
        <v>278741.32999999996</v>
      </c>
      <c r="E19" s="46">
        <v>282922.44994999992</v>
      </c>
      <c r="F19" s="46">
        <v>287166.28669924987</v>
      </c>
      <c r="G19" s="46">
        <v>291473.78099973861</v>
      </c>
      <c r="H19" s="46">
        <v>295845.88771473465</v>
      </c>
      <c r="I19" s="46">
        <v>300283.57603045559</v>
      </c>
      <c r="J19" s="46">
        <v>304787.82967091241</v>
      </c>
      <c r="K19" s="46">
        <v>309359.64711597603</v>
      </c>
      <c r="L19" s="46">
        <v>314000.04182271566</v>
      </c>
      <c r="M19" s="46">
        <v>318710.04245005635</v>
      </c>
      <c r="N19" s="46">
        <v>323490.69308680715</v>
      </c>
      <c r="O19" s="46">
        <v>328343.05348310916</v>
      </c>
      <c r="P19" s="32"/>
      <c r="Q19" s="11"/>
      <c r="R19" s="11"/>
      <c r="S19" s="32"/>
      <c r="T19" s="34"/>
      <c r="U19" s="11"/>
      <c r="V19" s="11"/>
      <c r="W19" s="11"/>
      <c r="X19" s="11"/>
      <c r="Y19" s="11"/>
      <c r="Z19" s="11"/>
      <c r="AA19" s="11"/>
      <c r="AB19" s="11"/>
    </row>
    <row r="20" spans="1:28" ht="14.25" customHeight="1">
      <c r="A20" s="30">
        <v>19</v>
      </c>
      <c r="B20" s="45" t="s">
        <v>39</v>
      </c>
      <c r="C20" s="35">
        <v>277270</v>
      </c>
      <c r="D20" s="46">
        <v>281429.05</v>
      </c>
      <c r="E20" s="46">
        <v>285650.48574999993</v>
      </c>
      <c r="F20" s="46">
        <v>289935.24303624989</v>
      </c>
      <c r="G20" s="46">
        <v>294284.27168179362</v>
      </c>
      <c r="H20" s="46">
        <v>298698.53575702047</v>
      </c>
      <c r="I20" s="46">
        <v>303179.01379337569</v>
      </c>
      <c r="J20" s="46">
        <v>307726.69900027628</v>
      </c>
      <c r="K20" s="46">
        <v>312342.5994852804</v>
      </c>
      <c r="L20" s="46">
        <v>317027.73847755959</v>
      </c>
      <c r="M20" s="46">
        <v>321783.15455472295</v>
      </c>
      <c r="N20" s="46">
        <v>326609.90187304374</v>
      </c>
      <c r="O20" s="46">
        <v>331509.05040113931</v>
      </c>
      <c r="P20" s="32"/>
      <c r="Q20" s="11"/>
      <c r="R20" s="11"/>
      <c r="S20" s="32"/>
      <c r="T20" s="34"/>
      <c r="U20" s="11"/>
      <c r="V20" s="11"/>
      <c r="W20" s="11"/>
      <c r="X20" s="11"/>
      <c r="Y20" s="11"/>
      <c r="Z20" s="11"/>
      <c r="AA20" s="11"/>
      <c r="AB20" s="11"/>
    </row>
    <row r="21" spans="1:28" ht="14.25" customHeight="1">
      <c r="A21" s="30">
        <v>20</v>
      </c>
      <c r="B21" s="45" t="s">
        <v>40</v>
      </c>
      <c r="C21" s="35">
        <v>167991</v>
      </c>
      <c r="D21" s="46">
        <v>170510.86499999999</v>
      </c>
      <c r="E21" s="46">
        <v>173068.52797499995</v>
      </c>
      <c r="F21" s="46">
        <v>175664.55589462494</v>
      </c>
      <c r="G21" s="46">
        <v>178299.52423304427</v>
      </c>
      <c r="H21" s="46">
        <v>180974.01709653993</v>
      </c>
      <c r="I21" s="46">
        <v>183688.627352988</v>
      </c>
      <c r="J21" s="46">
        <v>186443.95676328277</v>
      </c>
      <c r="K21" s="46">
        <v>189240.61611473199</v>
      </c>
      <c r="L21" s="46">
        <v>192079.22535645295</v>
      </c>
      <c r="M21" s="46">
        <v>194960.41373679973</v>
      </c>
      <c r="N21" s="46">
        <v>197884.8199428517</v>
      </c>
      <c r="O21" s="46">
        <v>200853.09224199443</v>
      </c>
      <c r="P21" s="32"/>
      <c r="Q21" s="11"/>
      <c r="R21" s="11"/>
      <c r="S21" s="32"/>
      <c r="T21" s="34"/>
      <c r="U21" s="11"/>
      <c r="V21" s="11"/>
      <c r="W21" s="11"/>
      <c r="X21" s="11"/>
      <c r="Y21" s="11"/>
      <c r="Z21" s="11"/>
      <c r="AA21" s="11"/>
      <c r="AB21" s="11"/>
    </row>
    <row r="22" spans="1:28" ht="14.25" customHeight="1">
      <c r="A22" s="30">
        <v>21</v>
      </c>
      <c r="B22" s="45" t="s">
        <v>41</v>
      </c>
      <c r="C22" s="35">
        <v>177573</v>
      </c>
      <c r="D22" s="46">
        <v>180236.59499999997</v>
      </c>
      <c r="E22" s="46">
        <v>182940.14392499995</v>
      </c>
      <c r="F22" s="46">
        <v>185684.24608387492</v>
      </c>
      <c r="G22" s="46">
        <v>188469.50977513302</v>
      </c>
      <c r="H22" s="46">
        <v>191296.55242175999</v>
      </c>
      <c r="I22" s="46">
        <v>194166.00070808636</v>
      </c>
      <c r="J22" s="46">
        <v>197078.49071870762</v>
      </c>
      <c r="K22" s="46">
        <v>200034.66807948821</v>
      </c>
      <c r="L22" s="46">
        <v>203035.18810068051</v>
      </c>
      <c r="M22" s="46">
        <v>206080.71592219069</v>
      </c>
      <c r="N22" s="46">
        <v>209171.92666102355</v>
      </c>
      <c r="O22" s="46">
        <v>212309.50556093885</v>
      </c>
      <c r="P22" s="11"/>
      <c r="Q22" s="11"/>
      <c r="R22" s="11"/>
      <c r="S22" s="11"/>
      <c r="T22" s="34"/>
      <c r="U22" s="11"/>
      <c r="V22" s="11"/>
      <c r="W22" s="11"/>
      <c r="X22" s="11"/>
      <c r="Y22" s="11"/>
      <c r="Z22" s="11"/>
      <c r="AA22" s="11"/>
      <c r="AB22" s="11"/>
    </row>
    <row r="23" spans="1:28" ht="14.25" customHeight="1">
      <c r="A23" s="30">
        <v>22</v>
      </c>
      <c r="B23" s="45" t="s">
        <v>42</v>
      </c>
      <c r="C23" s="35">
        <v>156789</v>
      </c>
      <c r="D23" s="46">
        <v>159140.83499999999</v>
      </c>
      <c r="E23" s="46">
        <v>161527.94752499997</v>
      </c>
      <c r="F23" s="46">
        <v>163950.86673787495</v>
      </c>
      <c r="G23" s="46">
        <v>166410.12973894304</v>
      </c>
      <c r="H23" s="46">
        <v>168906.28168502715</v>
      </c>
      <c r="I23" s="46">
        <v>171439.87591030254</v>
      </c>
      <c r="J23" s="46">
        <v>174011.47404895705</v>
      </c>
      <c r="K23" s="46">
        <v>176621.64615969139</v>
      </c>
      <c r="L23" s="46">
        <v>179270.97085208673</v>
      </c>
      <c r="M23" s="46">
        <v>181960.03541486801</v>
      </c>
      <c r="N23" s="46">
        <v>184689.43594609102</v>
      </c>
      <c r="O23" s="46">
        <v>187459.77748528233</v>
      </c>
      <c r="P23" s="11"/>
      <c r="Q23" s="11"/>
      <c r="R23" s="11"/>
      <c r="S23" s="11"/>
      <c r="T23" s="34"/>
      <c r="U23" s="11"/>
      <c r="V23" s="11"/>
      <c r="W23" s="11"/>
      <c r="X23" s="11"/>
      <c r="Y23" s="11"/>
      <c r="Z23" s="11"/>
      <c r="AA23" s="11"/>
      <c r="AB23" s="11"/>
    </row>
    <row r="24" spans="1:28" ht="14.25" customHeight="1">
      <c r="A24" s="30">
        <v>23</v>
      </c>
      <c r="B24" s="45" t="s">
        <v>43</v>
      </c>
      <c r="C24" s="35">
        <v>120679</v>
      </c>
      <c r="D24" s="46">
        <v>122489.18499999998</v>
      </c>
      <c r="E24" s="46">
        <v>124326.52277499996</v>
      </c>
      <c r="F24" s="46">
        <v>126191.42061662495</v>
      </c>
      <c r="G24" s="46">
        <v>128084.29192587431</v>
      </c>
      <c r="H24" s="46">
        <v>130005.5563047624</v>
      </c>
      <c r="I24" s="46">
        <v>131955.63964933381</v>
      </c>
      <c r="J24" s="46">
        <v>133934.97424407379</v>
      </c>
      <c r="K24" s="46">
        <v>135943.9988577349</v>
      </c>
      <c r="L24" s="46">
        <v>137983.1588406009</v>
      </c>
      <c r="M24" s="46">
        <v>140052.90622320989</v>
      </c>
      <c r="N24" s="46">
        <v>142153.69981655804</v>
      </c>
      <c r="O24" s="46">
        <v>144286.00531380638</v>
      </c>
      <c r="P24" s="11"/>
      <c r="Q24" s="11"/>
      <c r="R24" s="11"/>
      <c r="S24" s="11"/>
      <c r="T24" s="34"/>
      <c r="U24" s="11"/>
      <c r="V24" s="11"/>
      <c r="W24" s="11"/>
      <c r="X24" s="11"/>
      <c r="Y24" s="11"/>
      <c r="Z24" s="11"/>
      <c r="AA24" s="11"/>
      <c r="AB24" s="11"/>
    </row>
    <row r="25" spans="1:28" ht="14.25" customHeight="1">
      <c r="A25" s="30">
        <v>24</v>
      </c>
      <c r="B25" s="45" t="s">
        <v>44</v>
      </c>
      <c r="C25" s="35">
        <v>75735</v>
      </c>
      <c r="D25" s="46">
        <v>76871.024999999994</v>
      </c>
      <c r="E25" s="46">
        <v>78024.090374999985</v>
      </c>
      <c r="F25" s="46">
        <v>79194.451730624976</v>
      </c>
      <c r="G25" s="46">
        <v>80382.368506584331</v>
      </c>
      <c r="H25" s="46">
        <v>81588.104034183081</v>
      </c>
      <c r="I25" s="46">
        <v>82811.925594695815</v>
      </c>
      <c r="J25" s="46">
        <v>84054.104478616238</v>
      </c>
      <c r="K25" s="46">
        <v>85314.916045795471</v>
      </c>
      <c r="L25" s="46">
        <v>86594.639786482396</v>
      </c>
      <c r="M25" s="46">
        <v>87893.559383279629</v>
      </c>
      <c r="N25" s="46">
        <v>89211.962774028812</v>
      </c>
      <c r="O25" s="46">
        <v>90550.142215639222</v>
      </c>
      <c r="P25" s="11"/>
      <c r="Q25" s="11"/>
      <c r="R25" s="11"/>
      <c r="S25" s="11"/>
      <c r="T25" s="34"/>
      <c r="U25" s="11"/>
      <c r="V25" s="11"/>
      <c r="W25" s="11"/>
      <c r="X25" s="11"/>
      <c r="Y25" s="11"/>
      <c r="Z25" s="11"/>
      <c r="AA25" s="11"/>
      <c r="AB25" s="11"/>
    </row>
    <row r="26" spans="1:28" ht="14.25" customHeight="1">
      <c r="A26" s="30">
        <v>25</v>
      </c>
      <c r="B26" s="45" t="s">
        <v>45</v>
      </c>
      <c r="C26" s="35">
        <v>156942</v>
      </c>
      <c r="D26" s="46">
        <v>159296.12999999998</v>
      </c>
      <c r="E26" s="46">
        <v>161685.57194999995</v>
      </c>
      <c r="F26" s="46">
        <v>164110.85552924994</v>
      </c>
      <c r="G26" s="46">
        <v>166572.51836218865</v>
      </c>
      <c r="H26" s="46">
        <v>169071.10613762148</v>
      </c>
      <c r="I26" s="46">
        <v>171607.17272968576</v>
      </c>
      <c r="J26" s="46">
        <v>174181.28032063102</v>
      </c>
      <c r="K26" s="46">
        <v>176793.99952544048</v>
      </c>
      <c r="L26" s="46">
        <v>179445.90951832206</v>
      </c>
      <c r="M26" s="46">
        <v>182137.59816109686</v>
      </c>
      <c r="N26" s="46">
        <v>184869.66213351331</v>
      </c>
      <c r="O26" s="46">
        <v>187642.70706551595</v>
      </c>
      <c r="P26" s="11"/>
      <c r="Q26" s="11"/>
      <c r="R26" s="11"/>
      <c r="S26" s="11"/>
      <c r="T26" s="34"/>
      <c r="U26" s="11"/>
      <c r="V26" s="11"/>
      <c r="W26" s="11"/>
      <c r="X26" s="11"/>
      <c r="Y26" s="11"/>
      <c r="Z26" s="11"/>
      <c r="AA26" s="11"/>
      <c r="AB26" s="11"/>
    </row>
    <row r="27" spans="1:28" ht="14.25" customHeight="1">
      <c r="A27" s="30">
        <v>26</v>
      </c>
      <c r="B27" s="45" t="s">
        <v>46</v>
      </c>
      <c r="C27" s="35">
        <v>42844</v>
      </c>
      <c r="D27" s="46">
        <v>43486.659999999996</v>
      </c>
      <c r="E27" s="46">
        <v>44138.959899999987</v>
      </c>
      <c r="F27" s="46">
        <v>44801.044298499983</v>
      </c>
      <c r="G27" s="46">
        <v>45473.059962977473</v>
      </c>
      <c r="H27" s="46">
        <v>46155.155862422129</v>
      </c>
      <c r="I27" s="46">
        <v>46847.483200358452</v>
      </c>
      <c r="J27" s="46">
        <v>47550.195448363826</v>
      </c>
      <c r="K27" s="46">
        <v>48263.448380089278</v>
      </c>
      <c r="L27" s="46">
        <v>48987.400105790613</v>
      </c>
      <c r="M27" s="46">
        <v>49722.211107377465</v>
      </c>
      <c r="N27" s="46">
        <v>50468.044273988118</v>
      </c>
      <c r="O27" s="46">
        <v>51225.06493809793</v>
      </c>
      <c r="P27" s="11"/>
      <c r="Q27" s="11"/>
      <c r="R27" s="11"/>
      <c r="S27" s="11"/>
      <c r="T27" s="34"/>
      <c r="U27" s="11"/>
      <c r="V27" s="11"/>
      <c r="W27" s="11"/>
      <c r="X27" s="11"/>
      <c r="Y27" s="11"/>
      <c r="Z27" s="11"/>
      <c r="AA27" s="11"/>
      <c r="AB27" s="11"/>
    </row>
    <row r="28" spans="1:28" ht="14.25" customHeight="1">
      <c r="A28" s="30">
        <v>27</v>
      </c>
      <c r="B28" s="45" t="s">
        <v>47</v>
      </c>
      <c r="C28" s="35">
        <v>8035</v>
      </c>
      <c r="D28" s="46">
        <v>8155.5249999999996</v>
      </c>
      <c r="E28" s="46">
        <v>8277.8578749999979</v>
      </c>
      <c r="F28" s="46">
        <v>8402.0257431249975</v>
      </c>
      <c r="G28" s="46">
        <v>8528.0561292718703</v>
      </c>
      <c r="H28" s="46">
        <v>8655.9769712109482</v>
      </c>
      <c r="I28" s="46">
        <v>8785.816625779109</v>
      </c>
      <c r="J28" s="46">
        <v>8917.6038751657943</v>
      </c>
      <c r="K28" s="46">
        <v>9051.3679332932807</v>
      </c>
      <c r="L28" s="46">
        <v>9187.1384522926801</v>
      </c>
      <c r="M28" s="46">
        <v>9324.9455290770693</v>
      </c>
      <c r="N28" s="46">
        <v>9464.8197120132227</v>
      </c>
      <c r="O28" s="46">
        <v>9606.7920076934206</v>
      </c>
      <c r="P28" s="11"/>
      <c r="Q28" s="11"/>
      <c r="R28" s="11"/>
      <c r="S28" s="11"/>
      <c r="T28" s="34"/>
      <c r="U28" s="11"/>
      <c r="V28" s="11"/>
      <c r="W28" s="11"/>
      <c r="X28" s="11"/>
      <c r="Y28" s="11"/>
      <c r="Z28" s="11"/>
      <c r="AA28" s="11"/>
      <c r="AB28" s="11"/>
    </row>
    <row r="29" spans="1:28" ht="14.25" customHeight="1">
      <c r="A29" s="30">
        <v>28</v>
      </c>
      <c r="B29" s="45" t="s">
        <v>48</v>
      </c>
      <c r="C29" s="35">
        <v>48086</v>
      </c>
      <c r="D29" s="46">
        <v>48807.289999999994</v>
      </c>
      <c r="E29" s="46">
        <v>49539.399349999985</v>
      </c>
      <c r="F29" s="46">
        <v>50282.490340249984</v>
      </c>
      <c r="G29" s="46">
        <v>51036.727695353722</v>
      </c>
      <c r="H29" s="46">
        <v>51802.278610784022</v>
      </c>
      <c r="I29" s="46">
        <v>52579.312789945769</v>
      </c>
      <c r="J29" s="46">
        <v>53368.002481794952</v>
      </c>
      <c r="K29" s="46">
        <v>54168.52251902187</v>
      </c>
      <c r="L29" s="46">
        <v>54981.050356807194</v>
      </c>
      <c r="M29" s="46">
        <v>55805.76611215929</v>
      </c>
      <c r="N29" s="46">
        <v>56642.852603841675</v>
      </c>
      <c r="O29" s="46">
        <v>57492.495392899291</v>
      </c>
      <c r="P29" s="11"/>
      <c r="Q29" s="11"/>
      <c r="R29" s="11"/>
      <c r="S29" s="11"/>
      <c r="T29" s="34"/>
      <c r="U29" s="11"/>
      <c r="V29" s="11"/>
      <c r="W29" s="11"/>
      <c r="X29" s="11"/>
      <c r="Y29" s="11"/>
      <c r="Z29" s="11"/>
      <c r="AA29" s="11"/>
      <c r="AB29" s="11"/>
    </row>
    <row r="30" spans="1:28" ht="14.25" customHeight="1">
      <c r="A30" s="30">
        <v>29</v>
      </c>
      <c r="B30" s="45" t="s">
        <v>49</v>
      </c>
      <c r="C30" s="35">
        <v>48422</v>
      </c>
      <c r="D30" s="46">
        <v>49148.329999999994</v>
      </c>
      <c r="E30" s="46">
        <v>49885.554949999983</v>
      </c>
      <c r="F30" s="46">
        <v>50633.838274249982</v>
      </c>
      <c r="G30" s="46">
        <v>51393.345848363722</v>
      </c>
      <c r="H30" s="46">
        <v>52164.246036089171</v>
      </c>
      <c r="I30" s="46">
        <v>52946.709726630499</v>
      </c>
      <c r="J30" s="46">
        <v>53740.91037252995</v>
      </c>
      <c r="K30" s="46">
        <v>54547.024028117892</v>
      </c>
      <c r="L30" s="46">
        <v>55365.229388539658</v>
      </c>
      <c r="M30" s="46">
        <v>56195.70782936774</v>
      </c>
      <c r="N30" s="46">
        <v>57038.643446808252</v>
      </c>
      <c r="O30" s="46">
        <v>57894.223098510367</v>
      </c>
      <c r="P30" s="11"/>
      <c r="Q30" s="11"/>
      <c r="R30" s="11"/>
      <c r="S30" s="11"/>
      <c r="T30" s="34"/>
      <c r="U30" s="11"/>
      <c r="V30" s="11"/>
      <c r="W30" s="11"/>
      <c r="X30" s="11"/>
      <c r="Y30" s="11"/>
      <c r="Z30" s="11"/>
      <c r="AA30" s="11"/>
      <c r="AB30" s="11"/>
    </row>
    <row r="31" spans="1:28" ht="14.25" customHeight="1">
      <c r="A31" s="30">
        <v>30</v>
      </c>
      <c r="B31" s="45" t="s">
        <v>50</v>
      </c>
      <c r="C31" s="35">
        <v>19788</v>
      </c>
      <c r="D31" s="46">
        <v>20084.82</v>
      </c>
      <c r="E31" s="46">
        <v>20386.092299999993</v>
      </c>
      <c r="F31" s="46">
        <v>20691.883684499993</v>
      </c>
      <c r="G31" s="46">
        <v>21002.26193976749</v>
      </c>
      <c r="H31" s="46">
        <v>21317.295868863999</v>
      </c>
      <c r="I31" s="46">
        <v>21637.055306896953</v>
      </c>
      <c r="J31" s="46">
        <v>21961.611136500404</v>
      </c>
      <c r="K31" s="46">
        <v>22291.035303547909</v>
      </c>
      <c r="L31" s="46">
        <v>22625.400833101125</v>
      </c>
      <c r="M31" s="46">
        <v>22964.781845597641</v>
      </c>
      <c r="N31" s="46">
        <v>23309.253573281603</v>
      </c>
      <c r="O31" s="46">
        <v>23658.89237688082</v>
      </c>
      <c r="P31" s="11"/>
      <c r="Q31" s="11"/>
      <c r="R31" s="11"/>
      <c r="S31" s="11"/>
      <c r="T31" s="34"/>
      <c r="U31" s="11"/>
      <c r="V31" s="11"/>
      <c r="W31" s="11"/>
      <c r="X31" s="11"/>
      <c r="Y31" s="11"/>
      <c r="Z31" s="11"/>
      <c r="AA31" s="11"/>
      <c r="AB31" s="11"/>
    </row>
    <row r="32" spans="1:28" ht="14.25" customHeight="1">
      <c r="A32" s="30">
        <v>31</v>
      </c>
      <c r="B32" s="45" t="s">
        <v>51</v>
      </c>
      <c r="C32" s="35">
        <v>30104</v>
      </c>
      <c r="D32" s="46">
        <v>30555.559999999998</v>
      </c>
      <c r="E32" s="46">
        <v>31013.89339999999</v>
      </c>
      <c r="F32" s="46">
        <v>31479.10180099999</v>
      </c>
      <c r="G32" s="46">
        <v>31951.288328014984</v>
      </c>
      <c r="H32" s="46">
        <v>32430.557652935204</v>
      </c>
      <c r="I32" s="46">
        <v>32917.016017729227</v>
      </c>
      <c r="J32" s="46">
        <v>33410.771257995155</v>
      </c>
      <c r="K32" s="46">
        <v>33911.932826865086</v>
      </c>
      <c r="L32" s="46">
        <v>34420.611819268051</v>
      </c>
      <c r="M32" s="46">
        <v>34936.92099655707</v>
      </c>
      <c r="N32" s="46">
        <v>35460.974811505424</v>
      </c>
      <c r="O32" s="46">
        <v>35992.889433677999</v>
      </c>
      <c r="P32" s="11"/>
      <c r="Q32" s="11"/>
      <c r="R32" s="11"/>
      <c r="S32" s="11"/>
      <c r="T32" s="34"/>
      <c r="U32" s="11"/>
      <c r="V32" s="11"/>
      <c r="W32" s="11"/>
      <c r="X32" s="11"/>
      <c r="Y32" s="11"/>
      <c r="Z32" s="11"/>
      <c r="AA32" s="11"/>
      <c r="AB32" s="11"/>
    </row>
    <row r="33" spans="1:28" ht="14.25" customHeight="1">
      <c r="A33" s="30">
        <v>32</v>
      </c>
      <c r="B33" s="45" t="s">
        <v>52</v>
      </c>
      <c r="C33" s="35">
        <v>27709</v>
      </c>
      <c r="D33" s="46">
        <v>28124.634999999998</v>
      </c>
      <c r="E33" s="46">
        <v>28546.504524999993</v>
      </c>
      <c r="F33" s="46">
        <v>28974.702092874988</v>
      </c>
      <c r="G33" s="46">
        <v>29409.322624268108</v>
      </c>
      <c r="H33" s="46">
        <v>29850.462463632128</v>
      </c>
      <c r="I33" s="46">
        <v>30298.219400586604</v>
      </c>
      <c r="J33" s="46">
        <v>30752.692691595399</v>
      </c>
      <c r="K33" s="46">
        <v>31213.983081969327</v>
      </c>
      <c r="L33" s="46">
        <v>31682.192828198862</v>
      </c>
      <c r="M33" s="46">
        <v>32157.425720621843</v>
      </c>
      <c r="N33" s="46">
        <v>32639.787106431166</v>
      </c>
      <c r="O33" s="46">
        <v>33129.383913027625</v>
      </c>
      <c r="P33" s="11"/>
      <c r="Q33" s="11"/>
      <c r="R33" s="11"/>
      <c r="S33" s="11"/>
      <c r="T33" s="34"/>
      <c r="U33" s="11"/>
      <c r="V33" s="11"/>
      <c r="W33" s="11"/>
      <c r="X33" s="11"/>
      <c r="Y33" s="11"/>
      <c r="Z33" s="11"/>
      <c r="AA33" s="11"/>
      <c r="AB33" s="11"/>
    </row>
    <row r="34" spans="1:28" ht="14.25" customHeight="1">
      <c r="A34" s="30">
        <v>33</v>
      </c>
      <c r="B34" s="45" t="s">
        <v>53</v>
      </c>
      <c r="C34" s="35">
        <v>118803</v>
      </c>
      <c r="D34" s="46">
        <v>120585.04499999998</v>
      </c>
      <c r="E34" s="46">
        <v>122393.82067499997</v>
      </c>
      <c r="F34" s="46">
        <v>124229.72798512495</v>
      </c>
      <c r="G34" s="46">
        <v>126093.17390490181</v>
      </c>
      <c r="H34" s="46">
        <v>127984.57151347531</v>
      </c>
      <c r="I34" s="46">
        <v>129904.34008617743</v>
      </c>
      <c r="J34" s="46">
        <v>131852.90518747005</v>
      </c>
      <c r="K34" s="46">
        <v>133830.69876528211</v>
      </c>
      <c r="L34" s="46">
        <v>135838.15924676132</v>
      </c>
      <c r="M34" s="46">
        <v>137875.73163546273</v>
      </c>
      <c r="N34" s="46">
        <v>139943.86760999466</v>
      </c>
      <c r="O34" s="46">
        <v>142043.02562414453</v>
      </c>
      <c r="P34" s="11"/>
      <c r="Q34" s="11"/>
      <c r="R34" s="11"/>
      <c r="S34" s="11"/>
      <c r="T34" s="34"/>
      <c r="U34" s="11"/>
      <c r="V34" s="11"/>
      <c r="W34" s="11"/>
      <c r="X34" s="11"/>
      <c r="Y34" s="11"/>
      <c r="Z34" s="11"/>
      <c r="AA34" s="11"/>
      <c r="AB34" s="11"/>
    </row>
    <row r="35" spans="1:28" ht="14.25" customHeight="1">
      <c r="A35" s="30">
        <v>34</v>
      </c>
      <c r="B35" s="45" t="s">
        <v>54</v>
      </c>
      <c r="C35" s="35">
        <v>105517</v>
      </c>
      <c r="D35" s="46">
        <v>107099.75499999999</v>
      </c>
      <c r="E35" s="46">
        <v>108706.25132499998</v>
      </c>
      <c r="F35" s="46">
        <v>110336.84509487495</v>
      </c>
      <c r="G35" s="46">
        <v>111991.89777129807</v>
      </c>
      <c r="H35" s="46">
        <v>113671.77623786753</v>
      </c>
      <c r="I35" s="46">
        <v>115376.85288143551</v>
      </c>
      <c r="J35" s="46">
        <v>117107.50567465703</v>
      </c>
      <c r="K35" s="46">
        <v>118864.11825977688</v>
      </c>
      <c r="L35" s="46">
        <v>120647.08003367351</v>
      </c>
      <c r="M35" s="46">
        <v>122456.78623417859</v>
      </c>
      <c r="N35" s="46">
        <v>124293.63802769127</v>
      </c>
      <c r="O35" s="46">
        <v>126158.04259810661</v>
      </c>
      <c r="P35" s="11"/>
      <c r="Q35" s="11"/>
      <c r="R35" s="11"/>
      <c r="S35" s="11"/>
      <c r="T35" s="34"/>
      <c r="U35" s="11"/>
      <c r="V35" s="11"/>
      <c r="W35" s="11"/>
      <c r="X35" s="11"/>
      <c r="Y35" s="11"/>
      <c r="Z35" s="11"/>
      <c r="AA35" s="11"/>
      <c r="AB35" s="11"/>
    </row>
    <row r="36" spans="1:28" ht="14.25" customHeight="1">
      <c r="A36" s="30">
        <v>35</v>
      </c>
      <c r="B36" s="45" t="s">
        <v>55</v>
      </c>
      <c r="C36" s="35">
        <v>481901</v>
      </c>
      <c r="D36" s="46">
        <v>489129.51499999996</v>
      </c>
      <c r="E36" s="46">
        <v>496466.45772499987</v>
      </c>
      <c r="F36" s="46">
        <v>503913.45459087478</v>
      </c>
      <c r="G36" s="46">
        <v>511472.15640973783</v>
      </c>
      <c r="H36" s="46">
        <v>519144.23875588388</v>
      </c>
      <c r="I36" s="46">
        <v>526931.40233722201</v>
      </c>
      <c r="J36" s="46">
        <v>534835.37337228027</v>
      </c>
      <c r="K36" s="46">
        <v>542857.90397286438</v>
      </c>
      <c r="L36" s="46">
        <v>551000.77253245737</v>
      </c>
      <c r="M36" s="46">
        <v>559265.78412044409</v>
      </c>
      <c r="N36" s="46">
        <v>567654.77088225074</v>
      </c>
      <c r="O36" s="46">
        <v>576169.59244548436</v>
      </c>
      <c r="P36" s="11"/>
      <c r="Q36" s="11"/>
      <c r="R36" s="11"/>
      <c r="S36" s="11"/>
      <c r="T36" s="34"/>
      <c r="U36" s="11"/>
      <c r="V36" s="11"/>
      <c r="W36" s="11"/>
      <c r="X36" s="11"/>
      <c r="Y36" s="11"/>
      <c r="Z36" s="11"/>
      <c r="AA36" s="11"/>
      <c r="AB36" s="11"/>
    </row>
    <row r="37" spans="1:28" ht="14.25" customHeight="1">
      <c r="A37" s="30">
        <v>36</v>
      </c>
      <c r="B37" s="45" t="s">
        <v>56</v>
      </c>
      <c r="C37" s="35">
        <v>258445</v>
      </c>
      <c r="D37" s="46">
        <v>262321.67499999999</v>
      </c>
      <c r="E37" s="46">
        <v>266256.5001249999</v>
      </c>
      <c r="F37" s="46">
        <v>270250.34762687492</v>
      </c>
      <c r="G37" s="46">
        <v>274304.10284127796</v>
      </c>
      <c r="H37" s="46">
        <v>278418.66438389709</v>
      </c>
      <c r="I37" s="46">
        <v>282594.94434965553</v>
      </c>
      <c r="J37" s="46">
        <v>286833.86851490033</v>
      </c>
      <c r="K37" s="46">
        <v>291136.3765426238</v>
      </c>
      <c r="L37" s="46">
        <v>295503.42219076311</v>
      </c>
      <c r="M37" s="46">
        <v>299935.97352362453</v>
      </c>
      <c r="N37" s="46">
        <v>304435.01312647882</v>
      </c>
      <c r="O37" s="46">
        <v>309001.53832337598</v>
      </c>
      <c r="P37" s="11"/>
      <c r="Q37" s="11"/>
      <c r="R37" s="11"/>
      <c r="S37" s="11"/>
      <c r="T37" s="34"/>
      <c r="U37" s="11"/>
      <c r="V37" s="11"/>
      <c r="W37" s="11"/>
      <c r="X37" s="11"/>
      <c r="Y37" s="11"/>
      <c r="Z37" s="11"/>
      <c r="AA37" s="11"/>
      <c r="AB37" s="11"/>
    </row>
    <row r="38" spans="1:28" ht="14.25" customHeight="1">
      <c r="A38" s="30">
        <v>37</v>
      </c>
      <c r="B38" s="45" t="s">
        <v>57</v>
      </c>
      <c r="C38" s="35">
        <v>120462</v>
      </c>
      <c r="D38" s="46">
        <v>122268.93</v>
      </c>
      <c r="E38" s="46">
        <v>124102.96394999996</v>
      </c>
      <c r="F38" s="46">
        <v>125964.50840924995</v>
      </c>
      <c r="G38" s="46">
        <v>127853.97603538868</v>
      </c>
      <c r="H38" s="46">
        <v>129771.7856759195</v>
      </c>
      <c r="I38" s="46">
        <v>131718.36246105825</v>
      </c>
      <c r="J38" s="46">
        <v>133694.13789797411</v>
      </c>
      <c r="K38" s="46">
        <v>135699.54996644371</v>
      </c>
      <c r="L38" s="46">
        <v>137735.04321594036</v>
      </c>
      <c r="M38" s="46">
        <v>139801.06886417945</v>
      </c>
      <c r="N38" s="46">
        <v>141898.08489714211</v>
      </c>
      <c r="O38" s="46">
        <v>144026.55617059921</v>
      </c>
      <c r="P38" s="11"/>
      <c r="Q38" s="11"/>
      <c r="R38" s="11"/>
      <c r="S38" s="11"/>
      <c r="T38" s="34"/>
      <c r="U38" s="11"/>
      <c r="V38" s="11"/>
      <c r="W38" s="11"/>
      <c r="X38" s="11"/>
      <c r="Y38" s="11"/>
      <c r="Z38" s="11"/>
      <c r="AA38" s="11"/>
      <c r="AB38" s="11"/>
    </row>
    <row r="39" spans="1:28" ht="14.25" customHeight="1">
      <c r="A39" s="30">
        <v>38</v>
      </c>
      <c r="B39" s="45" t="s">
        <v>58</v>
      </c>
      <c r="C39" s="35">
        <v>35556</v>
      </c>
      <c r="D39" s="46">
        <v>37180.140301499989</v>
      </c>
      <c r="E39" s="46">
        <v>36630.68009999999</v>
      </c>
      <c r="F39" s="46">
        <v>37180.140301499989</v>
      </c>
      <c r="G39" s="46">
        <v>37737.842406022479</v>
      </c>
      <c r="H39" s="46">
        <v>38303.91004211281</v>
      </c>
      <c r="I39" s="46">
        <v>38878.4686927445</v>
      </c>
      <c r="J39" s="46">
        <v>39461.645723135662</v>
      </c>
      <c r="K39" s="46">
        <v>40053.57040898269</v>
      </c>
      <c r="L39" s="46">
        <v>40654.373965117426</v>
      </c>
      <c r="M39" s="46">
        <v>41264.18957459418</v>
      </c>
      <c r="N39" s="46">
        <v>41883.152418213089</v>
      </c>
      <c r="O39" s="46">
        <v>42511.399704486277</v>
      </c>
      <c r="P39" s="11"/>
      <c r="Q39" s="11"/>
      <c r="R39" s="11"/>
      <c r="S39" s="11"/>
      <c r="T39" s="34"/>
      <c r="U39" s="11"/>
      <c r="V39" s="11"/>
      <c r="W39" s="11"/>
      <c r="X39" s="11"/>
      <c r="Y39" s="11"/>
      <c r="Z39" s="11"/>
      <c r="AA39" s="11"/>
      <c r="AB39" s="11"/>
    </row>
    <row r="40" spans="1:28" ht="14.25" customHeight="1">
      <c r="A40" s="30">
        <v>39</v>
      </c>
      <c r="B40" s="45" t="s">
        <v>59</v>
      </c>
      <c r="C40" s="35">
        <v>67118</v>
      </c>
      <c r="D40" s="46">
        <v>68124.76999999999</v>
      </c>
      <c r="E40" s="46">
        <v>69146.641549999986</v>
      </c>
      <c r="F40" s="46">
        <v>70183.841173249966</v>
      </c>
      <c r="G40" s="46">
        <v>71236.598790848715</v>
      </c>
      <c r="H40" s="46">
        <v>72305.14777271144</v>
      </c>
      <c r="I40" s="46">
        <v>73389.724989302093</v>
      </c>
      <c r="J40" s="46">
        <v>74490.570864141613</v>
      </c>
      <c r="K40" s="46">
        <v>75607.929427103722</v>
      </c>
      <c r="L40" s="46">
        <v>76742.048368510281</v>
      </c>
      <c r="M40" s="46">
        <v>77893.179094037914</v>
      </c>
      <c r="N40" s="46">
        <v>79061.576780448479</v>
      </c>
      <c r="O40" s="46">
        <v>80247.500432155182</v>
      </c>
      <c r="P40" s="11"/>
      <c r="Q40" s="11"/>
      <c r="R40" s="11"/>
      <c r="S40" s="11"/>
      <c r="T40" s="34"/>
      <c r="U40" s="11"/>
      <c r="V40" s="11"/>
      <c r="W40" s="11"/>
      <c r="X40" s="11"/>
      <c r="Y40" s="11"/>
      <c r="Z40" s="11"/>
      <c r="AA40" s="11"/>
      <c r="AB40" s="11"/>
    </row>
    <row r="41" spans="1:28" ht="14.25" customHeight="1">
      <c r="A41" s="30">
        <v>40</v>
      </c>
      <c r="B41" s="45" t="s">
        <v>60</v>
      </c>
      <c r="C41" s="36">
        <v>3036</v>
      </c>
      <c r="D41" s="46">
        <v>3174.6795464999987</v>
      </c>
      <c r="E41" s="46">
        <v>3127.7630999999992</v>
      </c>
      <c r="F41" s="46">
        <v>3174.6795464999987</v>
      </c>
      <c r="G41" s="46">
        <v>3222.2997396974984</v>
      </c>
      <c r="H41" s="46">
        <v>3270.6342357929602</v>
      </c>
      <c r="I41" s="46">
        <v>3319.6937493298542</v>
      </c>
      <c r="J41" s="46">
        <v>3369.4891555698014</v>
      </c>
      <c r="K41" s="46">
        <v>3420.031492903348</v>
      </c>
      <c r="L41" s="46">
        <v>3471.331965296898</v>
      </c>
      <c r="M41" s="46">
        <v>3523.4019447763508</v>
      </c>
      <c r="N41" s="46">
        <v>3576.252973947996</v>
      </c>
      <c r="O41" s="46">
        <v>3629.8967685572152</v>
      </c>
      <c r="P41" s="11"/>
      <c r="Q41" s="11"/>
      <c r="R41" s="11"/>
      <c r="S41" s="11"/>
      <c r="T41" s="34"/>
      <c r="U41" s="11"/>
      <c r="V41" s="11"/>
      <c r="W41" s="11"/>
      <c r="X41" s="11"/>
      <c r="Y41" s="11"/>
      <c r="Z41" s="11"/>
      <c r="AA41" s="11"/>
      <c r="AB41" s="11"/>
    </row>
    <row r="42" spans="1:28" ht="14.25" customHeight="1">
      <c r="A42" s="30">
        <v>41</v>
      </c>
      <c r="B42" s="45" t="s">
        <v>61</v>
      </c>
      <c r="C42" s="35">
        <v>52321</v>
      </c>
      <c r="D42" s="46">
        <v>53105.814999999995</v>
      </c>
      <c r="E42" s="46">
        <v>53902.402224999983</v>
      </c>
      <c r="F42" s="46">
        <v>54710.938258374976</v>
      </c>
      <c r="G42" s="46">
        <v>55531.602332250593</v>
      </c>
      <c r="H42" s="46">
        <v>56364.576367234346</v>
      </c>
      <c r="I42" s="46">
        <v>57210.045012742848</v>
      </c>
      <c r="J42" s="46">
        <v>58068.195687933985</v>
      </c>
      <c r="K42" s="46">
        <v>58939.218623252993</v>
      </c>
      <c r="L42" s="46">
        <v>59823.306902601777</v>
      </c>
      <c r="M42" s="46">
        <v>60720.656506140796</v>
      </c>
      <c r="N42" s="46">
        <v>61631.466353732903</v>
      </c>
      <c r="O42" s="46">
        <v>62555.938349038879</v>
      </c>
      <c r="P42" s="11"/>
      <c r="Q42" s="11"/>
      <c r="R42" s="11"/>
      <c r="S42" s="11"/>
      <c r="T42" s="34"/>
      <c r="U42" s="11"/>
      <c r="V42" s="11"/>
      <c r="W42" s="11"/>
      <c r="X42" s="11"/>
      <c r="Y42" s="11"/>
      <c r="Z42" s="11"/>
      <c r="AA42" s="11"/>
      <c r="AB42" s="11"/>
    </row>
    <row r="43" spans="1:28" ht="14.25" customHeight="1">
      <c r="A43" s="30">
        <v>42</v>
      </c>
      <c r="B43" s="45" t="s">
        <v>62</v>
      </c>
      <c r="C43" s="35">
        <v>45521</v>
      </c>
      <c r="D43" s="46">
        <v>46203.814999999995</v>
      </c>
      <c r="E43" s="46">
        <v>46896.872224999985</v>
      </c>
      <c r="F43" s="46">
        <v>47600.325308374981</v>
      </c>
      <c r="G43" s="46">
        <v>48314.330188000597</v>
      </c>
      <c r="H43" s="46">
        <v>49039.045140820599</v>
      </c>
      <c r="I43" s="46">
        <v>49774.630817932899</v>
      </c>
      <c r="J43" s="46">
        <v>50521.250280201886</v>
      </c>
      <c r="K43" s="46">
        <v>51279.069034404914</v>
      </c>
      <c r="L43" s="46">
        <v>52048.255069920975</v>
      </c>
      <c r="M43" s="46">
        <v>52828.978895969783</v>
      </c>
      <c r="N43" s="46">
        <v>53621.413579409331</v>
      </c>
      <c r="O43" s="46">
        <v>54425.734783100459</v>
      </c>
      <c r="P43" s="11"/>
      <c r="Q43" s="11"/>
      <c r="R43" s="11"/>
      <c r="S43" s="11"/>
      <c r="T43" s="34"/>
      <c r="U43" s="11"/>
      <c r="V43" s="11"/>
      <c r="W43" s="11"/>
      <c r="X43" s="11"/>
      <c r="Y43" s="11"/>
      <c r="Z43" s="11"/>
      <c r="AA43" s="11"/>
      <c r="AB43" s="11"/>
    </row>
    <row r="44" spans="1:28" ht="14.25" customHeight="1">
      <c r="A44" s="30">
        <v>43</v>
      </c>
      <c r="B44" s="45" t="s">
        <v>63</v>
      </c>
      <c r="C44" s="35">
        <v>24037</v>
      </c>
      <c r="D44" s="46">
        <v>24397.554999999997</v>
      </c>
      <c r="E44" s="46">
        <v>24763.518324999994</v>
      </c>
      <c r="F44" s="46">
        <v>25134.971099874991</v>
      </c>
      <c r="G44" s="46">
        <v>25511.99566637311</v>
      </c>
      <c r="H44" s="46">
        <v>25894.675601368705</v>
      </c>
      <c r="I44" s="46">
        <v>26283.09573538923</v>
      </c>
      <c r="J44" s="46">
        <v>26677.342171420063</v>
      </c>
      <c r="K44" s="46">
        <v>27077.502303991365</v>
      </c>
      <c r="L44" s="46">
        <v>27483.664838551231</v>
      </c>
      <c r="M44" s="46">
        <v>27895.919811129497</v>
      </c>
      <c r="N44" s="46">
        <v>28314.358608296436</v>
      </c>
      <c r="O44" s="46">
        <v>28739.073987420874</v>
      </c>
      <c r="P44" s="11"/>
      <c r="Q44" s="11"/>
      <c r="R44" s="11"/>
      <c r="S44" s="11"/>
      <c r="T44" s="34"/>
      <c r="U44" s="11"/>
      <c r="V44" s="11"/>
      <c r="W44" s="11"/>
      <c r="X44" s="11"/>
      <c r="Y44" s="11"/>
      <c r="Z44" s="11"/>
      <c r="AA44" s="11"/>
      <c r="AB44" s="11"/>
    </row>
    <row r="45" spans="1:28" ht="14.25" customHeight="1">
      <c r="A45" s="30">
        <v>44</v>
      </c>
      <c r="B45" s="37" t="s">
        <v>108</v>
      </c>
      <c r="C45" s="35">
        <v>38243</v>
      </c>
      <c r="D45" s="46">
        <v>67305.664999999994</v>
      </c>
      <c r="E45" s="46">
        <v>68315.249974999984</v>
      </c>
      <c r="F45" s="46">
        <v>69339.978724624976</v>
      </c>
      <c r="G45" s="46">
        <v>70380.078405494336</v>
      </c>
      <c r="H45" s="46">
        <v>71435.779581576746</v>
      </c>
      <c r="I45" s="46">
        <v>72507.316275300385</v>
      </c>
      <c r="J45" s="46">
        <v>73594.926019429869</v>
      </c>
      <c r="K45" s="46">
        <v>74698.849909721321</v>
      </c>
      <c r="L45" s="46">
        <v>75819.33265836713</v>
      </c>
      <c r="M45" s="46">
        <v>76956.622648242628</v>
      </c>
      <c r="N45" s="46">
        <v>78110.971987966259</v>
      </c>
      <c r="O45" s="46">
        <v>79282.636567785739</v>
      </c>
      <c r="P45" s="11"/>
      <c r="Q45" s="11"/>
      <c r="R45" s="11"/>
      <c r="S45" s="11"/>
      <c r="T45" s="34"/>
      <c r="U45" s="11"/>
      <c r="V45" s="11"/>
      <c r="W45" s="11"/>
      <c r="X45" s="11"/>
      <c r="Y45" s="11"/>
      <c r="Z45" s="11"/>
      <c r="AA45" s="11"/>
      <c r="AB45" s="11"/>
    </row>
    <row r="46" spans="1:28" ht="14.25" customHeight="1">
      <c r="A46" s="30">
        <v>45</v>
      </c>
      <c r="B46" s="47" t="s">
        <v>64</v>
      </c>
      <c r="C46" s="35">
        <v>23616</v>
      </c>
      <c r="D46" s="46">
        <v>23970.239999999998</v>
      </c>
      <c r="E46" s="46">
        <v>24329.793599999994</v>
      </c>
      <c r="F46" s="46">
        <v>24694.74050399999</v>
      </c>
      <c r="G46" s="46">
        <v>25065.161611559986</v>
      </c>
      <c r="H46" s="46">
        <v>25441.139035733384</v>
      </c>
      <c r="I46" s="46">
        <v>25822.75612126938</v>
      </c>
      <c r="J46" s="46">
        <v>26210.097463088416</v>
      </c>
      <c r="K46" s="46">
        <v>26603.248925034739</v>
      </c>
      <c r="L46" s="46">
        <v>27002.297658910258</v>
      </c>
      <c r="M46" s="46">
        <v>27407.332123793909</v>
      </c>
      <c r="N46" s="46">
        <v>27818.442105650814</v>
      </c>
      <c r="O46" s="46">
        <v>28235.718737235569</v>
      </c>
      <c r="P46" s="11"/>
      <c r="Q46" s="11"/>
      <c r="R46" s="11"/>
      <c r="S46" s="11"/>
      <c r="T46" s="34"/>
      <c r="U46" s="11"/>
      <c r="V46" s="11"/>
      <c r="W46" s="11"/>
      <c r="X46" s="11"/>
      <c r="Y46" s="11"/>
      <c r="Z46" s="11"/>
      <c r="AA46" s="11"/>
      <c r="AB46" s="11"/>
    </row>
    <row r="47" spans="1:28" ht="14.25" customHeight="1">
      <c r="A47" s="30">
        <v>46</v>
      </c>
      <c r="B47" s="47" t="s">
        <v>65</v>
      </c>
      <c r="C47" s="35">
        <v>30183</v>
      </c>
      <c r="D47" s="46">
        <v>30635.744999999995</v>
      </c>
      <c r="E47" s="46">
        <v>31095.281174999993</v>
      </c>
      <c r="F47" s="46">
        <v>31561.710392624987</v>
      </c>
      <c r="G47" s="46">
        <v>32035.13604851436</v>
      </c>
      <c r="H47" s="46">
        <v>32515.663089242069</v>
      </c>
      <c r="I47" s="46">
        <v>33003.398035580693</v>
      </c>
      <c r="J47" s="46">
        <v>33498.449006114402</v>
      </c>
      <c r="K47" s="46">
        <v>34000.925741206112</v>
      </c>
      <c r="L47" s="46">
        <v>34510.939627324202</v>
      </c>
      <c r="M47" s="46">
        <v>35028.603721734056</v>
      </c>
      <c r="N47" s="46">
        <v>35554.032777560067</v>
      </c>
      <c r="O47" s="46">
        <v>36087.343269223456</v>
      </c>
      <c r="P47" s="11"/>
      <c r="Q47" s="11"/>
      <c r="R47" s="11"/>
      <c r="S47" s="11"/>
      <c r="T47" s="34"/>
      <c r="U47" s="11"/>
      <c r="V47" s="11"/>
      <c r="W47" s="11"/>
      <c r="X47" s="11"/>
      <c r="Y47" s="11"/>
      <c r="Z47" s="11"/>
      <c r="AA47" s="11"/>
      <c r="AB47" s="11"/>
    </row>
    <row r="48" spans="1:28" ht="14.25" customHeight="1">
      <c r="A48" s="30">
        <v>47</v>
      </c>
      <c r="B48" s="37" t="s">
        <v>107</v>
      </c>
      <c r="C48" s="35">
        <v>67461</v>
      </c>
      <c r="D48" s="46">
        <v>68472.914999999994</v>
      </c>
      <c r="E48" s="46">
        <v>69500.008724999978</v>
      </c>
      <c r="F48" s="46">
        <v>70542.50885587497</v>
      </c>
      <c r="G48" s="46">
        <v>71600.646488713086</v>
      </c>
      <c r="H48" s="46">
        <v>72674.65618604378</v>
      </c>
      <c r="I48" s="46">
        <v>73764.776028834414</v>
      </c>
      <c r="J48" s="46">
        <v>74871.247669266915</v>
      </c>
      <c r="K48" s="46">
        <v>75994.316384305916</v>
      </c>
      <c r="L48" s="46">
        <v>77134.231130070504</v>
      </c>
      <c r="M48" s="46">
        <v>78291.244597021549</v>
      </c>
      <c r="N48" s="46">
        <v>79465.613265976863</v>
      </c>
      <c r="O48" s="46">
        <v>80657.5974649665</v>
      </c>
      <c r="P48" s="11"/>
      <c r="Q48" s="11"/>
      <c r="R48" s="11"/>
      <c r="S48" s="11"/>
      <c r="T48" s="34"/>
      <c r="U48" s="11"/>
      <c r="V48" s="11"/>
      <c r="W48" s="11"/>
      <c r="X48" s="11"/>
      <c r="Y48" s="11"/>
      <c r="Z48" s="11"/>
      <c r="AA48" s="11"/>
      <c r="AB48" s="11"/>
    </row>
    <row r="49" spans="1:28" ht="14.25" customHeight="1">
      <c r="A49" s="48"/>
      <c r="B49" s="47"/>
      <c r="C49" s="39" t="s">
        <v>66</v>
      </c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11"/>
      <c r="Q49" s="11"/>
      <c r="R49" s="11"/>
      <c r="S49" s="11"/>
      <c r="T49" s="33"/>
      <c r="U49" s="11"/>
      <c r="V49" s="11"/>
      <c r="W49" s="11"/>
      <c r="X49" s="11"/>
      <c r="Y49" s="11"/>
      <c r="Z49" s="11"/>
      <c r="AA49" s="11"/>
      <c r="AB49" s="11"/>
    </row>
    <row r="50" spans="1:28" ht="14.25" customHeight="1">
      <c r="A50" s="38"/>
      <c r="B50" s="3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33"/>
      <c r="U50" s="11"/>
      <c r="V50" s="11"/>
      <c r="W50" s="11"/>
      <c r="X50" s="11"/>
      <c r="Y50" s="11"/>
      <c r="Z50" s="11"/>
      <c r="AA50" s="11"/>
      <c r="AB50" s="11"/>
    </row>
    <row r="51" spans="1:28" ht="14.25" customHeight="1">
      <c r="A51" s="38"/>
      <c r="B51" s="3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40"/>
      <c r="U51" s="11"/>
      <c r="V51" s="11"/>
      <c r="W51" s="11"/>
      <c r="X51" s="11"/>
      <c r="Y51" s="11"/>
      <c r="Z51" s="11"/>
      <c r="AA51" s="11"/>
      <c r="AB51" s="11"/>
    </row>
    <row r="52" spans="1:28" ht="14.25" customHeight="1">
      <c r="A52" s="38"/>
      <c r="B52" s="3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41"/>
      <c r="U52" s="11"/>
      <c r="V52" s="11"/>
      <c r="W52" s="11"/>
      <c r="X52" s="11"/>
      <c r="Y52" s="11"/>
      <c r="Z52" s="11"/>
      <c r="AA52" s="11"/>
      <c r="AB52" s="11"/>
    </row>
    <row r="53" spans="1:28" ht="14.25" customHeight="1">
      <c r="A53" s="38"/>
      <c r="B53" s="3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41"/>
      <c r="U53" s="11"/>
      <c r="V53" s="11"/>
      <c r="W53" s="11"/>
      <c r="X53" s="11"/>
      <c r="Y53" s="11"/>
      <c r="Z53" s="11"/>
      <c r="AA53" s="11"/>
      <c r="AB53" s="11"/>
    </row>
    <row r="54" spans="1:28" ht="14.25" customHeight="1">
      <c r="A54" s="38"/>
      <c r="B54" s="3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41"/>
      <c r="U54" s="11"/>
      <c r="V54" s="11"/>
      <c r="W54" s="11"/>
      <c r="X54" s="11"/>
      <c r="Y54" s="11"/>
      <c r="Z54" s="11"/>
      <c r="AA54" s="11"/>
      <c r="AB54" s="11"/>
    </row>
    <row r="55" spans="1:28" ht="14.25" customHeight="1">
      <c r="A55" s="38"/>
      <c r="B55" s="3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41"/>
      <c r="U55" s="11"/>
      <c r="V55" s="11"/>
      <c r="W55" s="11"/>
      <c r="X55" s="11"/>
      <c r="Y55" s="11"/>
      <c r="Z55" s="11"/>
      <c r="AA55" s="11"/>
      <c r="AB55" s="11"/>
    </row>
    <row r="56" spans="1:28" ht="14.25" customHeight="1">
      <c r="A56" s="38"/>
      <c r="B56" s="3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41"/>
      <c r="U56" s="11"/>
      <c r="V56" s="11"/>
      <c r="W56" s="11"/>
      <c r="X56" s="11"/>
      <c r="Y56" s="11"/>
      <c r="Z56" s="11"/>
      <c r="AA56" s="11"/>
      <c r="AB56" s="11"/>
    </row>
    <row r="57" spans="1:28" ht="14.25" customHeight="1">
      <c r="A57" s="38"/>
      <c r="B57" s="31"/>
      <c r="C57" s="4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41"/>
      <c r="U57" s="11"/>
      <c r="V57" s="11"/>
      <c r="W57" s="11"/>
      <c r="X57" s="11"/>
      <c r="Y57" s="11"/>
      <c r="Z57" s="11"/>
      <c r="AA57" s="11"/>
      <c r="AB57" s="11"/>
    </row>
    <row r="58" spans="1:28" ht="14.25" customHeight="1">
      <c r="A58" s="38"/>
      <c r="B58" s="31"/>
      <c r="C58" s="4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41"/>
      <c r="U58" s="11"/>
      <c r="V58" s="11"/>
      <c r="W58" s="11"/>
      <c r="X58" s="11"/>
      <c r="Y58" s="11"/>
      <c r="Z58" s="11"/>
      <c r="AA58" s="11"/>
      <c r="AB58" s="11"/>
    </row>
    <row r="59" spans="1:28" ht="14.25" customHeight="1">
      <c r="A59" s="38"/>
      <c r="B59" s="31"/>
      <c r="C59" s="4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41"/>
      <c r="U59" s="11"/>
      <c r="V59" s="11"/>
      <c r="W59" s="11"/>
      <c r="X59" s="11"/>
      <c r="Y59" s="11"/>
      <c r="Z59" s="11"/>
      <c r="AA59" s="11"/>
      <c r="AB59" s="11"/>
    </row>
    <row r="60" spans="1:28" ht="14.25" customHeight="1">
      <c r="A60" s="38"/>
      <c r="B60" s="31"/>
      <c r="C60" s="4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41"/>
      <c r="U60" s="11"/>
      <c r="V60" s="11"/>
      <c r="W60" s="11"/>
      <c r="X60" s="11"/>
      <c r="Y60" s="11"/>
      <c r="Z60" s="11"/>
      <c r="AA60" s="11"/>
      <c r="AB60" s="11"/>
    </row>
    <row r="61" spans="1:28" ht="14.25" customHeight="1">
      <c r="A61" s="38"/>
      <c r="B61" s="31"/>
      <c r="C61" s="4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41"/>
      <c r="U61" s="11"/>
      <c r="V61" s="11"/>
      <c r="W61" s="11"/>
      <c r="X61" s="11"/>
      <c r="Y61" s="11"/>
      <c r="Z61" s="11"/>
      <c r="AA61" s="11"/>
      <c r="AB61" s="11"/>
    </row>
    <row r="62" spans="1:28" ht="14.25" customHeight="1">
      <c r="A62" s="38"/>
      <c r="B62" s="31"/>
      <c r="C62" s="4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41"/>
      <c r="U62" s="11"/>
      <c r="V62" s="11"/>
      <c r="W62" s="11"/>
      <c r="X62" s="11"/>
      <c r="Y62" s="11"/>
      <c r="Z62" s="11"/>
      <c r="AA62" s="11"/>
      <c r="AB62" s="11"/>
    </row>
    <row r="63" spans="1:28" ht="14.25" customHeight="1">
      <c r="A63" s="38"/>
      <c r="B63" s="31"/>
      <c r="C63" s="4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41"/>
      <c r="U63" s="11"/>
      <c r="V63" s="11"/>
      <c r="W63" s="11"/>
      <c r="X63" s="11"/>
      <c r="Y63" s="11"/>
      <c r="Z63" s="11"/>
      <c r="AA63" s="11"/>
      <c r="AB63" s="11"/>
    </row>
    <row r="64" spans="1:28" ht="14.25" customHeight="1">
      <c r="A64" s="38"/>
      <c r="B64" s="31"/>
      <c r="C64" s="4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41"/>
      <c r="U64" s="11"/>
      <c r="V64" s="11"/>
      <c r="W64" s="11"/>
      <c r="X64" s="11"/>
      <c r="Y64" s="11"/>
      <c r="Z64" s="11"/>
      <c r="AA64" s="11"/>
      <c r="AB64" s="11"/>
    </row>
    <row r="65" spans="1:28" ht="14.25" customHeight="1">
      <c r="A65" s="38"/>
      <c r="B65" s="31"/>
      <c r="C65" s="4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41"/>
      <c r="U65" s="11"/>
      <c r="V65" s="11"/>
      <c r="W65" s="11"/>
      <c r="X65" s="11"/>
      <c r="Y65" s="11"/>
      <c r="Z65" s="11"/>
      <c r="AA65" s="11"/>
      <c r="AB65" s="11"/>
    </row>
    <row r="66" spans="1:28" ht="14.25" customHeight="1">
      <c r="A66" s="38"/>
      <c r="B66" s="31"/>
      <c r="C66" s="4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41"/>
      <c r="U66" s="11"/>
      <c r="V66" s="11"/>
      <c r="W66" s="11"/>
      <c r="X66" s="11"/>
      <c r="Y66" s="11"/>
      <c r="Z66" s="11"/>
      <c r="AA66" s="11"/>
      <c r="AB66" s="11"/>
    </row>
    <row r="67" spans="1:28" ht="14.25" customHeight="1">
      <c r="A67" s="38"/>
      <c r="B67" s="31"/>
      <c r="C67" s="4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41"/>
      <c r="U67" s="11"/>
      <c r="V67" s="11"/>
      <c r="W67" s="11"/>
      <c r="X67" s="11"/>
      <c r="Y67" s="11"/>
      <c r="Z67" s="11"/>
      <c r="AA67" s="11"/>
      <c r="AB67" s="11"/>
    </row>
    <row r="68" spans="1:28" ht="14.25" customHeight="1">
      <c r="A68" s="38"/>
      <c r="B68" s="31"/>
      <c r="C68" s="4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41"/>
      <c r="U68" s="11"/>
      <c r="V68" s="11"/>
      <c r="W68" s="11"/>
      <c r="X68" s="11"/>
      <c r="Y68" s="11"/>
      <c r="Z68" s="11"/>
      <c r="AA68" s="11"/>
      <c r="AB68" s="11"/>
    </row>
    <row r="69" spans="1:28" ht="14.25" customHeight="1">
      <c r="A69" s="38"/>
      <c r="B69" s="31"/>
      <c r="C69" s="4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41"/>
      <c r="U69" s="11"/>
      <c r="V69" s="11"/>
      <c r="W69" s="11"/>
      <c r="X69" s="11"/>
      <c r="Y69" s="11"/>
      <c r="Z69" s="11"/>
      <c r="AA69" s="11"/>
      <c r="AB69" s="11"/>
    </row>
    <row r="70" spans="1:28" ht="14.25" customHeight="1">
      <c r="A70" s="38"/>
      <c r="B70" s="31"/>
      <c r="C70" s="4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41"/>
      <c r="U70" s="11"/>
      <c r="V70" s="11"/>
      <c r="W70" s="11"/>
      <c r="X70" s="11"/>
      <c r="Y70" s="11"/>
      <c r="Z70" s="11"/>
      <c r="AA70" s="11"/>
      <c r="AB70" s="11"/>
    </row>
    <row r="71" spans="1:28" ht="14.25" customHeight="1">
      <c r="A71" s="38"/>
      <c r="B71" s="31"/>
      <c r="C71" s="4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41"/>
      <c r="U71" s="11"/>
      <c r="V71" s="11"/>
      <c r="W71" s="11"/>
      <c r="X71" s="11"/>
      <c r="Y71" s="11"/>
      <c r="Z71" s="11"/>
      <c r="AA71" s="11"/>
      <c r="AB71" s="11"/>
    </row>
    <row r="72" spans="1:28" ht="14.25" customHeight="1">
      <c r="A72" s="38"/>
      <c r="B72" s="31"/>
      <c r="C72" s="4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41"/>
      <c r="U72" s="11"/>
      <c r="V72" s="11"/>
      <c r="W72" s="11"/>
      <c r="X72" s="11"/>
      <c r="Y72" s="11"/>
      <c r="Z72" s="11"/>
      <c r="AA72" s="11"/>
      <c r="AB72" s="11"/>
    </row>
    <row r="73" spans="1:28" ht="14.25" customHeight="1">
      <c r="A73" s="38"/>
      <c r="B73" s="31"/>
      <c r="C73" s="4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41"/>
      <c r="U73" s="11"/>
      <c r="V73" s="11"/>
      <c r="W73" s="11"/>
      <c r="X73" s="11"/>
      <c r="Y73" s="11"/>
      <c r="Z73" s="11"/>
      <c r="AA73" s="11"/>
      <c r="AB73" s="11"/>
    </row>
    <row r="74" spans="1:28" ht="14.25" customHeight="1">
      <c r="A74" s="38"/>
      <c r="B74" s="31"/>
      <c r="C74" s="4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41"/>
      <c r="U74" s="11"/>
      <c r="V74" s="11"/>
      <c r="W74" s="11"/>
      <c r="X74" s="11"/>
      <c r="Y74" s="11"/>
      <c r="Z74" s="11"/>
      <c r="AA74" s="11"/>
      <c r="AB74" s="11"/>
    </row>
    <row r="75" spans="1:28" ht="14.25" customHeight="1">
      <c r="A75" s="38"/>
      <c r="B75" s="31"/>
      <c r="C75" s="4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41"/>
      <c r="U75" s="11"/>
      <c r="V75" s="11"/>
      <c r="W75" s="11"/>
      <c r="X75" s="11"/>
      <c r="Y75" s="11"/>
      <c r="Z75" s="11"/>
      <c r="AA75" s="11"/>
      <c r="AB75" s="11"/>
    </row>
    <row r="76" spans="1:28" ht="14.25" customHeight="1">
      <c r="A76" s="38"/>
      <c r="B76" s="31"/>
      <c r="C76" s="4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41"/>
      <c r="U76" s="11"/>
      <c r="V76" s="11"/>
      <c r="W76" s="11"/>
      <c r="X76" s="11"/>
      <c r="Y76" s="11"/>
      <c r="Z76" s="11"/>
      <c r="AA76" s="11"/>
      <c r="AB76" s="11"/>
    </row>
    <row r="77" spans="1:28" ht="14.25" customHeight="1">
      <c r="A77" s="38"/>
      <c r="B77" s="31"/>
      <c r="C77" s="4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41"/>
      <c r="U77" s="11"/>
      <c r="V77" s="11"/>
      <c r="W77" s="11"/>
      <c r="X77" s="11"/>
      <c r="Y77" s="11"/>
      <c r="Z77" s="11"/>
      <c r="AA77" s="11"/>
      <c r="AB77" s="11"/>
    </row>
    <row r="78" spans="1:28" ht="14.25" customHeight="1">
      <c r="A78" s="38"/>
      <c r="B78" s="31"/>
      <c r="C78" s="4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41"/>
      <c r="U78" s="11"/>
      <c r="V78" s="11"/>
      <c r="W78" s="11"/>
      <c r="X78" s="11"/>
      <c r="Y78" s="11"/>
      <c r="Z78" s="11"/>
      <c r="AA78" s="11"/>
      <c r="AB78" s="11"/>
    </row>
    <row r="79" spans="1:28" ht="14.25" customHeight="1">
      <c r="A79" s="38"/>
      <c r="B79" s="31"/>
      <c r="C79" s="4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41"/>
      <c r="U79" s="11"/>
      <c r="V79" s="11"/>
      <c r="W79" s="11"/>
      <c r="X79" s="11"/>
      <c r="Y79" s="11"/>
      <c r="Z79" s="11"/>
      <c r="AA79" s="11"/>
      <c r="AB79" s="11"/>
    </row>
    <row r="80" spans="1:28" ht="14.25" customHeight="1">
      <c r="A80" s="38"/>
      <c r="B80" s="31"/>
      <c r="C80" s="4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41"/>
      <c r="U80" s="11"/>
      <c r="V80" s="11"/>
      <c r="W80" s="11"/>
      <c r="X80" s="11"/>
      <c r="Y80" s="11"/>
      <c r="Z80" s="11"/>
      <c r="AA80" s="11"/>
      <c r="AB80" s="11"/>
    </row>
    <row r="81" spans="1:28" ht="14.25" customHeight="1">
      <c r="A81" s="38"/>
      <c r="B81" s="31"/>
      <c r="C81" s="4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41"/>
      <c r="U81" s="11"/>
      <c r="V81" s="11"/>
      <c r="W81" s="11"/>
      <c r="X81" s="11"/>
      <c r="Y81" s="11"/>
      <c r="Z81" s="11"/>
      <c r="AA81" s="11"/>
      <c r="AB81" s="11"/>
    </row>
    <row r="82" spans="1:28" ht="14.25" customHeight="1">
      <c r="A82" s="38"/>
      <c r="B82" s="31"/>
      <c r="C82" s="4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41"/>
      <c r="U82" s="11"/>
      <c r="V82" s="11"/>
      <c r="W82" s="11"/>
      <c r="X82" s="11"/>
      <c r="Y82" s="11"/>
      <c r="Z82" s="11"/>
      <c r="AA82" s="11"/>
      <c r="AB82" s="11"/>
    </row>
    <row r="83" spans="1:28" ht="14.25" customHeight="1">
      <c r="A83" s="38"/>
      <c r="B83" s="31"/>
      <c r="C83" s="4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41"/>
      <c r="U83" s="11"/>
      <c r="V83" s="11"/>
      <c r="W83" s="11"/>
      <c r="X83" s="11"/>
      <c r="Y83" s="11"/>
      <c r="Z83" s="11"/>
      <c r="AA83" s="11"/>
      <c r="AB83" s="11"/>
    </row>
    <row r="84" spans="1:28" ht="14.25" customHeight="1">
      <c r="A84" s="38"/>
      <c r="B84" s="31"/>
      <c r="C84" s="4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41"/>
      <c r="U84" s="11"/>
      <c r="V84" s="11"/>
      <c r="W84" s="11"/>
      <c r="X84" s="11"/>
      <c r="Y84" s="11"/>
      <c r="Z84" s="11"/>
      <c r="AA84" s="11"/>
      <c r="AB84" s="11"/>
    </row>
    <row r="85" spans="1:28" ht="14.25" customHeight="1">
      <c r="A85" s="38"/>
      <c r="B85" s="31"/>
      <c r="C85" s="4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41"/>
      <c r="U85" s="11"/>
      <c r="V85" s="11"/>
      <c r="W85" s="11"/>
      <c r="X85" s="11"/>
      <c r="Y85" s="11"/>
      <c r="Z85" s="11"/>
      <c r="AA85" s="11"/>
      <c r="AB85" s="11"/>
    </row>
    <row r="86" spans="1:28" ht="14.25" customHeight="1">
      <c r="A86" s="38"/>
      <c r="B86" s="31"/>
      <c r="C86" s="4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41"/>
      <c r="U86" s="11"/>
      <c r="V86" s="11"/>
      <c r="W86" s="11"/>
      <c r="X86" s="11"/>
      <c r="Y86" s="11"/>
      <c r="Z86" s="11"/>
      <c r="AA86" s="11"/>
      <c r="AB86" s="11"/>
    </row>
    <row r="87" spans="1:28" ht="14.25" customHeight="1">
      <c r="A87" s="38"/>
      <c r="B87" s="31"/>
      <c r="C87" s="4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41"/>
      <c r="U87" s="11"/>
      <c r="V87" s="11"/>
      <c r="W87" s="11"/>
      <c r="X87" s="11"/>
      <c r="Y87" s="11"/>
      <c r="Z87" s="11"/>
      <c r="AA87" s="11"/>
      <c r="AB87" s="11"/>
    </row>
    <row r="88" spans="1:28" ht="14.25" customHeight="1">
      <c r="A88" s="38"/>
      <c r="B88" s="31"/>
      <c r="C88" s="4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41"/>
      <c r="U88" s="11"/>
      <c r="V88" s="11"/>
      <c r="W88" s="11"/>
      <c r="X88" s="11"/>
      <c r="Y88" s="11"/>
      <c r="Z88" s="11"/>
      <c r="AA88" s="11"/>
      <c r="AB88" s="11"/>
    </row>
    <row r="89" spans="1:28" ht="14.25" customHeight="1">
      <c r="A89" s="38"/>
      <c r="B89" s="31"/>
      <c r="C89" s="4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41"/>
      <c r="U89" s="11"/>
      <c r="V89" s="11"/>
      <c r="W89" s="11"/>
      <c r="X89" s="11"/>
      <c r="Y89" s="11"/>
      <c r="Z89" s="11"/>
      <c r="AA89" s="11"/>
      <c r="AB89" s="11"/>
    </row>
    <row r="90" spans="1:28" ht="14.25" customHeight="1">
      <c r="A90" s="38"/>
      <c r="B90" s="31"/>
      <c r="C90" s="4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41"/>
      <c r="U90" s="11"/>
      <c r="V90" s="11"/>
      <c r="W90" s="11"/>
      <c r="X90" s="11"/>
      <c r="Y90" s="11"/>
      <c r="Z90" s="11"/>
      <c r="AA90" s="11"/>
      <c r="AB90" s="11"/>
    </row>
    <row r="91" spans="1:28" ht="14.25" customHeight="1">
      <c r="A91" s="38"/>
      <c r="B91" s="31"/>
      <c r="C91" s="4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41"/>
      <c r="U91" s="11"/>
      <c r="V91" s="11"/>
      <c r="W91" s="11"/>
      <c r="X91" s="11"/>
      <c r="Y91" s="11"/>
      <c r="Z91" s="11"/>
      <c r="AA91" s="11"/>
      <c r="AB91" s="11"/>
    </row>
    <row r="92" spans="1:28" ht="14.25" customHeight="1">
      <c r="A92" s="38"/>
      <c r="B92" s="31"/>
      <c r="C92" s="4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41"/>
      <c r="U92" s="11"/>
      <c r="V92" s="11"/>
      <c r="W92" s="11"/>
      <c r="X92" s="11"/>
      <c r="Y92" s="11"/>
      <c r="Z92" s="11"/>
      <c r="AA92" s="11"/>
      <c r="AB92" s="11"/>
    </row>
    <row r="93" spans="1:28" ht="14.25" customHeight="1">
      <c r="A93" s="38"/>
      <c r="B93" s="31"/>
      <c r="C93" s="4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41"/>
      <c r="U93" s="11"/>
      <c r="V93" s="11"/>
      <c r="W93" s="11"/>
      <c r="X93" s="11"/>
      <c r="Y93" s="11"/>
      <c r="Z93" s="11"/>
      <c r="AA93" s="11"/>
      <c r="AB93" s="11"/>
    </row>
    <row r="94" spans="1:28" ht="14.25" customHeight="1">
      <c r="A94" s="38"/>
      <c r="B94" s="31"/>
      <c r="C94" s="4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41"/>
      <c r="U94" s="11"/>
      <c r="V94" s="11"/>
      <c r="W94" s="11"/>
      <c r="X94" s="11"/>
      <c r="Y94" s="11"/>
      <c r="Z94" s="11"/>
      <c r="AA94" s="11"/>
      <c r="AB94" s="11"/>
    </row>
    <row r="95" spans="1:28" ht="14.25" customHeight="1">
      <c r="A95" s="38"/>
      <c r="B95" s="31"/>
      <c r="C95" s="4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41"/>
      <c r="U95" s="11"/>
      <c r="V95" s="11"/>
      <c r="W95" s="11"/>
      <c r="X95" s="11"/>
      <c r="Y95" s="11"/>
      <c r="Z95" s="11"/>
      <c r="AA95" s="11"/>
      <c r="AB95" s="11"/>
    </row>
    <row r="96" spans="1:28" ht="14.25" customHeight="1">
      <c r="A96" s="38"/>
      <c r="B96" s="31"/>
      <c r="C96" s="4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41"/>
      <c r="U96" s="11"/>
      <c r="V96" s="11"/>
      <c r="W96" s="11"/>
      <c r="X96" s="11"/>
      <c r="Y96" s="11"/>
      <c r="Z96" s="11"/>
      <c r="AA96" s="11"/>
      <c r="AB96" s="11"/>
    </row>
    <row r="97" spans="1:28" ht="14.25" customHeight="1">
      <c r="A97" s="38"/>
      <c r="B97" s="3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41"/>
      <c r="U97" s="11"/>
      <c r="V97" s="11"/>
      <c r="W97" s="11"/>
      <c r="X97" s="11"/>
      <c r="Y97" s="11"/>
      <c r="Z97" s="11"/>
      <c r="AA97" s="11"/>
      <c r="AB97" s="11"/>
    </row>
    <row r="98" spans="1:28" ht="14.25" customHeight="1">
      <c r="A98" s="38"/>
      <c r="B98" s="3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41"/>
      <c r="U98" s="11"/>
      <c r="V98" s="11"/>
      <c r="W98" s="11"/>
      <c r="X98" s="11"/>
      <c r="Y98" s="11"/>
      <c r="Z98" s="11"/>
      <c r="AA98" s="11"/>
      <c r="AB98" s="11"/>
    </row>
    <row r="99" spans="1:28" ht="14.25" customHeight="1">
      <c r="A99" s="38"/>
      <c r="B99" s="31"/>
      <c r="C99" s="39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41"/>
      <c r="U99" s="11"/>
      <c r="V99" s="11"/>
      <c r="W99" s="11"/>
      <c r="X99" s="11"/>
      <c r="Y99" s="11"/>
      <c r="Z99" s="11"/>
      <c r="AA99" s="11"/>
      <c r="AB99" s="11"/>
    </row>
    <row r="100" spans="1:28" ht="14.25" customHeight="1">
      <c r="A100" s="38"/>
      <c r="B100" s="3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41"/>
      <c r="U100" s="11"/>
      <c r="V100" s="11"/>
      <c r="W100" s="11"/>
      <c r="X100" s="11"/>
      <c r="Y100" s="11"/>
      <c r="Z100" s="11"/>
      <c r="AA100" s="11"/>
      <c r="AB100" s="11"/>
    </row>
    <row r="101" spans="1:28" ht="14.25" customHeight="1">
      <c r="A101" s="38"/>
      <c r="B101" s="3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41"/>
      <c r="U101" s="11"/>
      <c r="V101" s="11"/>
      <c r="W101" s="11"/>
      <c r="X101" s="11"/>
      <c r="Y101" s="11"/>
      <c r="Z101" s="11"/>
      <c r="AA101" s="11"/>
      <c r="AB101" s="11"/>
    </row>
    <row r="102" spans="1:28" ht="14.25" customHeight="1">
      <c r="A102" s="38"/>
      <c r="B102" s="3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41"/>
      <c r="U102" s="11"/>
      <c r="V102" s="11"/>
      <c r="W102" s="11"/>
      <c r="X102" s="11"/>
      <c r="Y102" s="11"/>
      <c r="Z102" s="11"/>
      <c r="AA102" s="11"/>
      <c r="AB102" s="11"/>
    </row>
    <row r="103" spans="1:28" ht="14.25" customHeight="1">
      <c r="A103" s="38"/>
      <c r="B103" s="3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41"/>
      <c r="U103" s="11"/>
      <c r="V103" s="11"/>
      <c r="W103" s="11"/>
      <c r="X103" s="11"/>
      <c r="Y103" s="11"/>
      <c r="Z103" s="11"/>
      <c r="AA103" s="11"/>
      <c r="AB103" s="11"/>
    </row>
    <row r="104" spans="1:28" ht="14.25" customHeight="1">
      <c r="A104" s="38"/>
      <c r="B104" s="3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41"/>
      <c r="U104" s="11"/>
      <c r="V104" s="11"/>
      <c r="W104" s="11"/>
      <c r="X104" s="11"/>
      <c r="Y104" s="11"/>
      <c r="Z104" s="11"/>
      <c r="AA104" s="11"/>
      <c r="AB104" s="11"/>
    </row>
    <row r="105" spans="1:28" ht="14.25" customHeight="1">
      <c r="A105" s="38"/>
      <c r="B105" s="3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41"/>
      <c r="U105" s="11"/>
      <c r="V105" s="11"/>
      <c r="W105" s="11"/>
      <c r="X105" s="11"/>
      <c r="Y105" s="11"/>
      <c r="Z105" s="11"/>
      <c r="AA105" s="11"/>
      <c r="AB105" s="11"/>
    </row>
    <row r="106" spans="1:28" ht="14.25" customHeight="1">
      <c r="A106" s="38"/>
      <c r="B106" s="3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41"/>
      <c r="U106" s="11"/>
      <c r="V106" s="11"/>
      <c r="W106" s="11"/>
      <c r="X106" s="11"/>
      <c r="Y106" s="11"/>
      <c r="Z106" s="11"/>
      <c r="AA106" s="11"/>
      <c r="AB106" s="11"/>
    </row>
    <row r="107" spans="1:28" ht="14.25" customHeight="1">
      <c r="A107" s="38"/>
      <c r="B107" s="3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41"/>
      <c r="U107" s="11"/>
      <c r="V107" s="11"/>
      <c r="W107" s="11"/>
      <c r="X107" s="11"/>
      <c r="Y107" s="11"/>
      <c r="Z107" s="11"/>
      <c r="AA107" s="11"/>
      <c r="AB107" s="11"/>
    </row>
    <row r="108" spans="1:28" ht="14.25" customHeight="1">
      <c r="A108" s="38"/>
      <c r="B108" s="3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41"/>
      <c r="U108" s="11"/>
      <c r="V108" s="11"/>
      <c r="W108" s="11"/>
      <c r="X108" s="11"/>
      <c r="Y108" s="11"/>
      <c r="Z108" s="11"/>
      <c r="AA108" s="11"/>
      <c r="AB108" s="11"/>
    </row>
    <row r="109" spans="1:28" ht="14.25" customHeight="1">
      <c r="A109" s="38"/>
      <c r="B109" s="3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41"/>
      <c r="U109" s="11"/>
      <c r="V109" s="11"/>
      <c r="W109" s="11"/>
      <c r="X109" s="11"/>
      <c r="Y109" s="11"/>
      <c r="Z109" s="11"/>
      <c r="AA109" s="11"/>
      <c r="AB109" s="11"/>
    </row>
    <row r="110" spans="1:28" ht="14.25" customHeight="1">
      <c r="A110" s="38"/>
      <c r="B110" s="3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41"/>
      <c r="U110" s="11"/>
      <c r="V110" s="11"/>
      <c r="W110" s="11"/>
      <c r="X110" s="11"/>
      <c r="Y110" s="11"/>
      <c r="Z110" s="11"/>
      <c r="AA110" s="11"/>
      <c r="AB110" s="11"/>
    </row>
    <row r="111" spans="1:28" ht="14.25" customHeight="1">
      <c r="A111" s="38"/>
      <c r="B111" s="3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41"/>
      <c r="U111" s="11"/>
      <c r="V111" s="11"/>
      <c r="W111" s="11"/>
      <c r="X111" s="11"/>
      <c r="Y111" s="11"/>
      <c r="Z111" s="11"/>
      <c r="AA111" s="11"/>
      <c r="AB111" s="11"/>
    </row>
    <row r="112" spans="1:28" ht="14.25" customHeight="1">
      <c r="A112" s="38"/>
      <c r="B112" s="3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41"/>
      <c r="U112" s="11"/>
      <c r="V112" s="11"/>
      <c r="W112" s="11"/>
      <c r="X112" s="11"/>
      <c r="Y112" s="11"/>
      <c r="Z112" s="11"/>
      <c r="AA112" s="11"/>
      <c r="AB112" s="11"/>
    </row>
    <row r="113" spans="1:28" ht="14.25" customHeight="1">
      <c r="A113" s="38"/>
      <c r="B113" s="3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41"/>
      <c r="U113" s="11"/>
      <c r="V113" s="11"/>
      <c r="W113" s="11"/>
      <c r="X113" s="11"/>
      <c r="Y113" s="11"/>
      <c r="Z113" s="11"/>
      <c r="AA113" s="11"/>
      <c r="AB113" s="11"/>
    </row>
    <row r="114" spans="1:28" ht="14.25" customHeight="1">
      <c r="A114" s="38"/>
      <c r="B114" s="3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41"/>
      <c r="U114" s="11"/>
      <c r="V114" s="11"/>
      <c r="W114" s="11"/>
      <c r="X114" s="11"/>
      <c r="Y114" s="11"/>
      <c r="Z114" s="11"/>
      <c r="AA114" s="11"/>
      <c r="AB114" s="11"/>
    </row>
    <row r="115" spans="1:28" ht="14.25" customHeight="1">
      <c r="A115" s="38"/>
      <c r="B115" s="3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41"/>
      <c r="U115" s="11"/>
      <c r="V115" s="11"/>
      <c r="W115" s="11"/>
      <c r="X115" s="11"/>
      <c r="Y115" s="11"/>
      <c r="Z115" s="11"/>
      <c r="AA115" s="11"/>
      <c r="AB115" s="11"/>
    </row>
    <row r="116" spans="1:28" ht="14.25" customHeight="1">
      <c r="A116" s="38"/>
      <c r="B116" s="3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41"/>
      <c r="U116" s="11"/>
      <c r="V116" s="11"/>
      <c r="W116" s="11"/>
      <c r="X116" s="11"/>
      <c r="Y116" s="11"/>
      <c r="Z116" s="11"/>
      <c r="AA116" s="11"/>
      <c r="AB116" s="11"/>
    </row>
    <row r="117" spans="1:28" ht="14.25" customHeight="1">
      <c r="A117" s="38"/>
      <c r="B117" s="3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41"/>
      <c r="U117" s="11"/>
      <c r="V117" s="11"/>
      <c r="W117" s="11"/>
      <c r="X117" s="11"/>
      <c r="Y117" s="11"/>
      <c r="Z117" s="11"/>
      <c r="AA117" s="11"/>
      <c r="AB117" s="11"/>
    </row>
    <row r="118" spans="1:28" ht="14.25" customHeight="1">
      <c r="A118" s="38"/>
      <c r="B118" s="3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41"/>
      <c r="U118" s="11"/>
      <c r="V118" s="11"/>
      <c r="W118" s="11"/>
      <c r="X118" s="11"/>
      <c r="Y118" s="11"/>
      <c r="Z118" s="11"/>
      <c r="AA118" s="11"/>
      <c r="AB118" s="11"/>
    </row>
    <row r="119" spans="1:28" ht="14.25" customHeight="1">
      <c r="A119" s="38"/>
      <c r="B119" s="3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41"/>
      <c r="U119" s="11"/>
      <c r="V119" s="11"/>
      <c r="W119" s="11"/>
      <c r="X119" s="11"/>
      <c r="Y119" s="11"/>
      <c r="Z119" s="11"/>
      <c r="AA119" s="11"/>
      <c r="AB119" s="11"/>
    </row>
    <row r="120" spans="1:28" ht="14.25" customHeight="1">
      <c r="A120" s="38"/>
      <c r="B120" s="3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41"/>
      <c r="U120" s="11"/>
      <c r="V120" s="11"/>
      <c r="W120" s="11"/>
      <c r="X120" s="11"/>
      <c r="Y120" s="11"/>
      <c r="Z120" s="11"/>
      <c r="AA120" s="11"/>
      <c r="AB120" s="11"/>
    </row>
    <row r="121" spans="1:28" ht="14.25" customHeight="1">
      <c r="A121" s="38"/>
      <c r="B121" s="3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41"/>
      <c r="U121" s="11"/>
      <c r="V121" s="11"/>
      <c r="W121" s="11"/>
      <c r="X121" s="11"/>
      <c r="Y121" s="11"/>
      <c r="Z121" s="11"/>
      <c r="AA121" s="11"/>
      <c r="AB121" s="11"/>
    </row>
    <row r="122" spans="1:28" ht="14.25" customHeight="1">
      <c r="A122" s="38"/>
      <c r="B122" s="3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41"/>
      <c r="U122" s="11"/>
      <c r="V122" s="11"/>
      <c r="W122" s="11"/>
      <c r="X122" s="11"/>
      <c r="Y122" s="11"/>
      <c r="Z122" s="11"/>
      <c r="AA122" s="11"/>
      <c r="AB122" s="11"/>
    </row>
    <row r="123" spans="1:28" ht="14.25" customHeight="1">
      <c r="A123" s="38"/>
      <c r="B123" s="3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41"/>
      <c r="U123" s="11"/>
      <c r="V123" s="11"/>
      <c r="W123" s="11"/>
      <c r="X123" s="11"/>
      <c r="Y123" s="11"/>
      <c r="Z123" s="11"/>
      <c r="AA123" s="11"/>
      <c r="AB123" s="11"/>
    </row>
    <row r="124" spans="1:28" ht="14.25" customHeight="1">
      <c r="A124" s="38"/>
      <c r="B124" s="3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41"/>
      <c r="U124" s="11"/>
      <c r="V124" s="11"/>
      <c r="W124" s="11"/>
      <c r="X124" s="11"/>
      <c r="Y124" s="11"/>
      <c r="Z124" s="11"/>
      <c r="AA124" s="11"/>
      <c r="AB124" s="11"/>
    </row>
    <row r="125" spans="1:28" ht="14.25" customHeight="1">
      <c r="A125" s="38"/>
      <c r="B125" s="3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41"/>
      <c r="U125" s="11"/>
      <c r="V125" s="11"/>
      <c r="W125" s="11"/>
      <c r="X125" s="11"/>
      <c r="Y125" s="11"/>
      <c r="Z125" s="11"/>
      <c r="AA125" s="11"/>
      <c r="AB125" s="11"/>
    </row>
    <row r="126" spans="1:28" ht="14.25" customHeight="1">
      <c r="A126" s="38"/>
      <c r="B126" s="3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41"/>
      <c r="U126" s="11"/>
      <c r="V126" s="11"/>
      <c r="W126" s="11"/>
      <c r="X126" s="11"/>
      <c r="Y126" s="11"/>
      <c r="Z126" s="11"/>
      <c r="AA126" s="11"/>
      <c r="AB126" s="11"/>
    </row>
    <row r="127" spans="1:28" ht="14.25" customHeight="1">
      <c r="A127" s="38"/>
      <c r="B127" s="3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41"/>
      <c r="U127" s="11"/>
      <c r="V127" s="11"/>
      <c r="W127" s="11"/>
      <c r="X127" s="11"/>
      <c r="Y127" s="11"/>
      <c r="Z127" s="11"/>
      <c r="AA127" s="11"/>
      <c r="AB127" s="11"/>
    </row>
    <row r="128" spans="1:28" ht="14.25" customHeight="1">
      <c r="A128" s="38"/>
      <c r="B128" s="3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41"/>
      <c r="U128" s="11"/>
      <c r="V128" s="11"/>
      <c r="W128" s="11"/>
      <c r="X128" s="11"/>
      <c r="Y128" s="11"/>
      <c r="Z128" s="11"/>
      <c r="AA128" s="11"/>
      <c r="AB128" s="11"/>
    </row>
    <row r="129" spans="1:28" ht="14.25" customHeight="1">
      <c r="A129" s="38"/>
      <c r="B129" s="3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41"/>
      <c r="U129" s="11"/>
      <c r="V129" s="11"/>
      <c r="W129" s="11"/>
      <c r="X129" s="11"/>
      <c r="Y129" s="11"/>
      <c r="Z129" s="11"/>
      <c r="AA129" s="11"/>
      <c r="AB129" s="11"/>
    </row>
    <row r="130" spans="1:28" ht="14.25" customHeight="1">
      <c r="A130" s="38"/>
      <c r="B130" s="3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41"/>
      <c r="U130" s="11"/>
      <c r="V130" s="11"/>
      <c r="W130" s="11"/>
      <c r="X130" s="11"/>
      <c r="Y130" s="11"/>
      <c r="Z130" s="11"/>
      <c r="AA130" s="11"/>
      <c r="AB130" s="11"/>
    </row>
    <row r="131" spans="1:28" ht="14.25" customHeight="1">
      <c r="A131" s="38"/>
      <c r="B131" s="3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41"/>
      <c r="U131" s="11"/>
      <c r="V131" s="11"/>
      <c r="W131" s="11"/>
      <c r="X131" s="11"/>
      <c r="Y131" s="11"/>
      <c r="Z131" s="11"/>
      <c r="AA131" s="11"/>
      <c r="AB131" s="11"/>
    </row>
    <row r="132" spans="1:28" ht="14.25" customHeight="1">
      <c r="A132" s="38"/>
      <c r="B132" s="3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41"/>
      <c r="U132" s="11"/>
      <c r="V132" s="11"/>
      <c r="W132" s="11"/>
      <c r="X132" s="11"/>
      <c r="Y132" s="11"/>
      <c r="Z132" s="11"/>
      <c r="AA132" s="11"/>
      <c r="AB132" s="11"/>
    </row>
    <row r="133" spans="1:28" ht="14.25" customHeight="1">
      <c r="A133" s="38"/>
      <c r="B133" s="3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41"/>
      <c r="U133" s="11"/>
      <c r="V133" s="11"/>
      <c r="W133" s="11"/>
      <c r="X133" s="11"/>
      <c r="Y133" s="11"/>
      <c r="Z133" s="11"/>
      <c r="AA133" s="11"/>
      <c r="AB133" s="11"/>
    </row>
    <row r="134" spans="1:28" ht="14.25" customHeight="1">
      <c r="A134" s="38"/>
      <c r="B134" s="3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41"/>
      <c r="U134" s="11"/>
      <c r="V134" s="11"/>
      <c r="W134" s="11"/>
      <c r="X134" s="11"/>
      <c r="Y134" s="11"/>
      <c r="Z134" s="11"/>
      <c r="AA134" s="11"/>
      <c r="AB134" s="11"/>
    </row>
    <row r="135" spans="1:28" ht="14.25" customHeight="1">
      <c r="A135" s="38"/>
      <c r="B135" s="3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41"/>
      <c r="U135" s="11"/>
      <c r="V135" s="11"/>
      <c r="W135" s="11"/>
      <c r="X135" s="11"/>
      <c r="Y135" s="11"/>
      <c r="Z135" s="11"/>
      <c r="AA135" s="11"/>
      <c r="AB135" s="11"/>
    </row>
    <row r="136" spans="1:28" ht="14.25" customHeight="1">
      <c r="A136" s="38"/>
      <c r="B136" s="3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41"/>
      <c r="U136" s="11"/>
      <c r="V136" s="11"/>
      <c r="W136" s="11"/>
      <c r="X136" s="11"/>
      <c r="Y136" s="11"/>
      <c r="Z136" s="11"/>
      <c r="AA136" s="11"/>
      <c r="AB136" s="11"/>
    </row>
    <row r="137" spans="1:28" ht="14.25" customHeight="1">
      <c r="A137" s="38"/>
      <c r="B137" s="3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41"/>
      <c r="U137" s="11"/>
      <c r="V137" s="11"/>
      <c r="W137" s="11"/>
      <c r="X137" s="11"/>
      <c r="Y137" s="11"/>
      <c r="Z137" s="11"/>
      <c r="AA137" s="11"/>
      <c r="AB137" s="11"/>
    </row>
    <row r="138" spans="1:28" ht="14.25" customHeight="1">
      <c r="A138" s="38"/>
      <c r="B138" s="3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41"/>
      <c r="U138" s="11"/>
      <c r="V138" s="11"/>
      <c r="W138" s="11"/>
      <c r="X138" s="11"/>
      <c r="Y138" s="11"/>
      <c r="Z138" s="11"/>
      <c r="AA138" s="11"/>
      <c r="AB138" s="11"/>
    </row>
    <row r="139" spans="1:28" ht="14.25" customHeight="1">
      <c r="A139" s="38"/>
      <c r="B139" s="3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41"/>
      <c r="U139" s="11"/>
      <c r="V139" s="11"/>
      <c r="W139" s="11"/>
      <c r="X139" s="11"/>
      <c r="Y139" s="11"/>
      <c r="Z139" s="11"/>
      <c r="AA139" s="11"/>
      <c r="AB139" s="11"/>
    </row>
    <row r="140" spans="1:28" ht="14.25" customHeight="1">
      <c r="A140" s="38"/>
      <c r="B140" s="3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41"/>
      <c r="U140" s="11"/>
      <c r="V140" s="11"/>
      <c r="W140" s="11"/>
      <c r="X140" s="11"/>
      <c r="Y140" s="11"/>
      <c r="Z140" s="11"/>
      <c r="AA140" s="11"/>
      <c r="AB140" s="11"/>
    </row>
    <row r="141" spans="1:28" ht="14.25" customHeight="1">
      <c r="A141" s="38"/>
      <c r="B141" s="3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41"/>
      <c r="U141" s="11"/>
      <c r="V141" s="11"/>
      <c r="W141" s="11"/>
      <c r="X141" s="11"/>
      <c r="Y141" s="11"/>
      <c r="Z141" s="11"/>
      <c r="AA141" s="11"/>
      <c r="AB141" s="11"/>
    </row>
    <row r="142" spans="1:28" ht="14.25" customHeight="1">
      <c r="A142" s="38"/>
      <c r="B142" s="3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41"/>
      <c r="U142" s="11"/>
      <c r="V142" s="11"/>
      <c r="W142" s="11"/>
      <c r="X142" s="11"/>
      <c r="Y142" s="11"/>
      <c r="Z142" s="11"/>
      <c r="AA142" s="11"/>
      <c r="AB142" s="11"/>
    </row>
    <row r="143" spans="1:28" ht="14.25" customHeight="1">
      <c r="A143" s="38"/>
      <c r="B143" s="3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41"/>
      <c r="U143" s="11"/>
      <c r="V143" s="11"/>
      <c r="W143" s="11"/>
      <c r="X143" s="11"/>
      <c r="Y143" s="11"/>
      <c r="Z143" s="11"/>
      <c r="AA143" s="11"/>
      <c r="AB143" s="11"/>
    </row>
    <row r="144" spans="1:28" ht="14.25" customHeight="1">
      <c r="A144" s="38"/>
      <c r="B144" s="3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41"/>
      <c r="U144" s="11"/>
      <c r="V144" s="11"/>
      <c r="W144" s="11"/>
      <c r="X144" s="11"/>
      <c r="Y144" s="11"/>
      <c r="Z144" s="11"/>
      <c r="AA144" s="11"/>
      <c r="AB144" s="11"/>
    </row>
    <row r="145" spans="1:28" ht="14.25" customHeight="1">
      <c r="A145" s="38"/>
      <c r="B145" s="3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41"/>
      <c r="U145" s="11"/>
      <c r="V145" s="11"/>
      <c r="W145" s="11"/>
      <c r="X145" s="11"/>
      <c r="Y145" s="11"/>
      <c r="Z145" s="11"/>
      <c r="AA145" s="11"/>
      <c r="AB145" s="11"/>
    </row>
    <row r="146" spans="1:28" ht="14.25" customHeight="1">
      <c r="A146" s="38"/>
      <c r="B146" s="3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41"/>
      <c r="U146" s="11"/>
      <c r="V146" s="11"/>
      <c r="W146" s="11"/>
      <c r="X146" s="11"/>
      <c r="Y146" s="11"/>
      <c r="Z146" s="11"/>
      <c r="AA146" s="11"/>
      <c r="AB146" s="11"/>
    </row>
    <row r="147" spans="1:28" ht="14.25" customHeight="1">
      <c r="A147" s="38"/>
      <c r="B147" s="3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41"/>
      <c r="U147" s="11"/>
      <c r="V147" s="11"/>
      <c r="W147" s="11"/>
      <c r="X147" s="11"/>
      <c r="Y147" s="11"/>
      <c r="Z147" s="11"/>
      <c r="AA147" s="11"/>
      <c r="AB147" s="11"/>
    </row>
    <row r="148" spans="1:28" ht="14.25" customHeight="1">
      <c r="A148" s="38"/>
      <c r="B148" s="3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41"/>
      <c r="U148" s="11"/>
      <c r="V148" s="11"/>
      <c r="W148" s="11"/>
      <c r="X148" s="11"/>
      <c r="Y148" s="11"/>
      <c r="Z148" s="11"/>
      <c r="AA148" s="11"/>
      <c r="AB148" s="11"/>
    </row>
    <row r="149" spans="1:28" ht="14.25" customHeight="1">
      <c r="A149" s="38"/>
      <c r="B149" s="3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41"/>
      <c r="U149" s="11"/>
      <c r="V149" s="11"/>
      <c r="W149" s="11"/>
      <c r="X149" s="11"/>
      <c r="Y149" s="11"/>
      <c r="Z149" s="11"/>
      <c r="AA149" s="11"/>
      <c r="AB149" s="11"/>
    </row>
    <row r="150" spans="1:28" ht="14.25" customHeight="1">
      <c r="A150" s="38"/>
      <c r="B150" s="3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41"/>
      <c r="U150" s="11"/>
      <c r="V150" s="11"/>
      <c r="W150" s="11"/>
      <c r="X150" s="11"/>
      <c r="Y150" s="11"/>
      <c r="Z150" s="11"/>
      <c r="AA150" s="11"/>
      <c r="AB150" s="11"/>
    </row>
    <row r="151" spans="1:28" ht="14.25" customHeight="1">
      <c r="A151" s="38"/>
      <c r="B151" s="3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41"/>
      <c r="U151" s="11"/>
      <c r="V151" s="11"/>
      <c r="W151" s="11"/>
      <c r="X151" s="11"/>
      <c r="Y151" s="11"/>
      <c r="Z151" s="11"/>
      <c r="AA151" s="11"/>
      <c r="AB151" s="11"/>
    </row>
    <row r="152" spans="1:28" ht="14.25" customHeight="1">
      <c r="A152" s="38"/>
      <c r="B152" s="3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41"/>
      <c r="U152" s="11"/>
      <c r="V152" s="11"/>
      <c r="W152" s="11"/>
      <c r="X152" s="11"/>
      <c r="Y152" s="11"/>
      <c r="Z152" s="11"/>
      <c r="AA152" s="11"/>
      <c r="AB152" s="11"/>
    </row>
    <row r="153" spans="1:28" ht="14.25" customHeight="1">
      <c r="A153" s="38"/>
      <c r="B153" s="3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41"/>
      <c r="U153" s="11"/>
      <c r="V153" s="11"/>
      <c r="W153" s="11"/>
      <c r="X153" s="11"/>
      <c r="Y153" s="11"/>
      <c r="Z153" s="11"/>
      <c r="AA153" s="11"/>
      <c r="AB153" s="11"/>
    </row>
    <row r="154" spans="1:28" ht="14.25" customHeight="1">
      <c r="A154" s="38"/>
      <c r="B154" s="3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41"/>
      <c r="U154" s="11"/>
      <c r="V154" s="11"/>
      <c r="W154" s="11"/>
      <c r="X154" s="11"/>
      <c r="Y154" s="11"/>
      <c r="Z154" s="11"/>
      <c r="AA154" s="11"/>
      <c r="AB154" s="11"/>
    </row>
    <row r="155" spans="1:28" ht="14.25" customHeight="1">
      <c r="A155" s="38"/>
      <c r="B155" s="3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41"/>
      <c r="U155" s="11"/>
      <c r="V155" s="11"/>
      <c r="W155" s="11"/>
      <c r="X155" s="11"/>
      <c r="Y155" s="11"/>
      <c r="Z155" s="11"/>
      <c r="AA155" s="11"/>
      <c r="AB155" s="11"/>
    </row>
    <row r="156" spans="1:28" ht="14.25" customHeight="1">
      <c r="A156" s="38"/>
      <c r="B156" s="3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41"/>
      <c r="U156" s="11"/>
      <c r="V156" s="11"/>
      <c r="W156" s="11"/>
      <c r="X156" s="11"/>
      <c r="Y156" s="11"/>
      <c r="Z156" s="11"/>
      <c r="AA156" s="11"/>
      <c r="AB156" s="11"/>
    </row>
    <row r="157" spans="1:28" ht="14.25" customHeight="1">
      <c r="A157" s="38"/>
      <c r="B157" s="3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41"/>
      <c r="U157" s="11"/>
      <c r="V157" s="11"/>
      <c r="W157" s="11"/>
      <c r="X157" s="11"/>
      <c r="Y157" s="11"/>
      <c r="Z157" s="11"/>
      <c r="AA157" s="11"/>
      <c r="AB157" s="11"/>
    </row>
    <row r="158" spans="1:28" ht="14.25" customHeight="1">
      <c r="A158" s="38"/>
      <c r="B158" s="3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41"/>
      <c r="U158" s="11"/>
      <c r="V158" s="11"/>
      <c r="W158" s="11"/>
      <c r="X158" s="11"/>
      <c r="Y158" s="11"/>
      <c r="Z158" s="11"/>
      <c r="AA158" s="11"/>
      <c r="AB158" s="11"/>
    </row>
    <row r="159" spans="1:28" ht="14.25" customHeight="1">
      <c r="A159" s="38"/>
      <c r="B159" s="3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41"/>
      <c r="U159" s="11"/>
      <c r="V159" s="11"/>
      <c r="W159" s="11"/>
      <c r="X159" s="11"/>
      <c r="Y159" s="11"/>
      <c r="Z159" s="11"/>
      <c r="AA159" s="11"/>
      <c r="AB159" s="11"/>
    </row>
    <row r="160" spans="1:28" ht="14.25" customHeight="1">
      <c r="A160" s="38"/>
      <c r="B160" s="3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41"/>
      <c r="U160" s="11"/>
      <c r="V160" s="11"/>
      <c r="W160" s="11"/>
      <c r="X160" s="11"/>
      <c r="Y160" s="11"/>
      <c r="Z160" s="11"/>
      <c r="AA160" s="11"/>
      <c r="AB160" s="11"/>
    </row>
    <row r="161" spans="1:28" ht="14.25" customHeight="1">
      <c r="A161" s="38"/>
      <c r="B161" s="3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41"/>
      <c r="U161" s="11"/>
      <c r="V161" s="11"/>
      <c r="W161" s="11"/>
      <c r="X161" s="11"/>
      <c r="Y161" s="11"/>
      <c r="Z161" s="11"/>
      <c r="AA161" s="11"/>
      <c r="AB161" s="11"/>
    </row>
    <row r="162" spans="1:28" ht="14.25" customHeight="1">
      <c r="A162" s="38"/>
      <c r="B162" s="3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41"/>
      <c r="U162" s="11"/>
      <c r="V162" s="11"/>
      <c r="W162" s="11"/>
      <c r="X162" s="11"/>
      <c r="Y162" s="11"/>
      <c r="Z162" s="11"/>
      <c r="AA162" s="11"/>
      <c r="AB162" s="11"/>
    </row>
    <row r="163" spans="1:28" ht="14.25" customHeight="1">
      <c r="A163" s="38"/>
      <c r="B163" s="3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41"/>
      <c r="U163" s="11"/>
      <c r="V163" s="11"/>
      <c r="W163" s="11"/>
      <c r="X163" s="11"/>
      <c r="Y163" s="11"/>
      <c r="Z163" s="11"/>
      <c r="AA163" s="11"/>
      <c r="AB163" s="11"/>
    </row>
    <row r="164" spans="1:28" ht="14.25" customHeight="1">
      <c r="A164" s="38"/>
      <c r="B164" s="3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41"/>
      <c r="U164" s="11"/>
      <c r="V164" s="11"/>
      <c r="W164" s="11"/>
      <c r="X164" s="11"/>
      <c r="Y164" s="11"/>
      <c r="Z164" s="11"/>
      <c r="AA164" s="11"/>
      <c r="AB164" s="11"/>
    </row>
    <row r="165" spans="1:28" ht="14.25" customHeight="1">
      <c r="A165" s="38"/>
      <c r="B165" s="3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41"/>
      <c r="U165" s="11"/>
      <c r="V165" s="11"/>
      <c r="W165" s="11"/>
      <c r="X165" s="11"/>
      <c r="Y165" s="11"/>
      <c r="Z165" s="11"/>
      <c r="AA165" s="11"/>
      <c r="AB165" s="11"/>
    </row>
    <row r="166" spans="1:28" ht="14.25" customHeight="1">
      <c r="A166" s="38"/>
      <c r="B166" s="3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41"/>
      <c r="U166" s="11"/>
      <c r="V166" s="11"/>
      <c r="W166" s="11"/>
      <c r="X166" s="11"/>
      <c r="Y166" s="11"/>
      <c r="Z166" s="11"/>
      <c r="AA166" s="11"/>
      <c r="AB166" s="11"/>
    </row>
    <row r="167" spans="1:28" ht="14.25" customHeight="1">
      <c r="A167" s="38"/>
      <c r="B167" s="3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41"/>
      <c r="U167" s="11"/>
      <c r="V167" s="11"/>
      <c r="W167" s="11"/>
      <c r="X167" s="11"/>
      <c r="Y167" s="11"/>
      <c r="Z167" s="11"/>
      <c r="AA167" s="11"/>
      <c r="AB167" s="11"/>
    </row>
    <row r="168" spans="1:28" ht="14.25" customHeight="1">
      <c r="A168" s="38"/>
      <c r="B168" s="3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41"/>
      <c r="U168" s="11"/>
      <c r="V168" s="11"/>
      <c r="W168" s="11"/>
      <c r="X168" s="11"/>
      <c r="Y168" s="11"/>
      <c r="Z168" s="11"/>
      <c r="AA168" s="11"/>
      <c r="AB168" s="11"/>
    </row>
    <row r="169" spans="1:28" ht="14.25" customHeight="1">
      <c r="A169" s="38"/>
      <c r="B169" s="3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41"/>
      <c r="U169" s="11"/>
      <c r="V169" s="11"/>
      <c r="W169" s="11"/>
      <c r="X169" s="11"/>
      <c r="Y169" s="11"/>
      <c r="Z169" s="11"/>
      <c r="AA169" s="11"/>
      <c r="AB169" s="11"/>
    </row>
    <row r="170" spans="1:28" ht="14.25" customHeight="1">
      <c r="A170" s="38"/>
      <c r="B170" s="3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41"/>
      <c r="U170" s="11"/>
      <c r="V170" s="11"/>
      <c r="W170" s="11"/>
      <c r="X170" s="11"/>
      <c r="Y170" s="11"/>
      <c r="Z170" s="11"/>
      <c r="AA170" s="11"/>
      <c r="AB170" s="11"/>
    </row>
    <row r="171" spans="1:28" ht="14.25" customHeight="1">
      <c r="A171" s="38"/>
      <c r="B171" s="3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41"/>
      <c r="U171" s="11"/>
      <c r="V171" s="11"/>
      <c r="W171" s="11"/>
      <c r="X171" s="11"/>
      <c r="Y171" s="11"/>
      <c r="Z171" s="11"/>
      <c r="AA171" s="11"/>
      <c r="AB171" s="11"/>
    </row>
    <row r="172" spans="1:28" ht="14.25" customHeight="1">
      <c r="A172" s="38"/>
      <c r="B172" s="3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41"/>
      <c r="U172" s="11"/>
      <c r="V172" s="11"/>
      <c r="W172" s="11"/>
      <c r="X172" s="11"/>
      <c r="Y172" s="11"/>
      <c r="Z172" s="11"/>
      <c r="AA172" s="11"/>
      <c r="AB172" s="11"/>
    </row>
    <row r="173" spans="1:28" ht="14.25" customHeight="1">
      <c r="A173" s="38"/>
      <c r="B173" s="3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41"/>
      <c r="U173" s="11"/>
      <c r="V173" s="11"/>
      <c r="W173" s="11"/>
      <c r="X173" s="11"/>
      <c r="Y173" s="11"/>
      <c r="Z173" s="11"/>
      <c r="AA173" s="11"/>
      <c r="AB173" s="11"/>
    </row>
    <row r="174" spans="1:28" ht="14.25" customHeight="1">
      <c r="A174" s="38"/>
      <c r="B174" s="3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41"/>
      <c r="U174" s="11"/>
      <c r="V174" s="11"/>
      <c r="W174" s="11"/>
      <c r="X174" s="11"/>
      <c r="Y174" s="11"/>
      <c r="Z174" s="11"/>
      <c r="AA174" s="11"/>
      <c r="AB174" s="11"/>
    </row>
    <row r="175" spans="1:28" ht="14.25" customHeight="1">
      <c r="A175" s="38"/>
      <c r="B175" s="3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41"/>
      <c r="U175" s="11"/>
      <c r="V175" s="11"/>
      <c r="W175" s="11"/>
      <c r="X175" s="11"/>
      <c r="Y175" s="11"/>
      <c r="Z175" s="11"/>
      <c r="AA175" s="11"/>
      <c r="AB175" s="11"/>
    </row>
    <row r="176" spans="1:28" ht="14.25" customHeight="1">
      <c r="A176" s="38"/>
      <c r="B176" s="3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41"/>
      <c r="U176" s="11"/>
      <c r="V176" s="11"/>
      <c r="W176" s="11"/>
      <c r="X176" s="11"/>
      <c r="Y176" s="11"/>
      <c r="Z176" s="11"/>
      <c r="AA176" s="11"/>
      <c r="AB176" s="11"/>
    </row>
    <row r="177" spans="1:28" ht="14.25" customHeight="1">
      <c r="A177" s="38"/>
      <c r="B177" s="3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41"/>
      <c r="U177" s="11"/>
      <c r="V177" s="11"/>
      <c r="W177" s="11"/>
      <c r="X177" s="11"/>
      <c r="Y177" s="11"/>
      <c r="Z177" s="11"/>
      <c r="AA177" s="11"/>
      <c r="AB177" s="11"/>
    </row>
    <row r="178" spans="1:28" ht="14.25" customHeight="1">
      <c r="A178" s="38"/>
      <c r="B178" s="3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41"/>
      <c r="U178" s="11"/>
      <c r="V178" s="11"/>
      <c r="W178" s="11"/>
      <c r="X178" s="11"/>
      <c r="Y178" s="11"/>
      <c r="Z178" s="11"/>
      <c r="AA178" s="11"/>
      <c r="AB178" s="11"/>
    </row>
    <row r="179" spans="1:28" ht="14.25" customHeight="1">
      <c r="A179" s="38"/>
      <c r="B179" s="3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41"/>
      <c r="U179" s="11"/>
      <c r="V179" s="11"/>
      <c r="W179" s="11"/>
      <c r="X179" s="11"/>
      <c r="Y179" s="11"/>
      <c r="Z179" s="11"/>
      <c r="AA179" s="11"/>
      <c r="AB179" s="11"/>
    </row>
    <row r="180" spans="1:28" ht="14.25" customHeight="1">
      <c r="A180" s="38"/>
      <c r="B180" s="3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41"/>
      <c r="U180" s="11"/>
      <c r="V180" s="11"/>
      <c r="W180" s="11"/>
      <c r="X180" s="11"/>
      <c r="Y180" s="11"/>
      <c r="Z180" s="11"/>
      <c r="AA180" s="11"/>
      <c r="AB180" s="11"/>
    </row>
    <row r="181" spans="1:28" ht="14.25" customHeight="1">
      <c r="A181" s="38"/>
      <c r="B181" s="3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41"/>
      <c r="U181" s="11"/>
      <c r="V181" s="11"/>
      <c r="W181" s="11"/>
      <c r="X181" s="11"/>
      <c r="Y181" s="11"/>
      <c r="Z181" s="11"/>
      <c r="AA181" s="11"/>
      <c r="AB181" s="11"/>
    </row>
    <row r="182" spans="1:28" ht="14.25" customHeight="1">
      <c r="A182" s="38"/>
      <c r="B182" s="3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41"/>
      <c r="U182" s="11"/>
      <c r="V182" s="11"/>
      <c r="W182" s="11"/>
      <c r="X182" s="11"/>
      <c r="Y182" s="11"/>
      <c r="Z182" s="11"/>
      <c r="AA182" s="11"/>
      <c r="AB182" s="11"/>
    </row>
    <row r="183" spans="1:28" ht="14.25" customHeight="1">
      <c r="A183" s="38"/>
      <c r="B183" s="3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41"/>
      <c r="U183" s="11"/>
      <c r="V183" s="11"/>
      <c r="W183" s="11"/>
      <c r="X183" s="11"/>
      <c r="Y183" s="11"/>
      <c r="Z183" s="11"/>
      <c r="AA183" s="11"/>
      <c r="AB183" s="11"/>
    </row>
    <row r="184" spans="1:28" ht="14.25" customHeight="1">
      <c r="A184" s="38"/>
      <c r="B184" s="3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41"/>
      <c r="U184" s="11"/>
      <c r="V184" s="11"/>
      <c r="W184" s="11"/>
      <c r="X184" s="11"/>
      <c r="Y184" s="11"/>
      <c r="Z184" s="11"/>
      <c r="AA184" s="11"/>
      <c r="AB184" s="11"/>
    </row>
    <row r="185" spans="1:28" ht="14.25" customHeight="1">
      <c r="A185" s="38"/>
      <c r="B185" s="3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41"/>
      <c r="U185" s="11"/>
      <c r="V185" s="11"/>
      <c r="W185" s="11"/>
      <c r="X185" s="11"/>
      <c r="Y185" s="11"/>
      <c r="Z185" s="11"/>
      <c r="AA185" s="11"/>
      <c r="AB185" s="11"/>
    </row>
    <row r="186" spans="1:28" ht="14.25" customHeight="1">
      <c r="A186" s="38"/>
      <c r="B186" s="3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41"/>
      <c r="U186" s="11"/>
      <c r="V186" s="11"/>
      <c r="W186" s="11"/>
      <c r="X186" s="11"/>
      <c r="Y186" s="11"/>
      <c r="Z186" s="11"/>
      <c r="AA186" s="11"/>
      <c r="AB186" s="11"/>
    </row>
    <row r="187" spans="1:28" ht="14.25" customHeight="1">
      <c r="A187" s="38"/>
      <c r="B187" s="3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41"/>
      <c r="U187" s="11"/>
      <c r="V187" s="11"/>
      <c r="W187" s="11"/>
      <c r="X187" s="11"/>
      <c r="Y187" s="11"/>
      <c r="Z187" s="11"/>
      <c r="AA187" s="11"/>
      <c r="AB187" s="11"/>
    </row>
    <row r="188" spans="1:28" ht="14.25" customHeight="1">
      <c r="A188" s="38"/>
      <c r="B188" s="3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41"/>
      <c r="U188" s="11"/>
      <c r="V188" s="11"/>
      <c r="W188" s="11"/>
      <c r="X188" s="11"/>
      <c r="Y188" s="11"/>
      <c r="Z188" s="11"/>
      <c r="AA188" s="11"/>
      <c r="AB188" s="11"/>
    </row>
    <row r="189" spans="1:28" ht="14.25" customHeight="1">
      <c r="A189" s="38"/>
      <c r="B189" s="3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41"/>
      <c r="U189" s="11"/>
      <c r="V189" s="11"/>
      <c r="W189" s="11"/>
      <c r="X189" s="11"/>
      <c r="Y189" s="11"/>
      <c r="Z189" s="11"/>
      <c r="AA189" s="11"/>
      <c r="AB189" s="11"/>
    </row>
    <row r="190" spans="1:28" ht="14.25" customHeight="1">
      <c r="A190" s="38"/>
      <c r="B190" s="3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41"/>
      <c r="U190" s="11"/>
      <c r="V190" s="11"/>
      <c r="W190" s="11"/>
      <c r="X190" s="11"/>
      <c r="Y190" s="11"/>
      <c r="Z190" s="11"/>
      <c r="AA190" s="11"/>
      <c r="AB190" s="11"/>
    </row>
    <row r="191" spans="1:28" ht="14.25" customHeight="1">
      <c r="A191" s="38"/>
      <c r="B191" s="3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41"/>
      <c r="U191" s="11"/>
      <c r="V191" s="11"/>
      <c r="W191" s="11"/>
      <c r="X191" s="11"/>
      <c r="Y191" s="11"/>
      <c r="Z191" s="11"/>
      <c r="AA191" s="11"/>
      <c r="AB191" s="11"/>
    </row>
    <row r="192" spans="1:28" ht="14.25" customHeight="1">
      <c r="A192" s="38"/>
      <c r="B192" s="3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41"/>
      <c r="U192" s="11"/>
      <c r="V192" s="11"/>
      <c r="W192" s="11"/>
      <c r="X192" s="11"/>
      <c r="Y192" s="11"/>
      <c r="Z192" s="11"/>
      <c r="AA192" s="11"/>
      <c r="AB192" s="11"/>
    </row>
    <row r="193" spans="1:28" ht="14.25" customHeight="1">
      <c r="A193" s="38"/>
      <c r="B193" s="3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41"/>
      <c r="U193" s="11"/>
      <c r="V193" s="11"/>
      <c r="W193" s="11"/>
      <c r="X193" s="11"/>
      <c r="Y193" s="11"/>
      <c r="Z193" s="11"/>
      <c r="AA193" s="11"/>
      <c r="AB193" s="11"/>
    </row>
    <row r="194" spans="1:28" ht="14.25" customHeight="1">
      <c r="A194" s="38"/>
      <c r="B194" s="3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41"/>
      <c r="U194" s="11"/>
      <c r="V194" s="11"/>
      <c r="W194" s="11"/>
      <c r="X194" s="11"/>
      <c r="Y194" s="11"/>
      <c r="Z194" s="11"/>
      <c r="AA194" s="11"/>
      <c r="AB194" s="11"/>
    </row>
    <row r="195" spans="1:28" ht="14.25" customHeight="1">
      <c r="A195" s="38"/>
      <c r="B195" s="3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41"/>
      <c r="U195" s="11"/>
      <c r="V195" s="11"/>
      <c r="W195" s="11"/>
      <c r="X195" s="11"/>
      <c r="Y195" s="11"/>
      <c r="Z195" s="11"/>
      <c r="AA195" s="11"/>
      <c r="AB195" s="11"/>
    </row>
    <row r="196" spans="1:28" ht="14.25" customHeight="1">
      <c r="A196" s="38"/>
      <c r="B196" s="3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41"/>
      <c r="U196" s="11"/>
      <c r="V196" s="11"/>
      <c r="W196" s="11"/>
      <c r="X196" s="11"/>
      <c r="Y196" s="11"/>
      <c r="Z196" s="11"/>
      <c r="AA196" s="11"/>
      <c r="AB196" s="11"/>
    </row>
    <row r="197" spans="1:28" ht="14.25" customHeight="1">
      <c r="A197" s="38"/>
      <c r="B197" s="3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41"/>
      <c r="U197" s="11"/>
      <c r="V197" s="11"/>
      <c r="W197" s="11"/>
      <c r="X197" s="11"/>
      <c r="Y197" s="11"/>
      <c r="Z197" s="11"/>
      <c r="AA197" s="11"/>
      <c r="AB197" s="11"/>
    </row>
    <row r="198" spans="1:28" ht="14.25" customHeight="1">
      <c r="A198" s="38"/>
      <c r="B198" s="3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41"/>
      <c r="U198" s="11"/>
      <c r="V198" s="11"/>
      <c r="W198" s="11"/>
      <c r="X198" s="11"/>
      <c r="Y198" s="11"/>
      <c r="Z198" s="11"/>
      <c r="AA198" s="11"/>
      <c r="AB198" s="11"/>
    </row>
    <row r="199" spans="1:28" ht="14.25" customHeight="1">
      <c r="A199" s="38"/>
      <c r="B199" s="3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41"/>
      <c r="U199" s="11"/>
      <c r="V199" s="11"/>
      <c r="W199" s="11"/>
      <c r="X199" s="11"/>
      <c r="Y199" s="11"/>
      <c r="Z199" s="11"/>
      <c r="AA199" s="11"/>
      <c r="AB199" s="11"/>
    </row>
    <row r="200" spans="1:28" ht="14.25" customHeight="1">
      <c r="A200" s="38"/>
      <c r="B200" s="3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41"/>
      <c r="U200" s="11"/>
      <c r="V200" s="11"/>
      <c r="W200" s="11"/>
      <c r="X200" s="11"/>
      <c r="Y200" s="11"/>
      <c r="Z200" s="11"/>
      <c r="AA200" s="11"/>
      <c r="AB200" s="11"/>
    </row>
    <row r="201" spans="1:28" ht="14.25" customHeight="1">
      <c r="A201" s="38"/>
      <c r="B201" s="3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41"/>
      <c r="U201" s="11"/>
      <c r="V201" s="11"/>
      <c r="W201" s="11"/>
      <c r="X201" s="11"/>
      <c r="Y201" s="11"/>
      <c r="Z201" s="11"/>
      <c r="AA201" s="11"/>
      <c r="AB201" s="11"/>
    </row>
    <row r="202" spans="1:28" ht="14.25" customHeight="1">
      <c r="A202" s="38"/>
      <c r="B202" s="3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41"/>
      <c r="U202" s="11"/>
      <c r="V202" s="11"/>
      <c r="W202" s="11"/>
      <c r="X202" s="11"/>
      <c r="Y202" s="11"/>
      <c r="Z202" s="11"/>
      <c r="AA202" s="11"/>
      <c r="AB202" s="11"/>
    </row>
    <row r="203" spans="1:28" ht="14.25" customHeight="1">
      <c r="A203" s="38"/>
      <c r="B203" s="3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41"/>
      <c r="U203" s="11"/>
      <c r="V203" s="11"/>
      <c r="W203" s="11"/>
      <c r="X203" s="11"/>
      <c r="Y203" s="11"/>
      <c r="Z203" s="11"/>
      <c r="AA203" s="11"/>
      <c r="AB203" s="11"/>
    </row>
    <row r="204" spans="1:28" ht="14.25" customHeight="1">
      <c r="A204" s="38"/>
      <c r="B204" s="3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41"/>
      <c r="U204" s="11"/>
      <c r="V204" s="11"/>
      <c r="W204" s="11"/>
      <c r="X204" s="11"/>
      <c r="Y204" s="11"/>
      <c r="Z204" s="11"/>
      <c r="AA204" s="11"/>
      <c r="AB204" s="11"/>
    </row>
    <row r="205" spans="1:28" ht="14.25" customHeight="1">
      <c r="A205" s="38"/>
      <c r="B205" s="3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41"/>
      <c r="U205" s="11"/>
      <c r="V205" s="11"/>
      <c r="W205" s="11"/>
      <c r="X205" s="11"/>
      <c r="Y205" s="11"/>
      <c r="Z205" s="11"/>
      <c r="AA205" s="11"/>
      <c r="AB205" s="11"/>
    </row>
    <row r="206" spans="1:28" ht="14.25" customHeight="1">
      <c r="A206" s="38"/>
      <c r="B206" s="3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41"/>
      <c r="U206" s="11"/>
      <c r="V206" s="11"/>
      <c r="W206" s="11"/>
      <c r="X206" s="11"/>
      <c r="Y206" s="11"/>
      <c r="Z206" s="11"/>
      <c r="AA206" s="11"/>
      <c r="AB206" s="11"/>
    </row>
    <row r="207" spans="1:28" ht="14.25" customHeight="1">
      <c r="A207" s="38"/>
      <c r="B207" s="3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41"/>
      <c r="U207" s="11"/>
      <c r="V207" s="11"/>
      <c r="W207" s="11"/>
      <c r="X207" s="11"/>
      <c r="Y207" s="11"/>
      <c r="Z207" s="11"/>
      <c r="AA207" s="11"/>
      <c r="AB207" s="11"/>
    </row>
    <row r="208" spans="1:28" ht="14.25" customHeight="1">
      <c r="A208" s="38"/>
      <c r="B208" s="3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41"/>
      <c r="U208" s="11"/>
      <c r="V208" s="11"/>
      <c r="W208" s="11"/>
      <c r="X208" s="11"/>
      <c r="Y208" s="11"/>
      <c r="Z208" s="11"/>
      <c r="AA208" s="11"/>
      <c r="AB208" s="11"/>
    </row>
    <row r="209" spans="1:28" ht="14.25" customHeight="1">
      <c r="A209" s="38"/>
      <c r="B209" s="3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41"/>
      <c r="U209" s="11"/>
      <c r="V209" s="11"/>
      <c r="W209" s="11"/>
      <c r="X209" s="11"/>
      <c r="Y209" s="11"/>
      <c r="Z209" s="11"/>
      <c r="AA209" s="11"/>
      <c r="AB209" s="11"/>
    </row>
    <row r="210" spans="1:28" ht="14.25" customHeight="1">
      <c r="A210" s="38"/>
      <c r="B210" s="3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41"/>
      <c r="U210" s="11"/>
      <c r="V210" s="11"/>
      <c r="W210" s="11"/>
      <c r="X210" s="11"/>
      <c r="Y210" s="11"/>
      <c r="Z210" s="11"/>
      <c r="AA210" s="11"/>
      <c r="AB210" s="11"/>
    </row>
    <row r="211" spans="1:28" ht="14.25" customHeight="1">
      <c r="A211" s="38"/>
      <c r="B211" s="3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41"/>
      <c r="U211" s="11"/>
      <c r="V211" s="11"/>
      <c r="W211" s="11"/>
      <c r="X211" s="11"/>
      <c r="Y211" s="11"/>
      <c r="Z211" s="11"/>
      <c r="AA211" s="11"/>
      <c r="AB211" s="11"/>
    </row>
    <row r="212" spans="1:28" ht="14.25" customHeight="1">
      <c r="A212" s="38"/>
      <c r="B212" s="3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41"/>
      <c r="U212" s="11"/>
      <c r="V212" s="11"/>
      <c r="W212" s="11"/>
      <c r="X212" s="11"/>
      <c r="Y212" s="11"/>
      <c r="Z212" s="11"/>
      <c r="AA212" s="11"/>
      <c r="AB212" s="11"/>
    </row>
    <row r="213" spans="1:28" ht="14.25" customHeight="1">
      <c r="A213" s="38"/>
      <c r="B213" s="3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41"/>
      <c r="U213" s="11"/>
      <c r="V213" s="11"/>
      <c r="W213" s="11"/>
      <c r="X213" s="11"/>
      <c r="Y213" s="11"/>
      <c r="Z213" s="11"/>
      <c r="AA213" s="11"/>
      <c r="AB213" s="11"/>
    </row>
    <row r="214" spans="1:28" ht="14.25" customHeight="1">
      <c r="A214" s="38"/>
      <c r="B214" s="3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41"/>
      <c r="U214" s="11"/>
      <c r="V214" s="11"/>
      <c r="W214" s="11"/>
      <c r="X214" s="11"/>
      <c r="Y214" s="11"/>
      <c r="Z214" s="11"/>
      <c r="AA214" s="11"/>
      <c r="AB214" s="11"/>
    </row>
    <row r="215" spans="1:28" ht="14.25" customHeight="1">
      <c r="A215" s="38"/>
      <c r="B215" s="3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41"/>
      <c r="U215" s="11"/>
      <c r="V215" s="11"/>
      <c r="W215" s="11"/>
      <c r="X215" s="11"/>
      <c r="Y215" s="11"/>
      <c r="Z215" s="11"/>
      <c r="AA215" s="11"/>
      <c r="AB215" s="11"/>
    </row>
    <row r="216" spans="1:28" ht="14.25" customHeight="1">
      <c r="A216" s="38"/>
      <c r="B216" s="3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41"/>
      <c r="U216" s="11"/>
      <c r="V216" s="11"/>
      <c r="W216" s="11"/>
      <c r="X216" s="11"/>
      <c r="Y216" s="11"/>
      <c r="Z216" s="11"/>
      <c r="AA216" s="11"/>
      <c r="AB216" s="11"/>
    </row>
    <row r="217" spans="1:28" ht="14.25" customHeight="1">
      <c r="A217" s="38"/>
      <c r="B217" s="3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41"/>
      <c r="U217" s="11"/>
      <c r="V217" s="11"/>
      <c r="W217" s="11"/>
      <c r="X217" s="11"/>
      <c r="Y217" s="11"/>
      <c r="Z217" s="11"/>
      <c r="AA217" s="11"/>
      <c r="AB217" s="11"/>
    </row>
    <row r="218" spans="1:28" ht="14.25" customHeight="1">
      <c r="A218" s="38"/>
      <c r="B218" s="3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41"/>
      <c r="U218" s="11"/>
      <c r="V218" s="11"/>
      <c r="W218" s="11"/>
      <c r="X218" s="11"/>
      <c r="Y218" s="11"/>
      <c r="Z218" s="11"/>
      <c r="AA218" s="11"/>
      <c r="AB218" s="11"/>
    </row>
    <row r="219" spans="1:28" ht="14.25" customHeight="1">
      <c r="A219" s="38"/>
      <c r="B219" s="3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41"/>
      <c r="U219" s="11"/>
      <c r="V219" s="11"/>
      <c r="W219" s="11"/>
      <c r="X219" s="11"/>
      <c r="Y219" s="11"/>
      <c r="Z219" s="11"/>
      <c r="AA219" s="11"/>
      <c r="AB219" s="11"/>
    </row>
    <row r="220" spans="1:28" ht="14.25" customHeight="1">
      <c r="A220" s="38"/>
      <c r="B220" s="3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41"/>
      <c r="U220" s="11"/>
      <c r="V220" s="11"/>
      <c r="W220" s="11"/>
      <c r="X220" s="11"/>
      <c r="Y220" s="11"/>
      <c r="Z220" s="11"/>
      <c r="AA220" s="11"/>
      <c r="AB220" s="11"/>
    </row>
    <row r="221" spans="1:28" ht="14.25" customHeight="1">
      <c r="A221" s="38"/>
      <c r="B221" s="3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41"/>
      <c r="U221" s="11"/>
      <c r="V221" s="11"/>
      <c r="W221" s="11"/>
      <c r="X221" s="11"/>
      <c r="Y221" s="11"/>
      <c r="Z221" s="11"/>
      <c r="AA221" s="11"/>
      <c r="AB221" s="11"/>
    </row>
    <row r="222" spans="1:28" ht="14.25" customHeight="1">
      <c r="A222" s="38"/>
      <c r="B222" s="3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41"/>
      <c r="U222" s="11"/>
      <c r="V222" s="11"/>
      <c r="W222" s="11"/>
      <c r="X222" s="11"/>
      <c r="Y222" s="11"/>
      <c r="Z222" s="11"/>
      <c r="AA222" s="11"/>
      <c r="AB222" s="11"/>
    </row>
    <row r="223" spans="1:28" ht="14.25" customHeight="1">
      <c r="A223" s="38"/>
      <c r="B223" s="3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41"/>
      <c r="U223" s="11"/>
      <c r="V223" s="11"/>
      <c r="W223" s="11"/>
      <c r="X223" s="11"/>
      <c r="Y223" s="11"/>
      <c r="Z223" s="11"/>
      <c r="AA223" s="11"/>
      <c r="AB223" s="11"/>
    </row>
    <row r="224" spans="1:28" ht="14.25" customHeight="1">
      <c r="A224" s="38"/>
      <c r="B224" s="3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41"/>
      <c r="U224" s="11"/>
      <c r="V224" s="11"/>
      <c r="W224" s="11"/>
      <c r="X224" s="11"/>
      <c r="Y224" s="11"/>
      <c r="Z224" s="11"/>
      <c r="AA224" s="11"/>
      <c r="AB224" s="11"/>
    </row>
    <row r="225" spans="1:28" ht="14.25" customHeight="1">
      <c r="A225" s="38"/>
      <c r="B225" s="3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41"/>
      <c r="U225" s="11"/>
      <c r="V225" s="11"/>
      <c r="W225" s="11"/>
      <c r="X225" s="11"/>
      <c r="Y225" s="11"/>
      <c r="Z225" s="11"/>
      <c r="AA225" s="11"/>
      <c r="AB225" s="11"/>
    </row>
    <row r="226" spans="1:28" ht="14.25" customHeight="1">
      <c r="A226" s="38"/>
      <c r="B226" s="3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41"/>
      <c r="U226" s="11"/>
      <c r="V226" s="11"/>
      <c r="W226" s="11"/>
      <c r="X226" s="11"/>
      <c r="Y226" s="11"/>
      <c r="Z226" s="11"/>
      <c r="AA226" s="11"/>
      <c r="AB226" s="11"/>
    </row>
    <row r="227" spans="1:28" ht="14.25" customHeight="1">
      <c r="A227" s="38"/>
      <c r="B227" s="3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41"/>
      <c r="U227" s="11"/>
      <c r="V227" s="11"/>
      <c r="W227" s="11"/>
      <c r="X227" s="11"/>
      <c r="Y227" s="11"/>
      <c r="Z227" s="11"/>
      <c r="AA227" s="11"/>
      <c r="AB227" s="11"/>
    </row>
    <row r="228" spans="1:28" ht="14.25" customHeight="1">
      <c r="A228" s="38"/>
      <c r="B228" s="3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41"/>
      <c r="U228" s="11"/>
      <c r="V228" s="11"/>
      <c r="W228" s="11"/>
      <c r="X228" s="11"/>
      <c r="Y228" s="11"/>
      <c r="Z228" s="11"/>
      <c r="AA228" s="11"/>
      <c r="AB228" s="11"/>
    </row>
    <row r="229" spans="1:28" ht="14.25" customHeight="1">
      <c r="A229" s="38"/>
      <c r="B229" s="3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41"/>
      <c r="U229" s="11"/>
      <c r="V229" s="11"/>
      <c r="W229" s="11"/>
      <c r="X229" s="11"/>
      <c r="Y229" s="11"/>
      <c r="Z229" s="11"/>
      <c r="AA229" s="11"/>
      <c r="AB229" s="11"/>
    </row>
    <row r="230" spans="1:28" ht="14.25" customHeight="1">
      <c r="A230" s="38"/>
      <c r="B230" s="3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41"/>
      <c r="U230" s="11"/>
      <c r="V230" s="11"/>
      <c r="W230" s="11"/>
      <c r="X230" s="11"/>
      <c r="Y230" s="11"/>
      <c r="Z230" s="11"/>
      <c r="AA230" s="11"/>
      <c r="AB230" s="11"/>
    </row>
    <row r="231" spans="1:28" ht="14.25" customHeight="1">
      <c r="A231" s="38"/>
      <c r="B231" s="3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41"/>
      <c r="U231" s="11"/>
      <c r="V231" s="11"/>
      <c r="W231" s="11"/>
      <c r="X231" s="11"/>
      <c r="Y231" s="11"/>
      <c r="Z231" s="11"/>
      <c r="AA231" s="11"/>
      <c r="AB231" s="11"/>
    </row>
    <row r="232" spans="1:28" ht="14.25" customHeight="1">
      <c r="A232" s="38"/>
      <c r="B232" s="3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41"/>
      <c r="U232" s="11"/>
      <c r="V232" s="11"/>
      <c r="W232" s="11"/>
      <c r="X232" s="11"/>
      <c r="Y232" s="11"/>
      <c r="Z232" s="11"/>
      <c r="AA232" s="11"/>
      <c r="AB232" s="11"/>
    </row>
    <row r="233" spans="1:28" ht="14.25" customHeight="1">
      <c r="A233" s="38"/>
      <c r="B233" s="3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41"/>
      <c r="U233" s="11"/>
      <c r="V233" s="11"/>
      <c r="W233" s="11"/>
      <c r="X233" s="11"/>
      <c r="Y233" s="11"/>
      <c r="Z233" s="11"/>
      <c r="AA233" s="11"/>
      <c r="AB233" s="11"/>
    </row>
    <row r="234" spans="1:28" ht="14.25" customHeight="1">
      <c r="A234" s="38"/>
      <c r="B234" s="3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41"/>
      <c r="U234" s="11"/>
      <c r="V234" s="11"/>
      <c r="W234" s="11"/>
      <c r="X234" s="11"/>
      <c r="Y234" s="11"/>
      <c r="Z234" s="11"/>
      <c r="AA234" s="11"/>
      <c r="AB234" s="11"/>
    </row>
    <row r="235" spans="1:28" ht="14.25" customHeight="1">
      <c r="A235" s="38"/>
      <c r="B235" s="3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41"/>
      <c r="U235" s="11"/>
      <c r="V235" s="11"/>
      <c r="W235" s="11"/>
      <c r="X235" s="11"/>
      <c r="Y235" s="11"/>
      <c r="Z235" s="11"/>
      <c r="AA235" s="11"/>
      <c r="AB235" s="11"/>
    </row>
    <row r="236" spans="1:28" ht="14.25" customHeight="1">
      <c r="A236" s="38"/>
      <c r="B236" s="3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41"/>
      <c r="U236" s="11"/>
      <c r="V236" s="11"/>
      <c r="W236" s="11"/>
      <c r="X236" s="11"/>
      <c r="Y236" s="11"/>
      <c r="Z236" s="11"/>
      <c r="AA236" s="11"/>
      <c r="AB236" s="11"/>
    </row>
    <row r="237" spans="1:28" ht="14.25" customHeight="1">
      <c r="A237" s="38"/>
      <c r="B237" s="3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41"/>
      <c r="U237" s="11"/>
      <c r="V237" s="11"/>
      <c r="W237" s="11"/>
      <c r="X237" s="11"/>
      <c r="Y237" s="11"/>
      <c r="Z237" s="11"/>
      <c r="AA237" s="11"/>
      <c r="AB237" s="11"/>
    </row>
    <row r="238" spans="1:28" ht="14.25" customHeight="1">
      <c r="A238" s="38"/>
      <c r="B238" s="3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41"/>
      <c r="U238" s="11"/>
      <c r="V238" s="11"/>
      <c r="W238" s="11"/>
      <c r="X238" s="11"/>
      <c r="Y238" s="11"/>
      <c r="Z238" s="11"/>
      <c r="AA238" s="11"/>
      <c r="AB238" s="11"/>
    </row>
    <row r="239" spans="1:28" ht="14.25" customHeight="1">
      <c r="A239" s="38"/>
      <c r="B239" s="3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41"/>
      <c r="U239" s="11"/>
      <c r="V239" s="11"/>
      <c r="W239" s="11"/>
      <c r="X239" s="11"/>
      <c r="Y239" s="11"/>
      <c r="Z239" s="11"/>
      <c r="AA239" s="11"/>
      <c r="AB239" s="11"/>
    </row>
    <row r="240" spans="1:28" ht="14.25" customHeight="1">
      <c r="A240" s="38"/>
      <c r="B240" s="3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41"/>
      <c r="U240" s="11"/>
      <c r="V240" s="11"/>
      <c r="W240" s="11"/>
      <c r="X240" s="11"/>
      <c r="Y240" s="11"/>
      <c r="Z240" s="11"/>
      <c r="AA240" s="11"/>
      <c r="AB240" s="11"/>
    </row>
    <row r="241" spans="1:28" ht="14.25" customHeight="1">
      <c r="A241" s="38"/>
      <c r="B241" s="3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41"/>
      <c r="U241" s="11"/>
      <c r="V241" s="11"/>
      <c r="W241" s="11"/>
      <c r="X241" s="11"/>
      <c r="Y241" s="11"/>
      <c r="Z241" s="11"/>
      <c r="AA241" s="11"/>
      <c r="AB241" s="11"/>
    </row>
    <row r="242" spans="1:28" ht="14.25" customHeight="1">
      <c r="A242" s="38"/>
      <c r="B242" s="3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41"/>
      <c r="U242" s="11"/>
      <c r="V242" s="11"/>
      <c r="W242" s="11"/>
      <c r="X242" s="11"/>
      <c r="Y242" s="11"/>
      <c r="Z242" s="11"/>
      <c r="AA242" s="11"/>
      <c r="AB242" s="11"/>
    </row>
    <row r="243" spans="1:28" ht="14.25" customHeight="1">
      <c r="A243" s="38"/>
      <c r="B243" s="3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41"/>
      <c r="U243" s="11"/>
      <c r="V243" s="11"/>
      <c r="W243" s="11"/>
      <c r="X243" s="11"/>
      <c r="Y243" s="11"/>
      <c r="Z243" s="11"/>
      <c r="AA243" s="11"/>
      <c r="AB243" s="11"/>
    </row>
    <row r="244" spans="1:28" ht="14.25" customHeight="1">
      <c r="A244" s="38"/>
      <c r="B244" s="3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41"/>
      <c r="U244" s="11"/>
      <c r="V244" s="11"/>
      <c r="W244" s="11"/>
      <c r="X244" s="11"/>
      <c r="Y244" s="11"/>
      <c r="Z244" s="11"/>
      <c r="AA244" s="11"/>
      <c r="AB244" s="11"/>
    </row>
    <row r="245" spans="1:28" ht="14.25" customHeight="1">
      <c r="A245" s="38"/>
      <c r="B245" s="3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41"/>
      <c r="U245" s="11"/>
      <c r="V245" s="11"/>
      <c r="W245" s="11"/>
      <c r="X245" s="11"/>
      <c r="Y245" s="11"/>
      <c r="Z245" s="11"/>
      <c r="AA245" s="11"/>
      <c r="AB245" s="11"/>
    </row>
    <row r="246" spans="1:28" ht="14.25" customHeight="1">
      <c r="A246" s="38"/>
      <c r="B246" s="3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41"/>
      <c r="U246" s="11"/>
      <c r="V246" s="11"/>
      <c r="W246" s="11"/>
      <c r="X246" s="11"/>
      <c r="Y246" s="11"/>
      <c r="Z246" s="11"/>
      <c r="AA246" s="11"/>
      <c r="AB246" s="11"/>
    </row>
    <row r="247" spans="1:28" ht="14.25" customHeight="1">
      <c r="A247" s="38"/>
      <c r="B247" s="3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41"/>
      <c r="U247" s="11"/>
      <c r="V247" s="11"/>
      <c r="W247" s="11"/>
      <c r="X247" s="11"/>
      <c r="Y247" s="11"/>
      <c r="Z247" s="11"/>
      <c r="AA247" s="11"/>
      <c r="AB247" s="11"/>
    </row>
    <row r="248" spans="1:28" ht="14.25" customHeight="1">
      <c r="A248" s="38"/>
      <c r="B248" s="3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41"/>
      <c r="U248" s="11"/>
      <c r="V248" s="11"/>
      <c r="W248" s="11"/>
      <c r="X248" s="11"/>
      <c r="Y248" s="11"/>
      <c r="Z248" s="11"/>
      <c r="AA248" s="11"/>
      <c r="AB248" s="11"/>
    </row>
    <row r="249" spans="1:28" ht="14.25" customHeight="1">
      <c r="A249" s="38"/>
      <c r="B249" s="3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41"/>
      <c r="U249" s="11"/>
      <c r="V249" s="11"/>
      <c r="W249" s="11"/>
      <c r="X249" s="11"/>
      <c r="Y249" s="11"/>
      <c r="Z249" s="11"/>
      <c r="AA249" s="11"/>
      <c r="AB249" s="11"/>
    </row>
    <row r="250" spans="1:28" ht="14.25" customHeight="1">
      <c r="A250" s="38"/>
      <c r="B250" s="3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41"/>
      <c r="U250" s="11"/>
      <c r="V250" s="11"/>
      <c r="W250" s="11"/>
      <c r="X250" s="11"/>
      <c r="Y250" s="11"/>
      <c r="Z250" s="11"/>
      <c r="AA250" s="11"/>
      <c r="AB250" s="11"/>
    </row>
    <row r="251" spans="1:28" ht="14.25" customHeight="1">
      <c r="A251" s="38"/>
      <c r="B251" s="3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41"/>
      <c r="U251" s="11"/>
      <c r="V251" s="11"/>
      <c r="W251" s="11"/>
      <c r="X251" s="11"/>
      <c r="Y251" s="11"/>
      <c r="Z251" s="11"/>
      <c r="AA251" s="11"/>
      <c r="AB251" s="11"/>
    </row>
    <row r="252" spans="1:28" ht="14.25" customHeight="1">
      <c r="A252" s="38"/>
      <c r="B252" s="3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41"/>
      <c r="U252" s="11"/>
      <c r="V252" s="11"/>
      <c r="W252" s="11"/>
      <c r="X252" s="11"/>
      <c r="Y252" s="11"/>
      <c r="Z252" s="11"/>
      <c r="AA252" s="11"/>
      <c r="AB252" s="11"/>
    </row>
    <row r="253" spans="1:28" ht="14.25" customHeight="1">
      <c r="A253" s="38"/>
      <c r="B253" s="3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41"/>
      <c r="U253" s="11"/>
      <c r="V253" s="11"/>
      <c r="W253" s="11"/>
      <c r="X253" s="11"/>
      <c r="Y253" s="11"/>
      <c r="Z253" s="11"/>
      <c r="AA253" s="11"/>
      <c r="AB253" s="11"/>
    </row>
    <row r="254" spans="1:28" ht="14.25" customHeight="1">
      <c r="A254" s="38"/>
      <c r="B254" s="3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41"/>
      <c r="U254" s="11"/>
      <c r="V254" s="11"/>
      <c r="W254" s="11"/>
      <c r="X254" s="11"/>
      <c r="Y254" s="11"/>
      <c r="Z254" s="11"/>
      <c r="AA254" s="11"/>
      <c r="AB254" s="11"/>
    </row>
    <row r="255" spans="1:28" ht="14.25" customHeight="1">
      <c r="A255" s="38"/>
      <c r="B255" s="3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41"/>
      <c r="U255" s="11"/>
      <c r="V255" s="11"/>
      <c r="W255" s="11"/>
      <c r="X255" s="11"/>
      <c r="Y255" s="11"/>
      <c r="Z255" s="11"/>
      <c r="AA255" s="11"/>
      <c r="AB255" s="11"/>
    </row>
    <row r="256" spans="1:28" ht="14.25" customHeight="1">
      <c r="A256" s="38"/>
      <c r="B256" s="3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41"/>
      <c r="U256" s="11"/>
      <c r="V256" s="11"/>
      <c r="W256" s="11"/>
      <c r="X256" s="11"/>
      <c r="Y256" s="11"/>
      <c r="Z256" s="11"/>
      <c r="AA256" s="11"/>
      <c r="AB256" s="11"/>
    </row>
    <row r="257" spans="1:28" ht="14.25" customHeight="1">
      <c r="A257" s="38"/>
      <c r="B257" s="3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41"/>
      <c r="U257" s="11"/>
      <c r="V257" s="11"/>
      <c r="W257" s="11"/>
      <c r="X257" s="11"/>
      <c r="Y257" s="11"/>
      <c r="Z257" s="11"/>
      <c r="AA257" s="11"/>
      <c r="AB257" s="11"/>
    </row>
    <row r="258" spans="1:28" ht="14.25" customHeight="1">
      <c r="A258" s="38"/>
      <c r="B258" s="3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41"/>
      <c r="U258" s="11"/>
      <c r="V258" s="11"/>
      <c r="W258" s="11"/>
      <c r="X258" s="11"/>
      <c r="Y258" s="11"/>
      <c r="Z258" s="11"/>
      <c r="AA258" s="11"/>
      <c r="AB258" s="11"/>
    </row>
    <row r="259" spans="1:28" ht="14.25" customHeight="1">
      <c r="A259" s="38"/>
      <c r="B259" s="3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41"/>
      <c r="U259" s="11"/>
      <c r="V259" s="11"/>
      <c r="W259" s="11"/>
      <c r="X259" s="11"/>
      <c r="Y259" s="11"/>
      <c r="Z259" s="11"/>
      <c r="AA259" s="11"/>
      <c r="AB259" s="11"/>
    </row>
    <row r="260" spans="1:28" ht="14.25" customHeight="1">
      <c r="A260" s="38"/>
      <c r="B260" s="3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41"/>
      <c r="U260" s="11"/>
      <c r="V260" s="11"/>
      <c r="W260" s="11"/>
      <c r="X260" s="11"/>
      <c r="Y260" s="11"/>
      <c r="Z260" s="11"/>
      <c r="AA260" s="11"/>
      <c r="AB260" s="11"/>
    </row>
    <row r="261" spans="1:28" ht="14.25" customHeight="1">
      <c r="A261" s="38"/>
      <c r="B261" s="3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41"/>
      <c r="U261" s="11"/>
      <c r="V261" s="11"/>
      <c r="W261" s="11"/>
      <c r="X261" s="11"/>
      <c r="Y261" s="11"/>
      <c r="Z261" s="11"/>
      <c r="AA261" s="11"/>
      <c r="AB261" s="11"/>
    </row>
    <row r="262" spans="1:28" ht="14.25" customHeight="1">
      <c r="A262" s="38"/>
      <c r="B262" s="3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41"/>
      <c r="U262" s="11"/>
      <c r="V262" s="11"/>
      <c r="W262" s="11"/>
      <c r="X262" s="11"/>
      <c r="Y262" s="11"/>
      <c r="Z262" s="11"/>
      <c r="AA262" s="11"/>
      <c r="AB262" s="11"/>
    </row>
    <row r="263" spans="1:28" ht="14.25" customHeight="1">
      <c r="A263" s="38"/>
      <c r="B263" s="3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41"/>
      <c r="U263" s="11"/>
      <c r="V263" s="11"/>
      <c r="W263" s="11"/>
      <c r="X263" s="11"/>
      <c r="Y263" s="11"/>
      <c r="Z263" s="11"/>
      <c r="AA263" s="11"/>
      <c r="AB263" s="11"/>
    </row>
    <row r="264" spans="1:28" ht="14.25" customHeight="1">
      <c r="A264" s="38"/>
      <c r="B264" s="3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41"/>
      <c r="U264" s="11"/>
      <c r="V264" s="11"/>
      <c r="W264" s="11"/>
      <c r="X264" s="11"/>
      <c r="Y264" s="11"/>
      <c r="Z264" s="11"/>
      <c r="AA264" s="11"/>
      <c r="AB264" s="11"/>
    </row>
    <row r="265" spans="1:28" ht="14.25" customHeight="1">
      <c r="A265" s="38"/>
      <c r="B265" s="3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41"/>
      <c r="U265" s="11"/>
      <c r="V265" s="11"/>
      <c r="W265" s="11"/>
      <c r="X265" s="11"/>
      <c r="Y265" s="11"/>
      <c r="Z265" s="11"/>
      <c r="AA265" s="11"/>
      <c r="AB265" s="11"/>
    </row>
    <row r="266" spans="1:28" ht="14.25" customHeight="1">
      <c r="A266" s="38"/>
      <c r="B266" s="3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41"/>
      <c r="U266" s="11"/>
      <c r="V266" s="11"/>
      <c r="W266" s="11"/>
      <c r="X266" s="11"/>
      <c r="Y266" s="11"/>
      <c r="Z266" s="11"/>
      <c r="AA266" s="11"/>
      <c r="AB266" s="11"/>
    </row>
    <row r="267" spans="1:28" ht="14.25" customHeight="1">
      <c r="A267" s="38"/>
      <c r="B267" s="3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41"/>
      <c r="U267" s="11"/>
      <c r="V267" s="11"/>
      <c r="W267" s="11"/>
      <c r="X267" s="11"/>
      <c r="Y267" s="11"/>
      <c r="Z267" s="11"/>
      <c r="AA267" s="11"/>
      <c r="AB267" s="11"/>
    </row>
    <row r="268" spans="1:28" ht="14.25" customHeight="1">
      <c r="A268" s="38"/>
      <c r="B268" s="3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41"/>
      <c r="U268" s="11"/>
      <c r="V268" s="11"/>
      <c r="W268" s="11"/>
      <c r="X268" s="11"/>
      <c r="Y268" s="11"/>
      <c r="Z268" s="11"/>
      <c r="AA268" s="11"/>
      <c r="AB268" s="11"/>
    </row>
    <row r="269" spans="1:28" ht="14.25" customHeight="1">
      <c r="A269" s="38"/>
      <c r="B269" s="3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41"/>
      <c r="U269" s="11"/>
      <c r="V269" s="11"/>
      <c r="W269" s="11"/>
      <c r="X269" s="11"/>
      <c r="Y269" s="11"/>
      <c r="Z269" s="11"/>
      <c r="AA269" s="11"/>
      <c r="AB269" s="11"/>
    </row>
    <row r="270" spans="1:28" ht="14.25" customHeight="1">
      <c r="A270" s="38"/>
      <c r="B270" s="3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41"/>
      <c r="U270" s="11"/>
      <c r="V270" s="11"/>
      <c r="W270" s="11"/>
      <c r="X270" s="11"/>
      <c r="Y270" s="11"/>
      <c r="Z270" s="11"/>
      <c r="AA270" s="11"/>
      <c r="AB270" s="11"/>
    </row>
    <row r="271" spans="1:28" ht="14.25" customHeight="1">
      <c r="A271" s="38"/>
      <c r="B271" s="3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41"/>
      <c r="U271" s="11"/>
      <c r="V271" s="11"/>
      <c r="W271" s="11"/>
      <c r="X271" s="11"/>
      <c r="Y271" s="11"/>
      <c r="Z271" s="11"/>
      <c r="AA271" s="11"/>
      <c r="AB271" s="11"/>
    </row>
    <row r="272" spans="1:28" ht="14.25" customHeight="1">
      <c r="A272" s="38"/>
      <c r="B272" s="3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41"/>
      <c r="U272" s="11"/>
      <c r="V272" s="11"/>
      <c r="W272" s="11"/>
      <c r="X272" s="11"/>
      <c r="Y272" s="11"/>
      <c r="Z272" s="11"/>
      <c r="AA272" s="11"/>
      <c r="AB272" s="11"/>
    </row>
    <row r="273" spans="1:28" ht="14.25" customHeight="1">
      <c r="A273" s="38"/>
      <c r="B273" s="3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41"/>
      <c r="U273" s="11"/>
      <c r="V273" s="11"/>
      <c r="W273" s="11"/>
      <c r="X273" s="11"/>
      <c r="Y273" s="11"/>
      <c r="Z273" s="11"/>
      <c r="AA273" s="11"/>
      <c r="AB273" s="11"/>
    </row>
    <row r="274" spans="1:28" ht="14.25" customHeight="1">
      <c r="A274" s="38"/>
      <c r="B274" s="3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41"/>
      <c r="U274" s="11"/>
      <c r="V274" s="11"/>
      <c r="W274" s="11"/>
      <c r="X274" s="11"/>
      <c r="Y274" s="11"/>
      <c r="Z274" s="11"/>
      <c r="AA274" s="11"/>
      <c r="AB274" s="11"/>
    </row>
    <row r="275" spans="1:28" ht="14.25" customHeight="1">
      <c r="A275" s="38"/>
      <c r="B275" s="3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41"/>
      <c r="U275" s="11"/>
      <c r="V275" s="11"/>
      <c r="W275" s="11"/>
      <c r="X275" s="11"/>
      <c r="Y275" s="11"/>
      <c r="Z275" s="11"/>
      <c r="AA275" s="11"/>
      <c r="AB275" s="11"/>
    </row>
    <row r="276" spans="1:28" ht="14.25" customHeight="1">
      <c r="A276" s="38"/>
      <c r="B276" s="3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41"/>
      <c r="U276" s="11"/>
      <c r="V276" s="11"/>
      <c r="W276" s="11"/>
      <c r="X276" s="11"/>
      <c r="Y276" s="11"/>
      <c r="Z276" s="11"/>
      <c r="AA276" s="11"/>
      <c r="AB276" s="11"/>
    </row>
    <row r="277" spans="1:28" ht="14.25" customHeight="1">
      <c r="A277" s="38"/>
      <c r="B277" s="3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41"/>
      <c r="U277" s="11"/>
      <c r="V277" s="11"/>
      <c r="W277" s="11"/>
      <c r="X277" s="11"/>
      <c r="Y277" s="11"/>
      <c r="Z277" s="11"/>
      <c r="AA277" s="11"/>
      <c r="AB277" s="11"/>
    </row>
    <row r="278" spans="1:28" ht="14.25" customHeight="1">
      <c r="A278" s="38"/>
      <c r="B278" s="3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41"/>
      <c r="U278" s="11"/>
      <c r="V278" s="11"/>
      <c r="W278" s="11"/>
      <c r="X278" s="11"/>
      <c r="Y278" s="11"/>
      <c r="Z278" s="11"/>
      <c r="AA278" s="11"/>
      <c r="AB278" s="11"/>
    </row>
    <row r="279" spans="1:28" ht="14.25" customHeight="1">
      <c r="A279" s="38"/>
      <c r="B279" s="3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41"/>
      <c r="U279" s="11"/>
      <c r="V279" s="11"/>
      <c r="W279" s="11"/>
      <c r="X279" s="11"/>
      <c r="Y279" s="11"/>
      <c r="Z279" s="11"/>
      <c r="AA279" s="11"/>
      <c r="AB279" s="11"/>
    </row>
    <row r="280" spans="1:28" ht="14.25" customHeight="1">
      <c r="A280" s="38"/>
      <c r="B280" s="3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41"/>
      <c r="U280" s="11"/>
      <c r="V280" s="11"/>
      <c r="W280" s="11"/>
      <c r="X280" s="11"/>
      <c r="Y280" s="11"/>
      <c r="Z280" s="11"/>
      <c r="AA280" s="11"/>
      <c r="AB280" s="11"/>
    </row>
    <row r="281" spans="1:28" ht="14.25" customHeight="1">
      <c r="A281" s="38"/>
      <c r="B281" s="3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41"/>
      <c r="U281" s="11"/>
      <c r="V281" s="11"/>
      <c r="W281" s="11"/>
      <c r="X281" s="11"/>
      <c r="Y281" s="11"/>
      <c r="Z281" s="11"/>
      <c r="AA281" s="11"/>
      <c r="AB281" s="11"/>
    </row>
    <row r="282" spans="1:28" ht="14.25" customHeight="1">
      <c r="A282" s="38"/>
      <c r="B282" s="3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41"/>
      <c r="U282" s="11"/>
      <c r="V282" s="11"/>
      <c r="W282" s="11"/>
      <c r="X282" s="11"/>
      <c r="Y282" s="11"/>
      <c r="Z282" s="11"/>
      <c r="AA282" s="11"/>
      <c r="AB282" s="11"/>
    </row>
    <row r="283" spans="1:28" ht="14.25" customHeight="1">
      <c r="A283" s="38"/>
      <c r="B283" s="3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41"/>
      <c r="U283" s="11"/>
      <c r="V283" s="11"/>
      <c r="W283" s="11"/>
      <c r="X283" s="11"/>
      <c r="Y283" s="11"/>
      <c r="Z283" s="11"/>
      <c r="AA283" s="11"/>
      <c r="AB283" s="11"/>
    </row>
    <row r="284" spans="1:28" ht="14.25" customHeight="1">
      <c r="A284" s="38"/>
      <c r="B284" s="3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41"/>
      <c r="U284" s="11"/>
      <c r="V284" s="11"/>
      <c r="W284" s="11"/>
      <c r="X284" s="11"/>
      <c r="Y284" s="11"/>
      <c r="Z284" s="11"/>
      <c r="AA284" s="11"/>
      <c r="AB284" s="11"/>
    </row>
    <row r="285" spans="1:28" ht="14.25" customHeight="1">
      <c r="A285" s="38"/>
      <c r="B285" s="3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41"/>
      <c r="U285" s="11"/>
      <c r="V285" s="11"/>
      <c r="W285" s="11"/>
      <c r="X285" s="11"/>
      <c r="Y285" s="11"/>
      <c r="Z285" s="11"/>
      <c r="AA285" s="11"/>
      <c r="AB285" s="11"/>
    </row>
    <row r="286" spans="1:28" ht="14.25" customHeight="1">
      <c r="A286" s="38"/>
      <c r="B286" s="3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41"/>
      <c r="U286" s="11"/>
      <c r="V286" s="11"/>
      <c r="W286" s="11"/>
      <c r="X286" s="11"/>
      <c r="Y286" s="11"/>
      <c r="Z286" s="11"/>
      <c r="AA286" s="11"/>
      <c r="AB286" s="11"/>
    </row>
    <row r="287" spans="1:28" ht="14.25" customHeight="1">
      <c r="A287" s="38"/>
      <c r="B287" s="3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41"/>
      <c r="U287" s="11"/>
      <c r="V287" s="11"/>
      <c r="W287" s="11"/>
      <c r="X287" s="11"/>
      <c r="Y287" s="11"/>
      <c r="Z287" s="11"/>
      <c r="AA287" s="11"/>
      <c r="AB287" s="11"/>
    </row>
    <row r="288" spans="1:28" ht="14.25" customHeight="1">
      <c r="A288" s="38"/>
      <c r="B288" s="3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41"/>
      <c r="U288" s="11"/>
      <c r="V288" s="11"/>
      <c r="W288" s="11"/>
      <c r="X288" s="11"/>
      <c r="Y288" s="11"/>
      <c r="Z288" s="11"/>
      <c r="AA288" s="11"/>
      <c r="AB288" s="11"/>
    </row>
    <row r="289" spans="1:28" ht="14.25" customHeight="1">
      <c r="A289" s="38"/>
      <c r="B289" s="3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41"/>
      <c r="U289" s="11"/>
      <c r="V289" s="11"/>
      <c r="W289" s="11"/>
      <c r="X289" s="11"/>
      <c r="Y289" s="11"/>
      <c r="Z289" s="11"/>
      <c r="AA289" s="11"/>
      <c r="AB289" s="11"/>
    </row>
    <row r="290" spans="1:28" ht="14.25" customHeight="1">
      <c r="A290" s="38"/>
      <c r="B290" s="3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41"/>
      <c r="U290" s="11"/>
      <c r="V290" s="11"/>
      <c r="W290" s="11"/>
      <c r="X290" s="11"/>
      <c r="Y290" s="11"/>
      <c r="Z290" s="11"/>
      <c r="AA290" s="11"/>
      <c r="AB290" s="11"/>
    </row>
    <row r="291" spans="1:28" ht="14.25" customHeight="1">
      <c r="A291" s="38"/>
      <c r="B291" s="3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41"/>
      <c r="U291" s="11"/>
      <c r="V291" s="11"/>
      <c r="W291" s="11"/>
      <c r="X291" s="11"/>
      <c r="Y291" s="11"/>
      <c r="Z291" s="11"/>
      <c r="AA291" s="11"/>
      <c r="AB291" s="11"/>
    </row>
    <row r="292" spans="1:28" ht="14.25" customHeight="1">
      <c r="A292" s="38"/>
      <c r="B292" s="3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41"/>
      <c r="U292" s="11"/>
      <c r="V292" s="11"/>
      <c r="W292" s="11"/>
      <c r="X292" s="11"/>
      <c r="Y292" s="11"/>
      <c r="Z292" s="11"/>
      <c r="AA292" s="11"/>
      <c r="AB292" s="11"/>
    </row>
    <row r="293" spans="1:28" ht="14.25" customHeight="1">
      <c r="A293" s="38"/>
      <c r="B293" s="3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41"/>
      <c r="U293" s="11"/>
      <c r="V293" s="11"/>
      <c r="W293" s="11"/>
      <c r="X293" s="11"/>
      <c r="Y293" s="11"/>
      <c r="Z293" s="11"/>
      <c r="AA293" s="11"/>
      <c r="AB293" s="11"/>
    </row>
    <row r="294" spans="1:28" ht="14.25" customHeight="1">
      <c r="A294" s="38"/>
      <c r="B294" s="3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41"/>
      <c r="U294" s="11"/>
      <c r="V294" s="11"/>
      <c r="W294" s="11"/>
      <c r="X294" s="11"/>
      <c r="Y294" s="11"/>
      <c r="Z294" s="11"/>
      <c r="AA294" s="11"/>
      <c r="AB294" s="11"/>
    </row>
    <row r="295" spans="1:28" ht="14.25" customHeight="1">
      <c r="A295" s="38"/>
      <c r="B295" s="3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41"/>
      <c r="U295" s="11"/>
      <c r="V295" s="11"/>
      <c r="W295" s="11"/>
      <c r="X295" s="11"/>
      <c r="Y295" s="11"/>
      <c r="Z295" s="11"/>
      <c r="AA295" s="11"/>
      <c r="AB295" s="11"/>
    </row>
    <row r="296" spans="1:28" ht="14.25" customHeight="1">
      <c r="A296" s="38"/>
      <c r="B296" s="3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41"/>
      <c r="U296" s="11"/>
      <c r="V296" s="11"/>
      <c r="W296" s="11"/>
      <c r="X296" s="11"/>
      <c r="Y296" s="11"/>
      <c r="Z296" s="11"/>
      <c r="AA296" s="11"/>
      <c r="AB296" s="11"/>
    </row>
    <row r="297" spans="1:28" ht="14.25" customHeight="1">
      <c r="A297" s="38"/>
      <c r="B297" s="3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41"/>
      <c r="U297" s="11"/>
      <c r="V297" s="11"/>
      <c r="W297" s="11"/>
      <c r="X297" s="11"/>
      <c r="Y297" s="11"/>
      <c r="Z297" s="11"/>
      <c r="AA297" s="11"/>
      <c r="AB297" s="11"/>
    </row>
    <row r="298" spans="1:28" ht="14.25" customHeight="1">
      <c r="A298" s="38"/>
      <c r="B298" s="3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41"/>
      <c r="U298" s="11"/>
      <c r="V298" s="11"/>
      <c r="W298" s="11"/>
      <c r="X298" s="11"/>
      <c r="Y298" s="11"/>
      <c r="Z298" s="11"/>
      <c r="AA298" s="11"/>
      <c r="AB298" s="11"/>
    </row>
    <row r="299" spans="1:28" ht="14.25" customHeight="1">
      <c r="A299" s="38"/>
      <c r="B299" s="3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41"/>
      <c r="U299" s="11"/>
      <c r="V299" s="11"/>
      <c r="W299" s="11"/>
      <c r="X299" s="11"/>
      <c r="Y299" s="11"/>
      <c r="Z299" s="11"/>
      <c r="AA299" s="11"/>
      <c r="AB299" s="11"/>
    </row>
    <row r="300" spans="1:28" ht="14.25" customHeight="1">
      <c r="A300" s="38"/>
      <c r="B300" s="3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41"/>
      <c r="U300" s="11"/>
      <c r="V300" s="11"/>
      <c r="W300" s="11"/>
      <c r="X300" s="11"/>
      <c r="Y300" s="11"/>
      <c r="Z300" s="11"/>
      <c r="AA300" s="11"/>
      <c r="AB300" s="11"/>
    </row>
    <row r="301" spans="1:28" ht="14.25" customHeight="1">
      <c r="A301" s="38"/>
      <c r="B301" s="3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41"/>
      <c r="U301" s="11"/>
      <c r="V301" s="11"/>
      <c r="W301" s="11"/>
      <c r="X301" s="11"/>
      <c r="Y301" s="11"/>
      <c r="Z301" s="11"/>
      <c r="AA301" s="11"/>
      <c r="AB301" s="11"/>
    </row>
    <row r="302" spans="1:28" ht="14.25" customHeight="1">
      <c r="A302" s="38"/>
      <c r="B302" s="3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41"/>
      <c r="U302" s="11"/>
      <c r="V302" s="11"/>
      <c r="W302" s="11"/>
      <c r="X302" s="11"/>
      <c r="Y302" s="11"/>
      <c r="Z302" s="11"/>
      <c r="AA302" s="11"/>
      <c r="AB302" s="11"/>
    </row>
    <row r="303" spans="1:28" ht="14.25" customHeight="1">
      <c r="A303" s="38"/>
      <c r="B303" s="3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41"/>
      <c r="U303" s="11"/>
      <c r="V303" s="11"/>
      <c r="W303" s="11"/>
      <c r="X303" s="11"/>
      <c r="Y303" s="11"/>
      <c r="Z303" s="11"/>
      <c r="AA303" s="11"/>
      <c r="AB303" s="11"/>
    </row>
    <row r="304" spans="1:28" ht="14.25" customHeight="1">
      <c r="A304" s="38"/>
      <c r="B304" s="3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41"/>
      <c r="U304" s="11"/>
      <c r="V304" s="11"/>
      <c r="W304" s="11"/>
      <c r="X304" s="11"/>
      <c r="Y304" s="11"/>
      <c r="Z304" s="11"/>
      <c r="AA304" s="11"/>
      <c r="AB304" s="11"/>
    </row>
    <row r="305" spans="1:28" ht="14.25" customHeight="1">
      <c r="A305" s="38"/>
      <c r="B305" s="3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41"/>
      <c r="U305" s="11"/>
      <c r="V305" s="11"/>
      <c r="W305" s="11"/>
      <c r="X305" s="11"/>
      <c r="Y305" s="11"/>
      <c r="Z305" s="11"/>
      <c r="AA305" s="11"/>
      <c r="AB305" s="11"/>
    </row>
    <row r="306" spans="1:28" ht="14.25" customHeight="1">
      <c r="A306" s="38"/>
      <c r="B306" s="3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41"/>
      <c r="U306" s="11"/>
      <c r="V306" s="11"/>
      <c r="W306" s="11"/>
      <c r="X306" s="11"/>
      <c r="Y306" s="11"/>
      <c r="Z306" s="11"/>
      <c r="AA306" s="11"/>
      <c r="AB306" s="11"/>
    </row>
    <row r="307" spans="1:28" ht="14.25" customHeight="1">
      <c r="A307" s="38"/>
      <c r="B307" s="3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41"/>
      <c r="U307" s="11"/>
      <c r="V307" s="11"/>
      <c r="W307" s="11"/>
      <c r="X307" s="11"/>
      <c r="Y307" s="11"/>
      <c r="Z307" s="11"/>
      <c r="AA307" s="11"/>
      <c r="AB307" s="11"/>
    </row>
    <row r="308" spans="1:28" ht="14.25" customHeight="1">
      <c r="A308" s="38"/>
      <c r="B308" s="3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41"/>
      <c r="U308" s="11"/>
      <c r="V308" s="11"/>
      <c r="W308" s="11"/>
      <c r="X308" s="11"/>
      <c r="Y308" s="11"/>
      <c r="Z308" s="11"/>
      <c r="AA308" s="11"/>
      <c r="AB308" s="11"/>
    </row>
    <row r="309" spans="1:28" ht="14.25" customHeight="1">
      <c r="A309" s="38"/>
      <c r="B309" s="3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41"/>
      <c r="U309" s="11"/>
      <c r="V309" s="11"/>
      <c r="W309" s="11"/>
      <c r="X309" s="11"/>
      <c r="Y309" s="11"/>
      <c r="Z309" s="11"/>
      <c r="AA309" s="11"/>
      <c r="AB309" s="11"/>
    </row>
    <row r="310" spans="1:28" ht="14.25" customHeight="1">
      <c r="A310" s="38"/>
      <c r="B310" s="3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41"/>
      <c r="U310" s="11"/>
      <c r="V310" s="11"/>
      <c r="W310" s="11"/>
      <c r="X310" s="11"/>
      <c r="Y310" s="11"/>
      <c r="Z310" s="11"/>
      <c r="AA310" s="11"/>
      <c r="AB310" s="11"/>
    </row>
    <row r="311" spans="1:28" ht="14.25" customHeight="1">
      <c r="A311" s="38"/>
      <c r="B311" s="3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41"/>
      <c r="U311" s="11"/>
      <c r="V311" s="11"/>
      <c r="W311" s="11"/>
      <c r="X311" s="11"/>
      <c r="Y311" s="11"/>
      <c r="Z311" s="11"/>
      <c r="AA311" s="11"/>
      <c r="AB311" s="11"/>
    </row>
    <row r="312" spans="1:28" ht="14.25" customHeight="1">
      <c r="A312" s="38"/>
      <c r="B312" s="3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41"/>
      <c r="U312" s="11"/>
      <c r="V312" s="11"/>
      <c r="W312" s="11"/>
      <c r="X312" s="11"/>
      <c r="Y312" s="11"/>
      <c r="Z312" s="11"/>
      <c r="AA312" s="11"/>
      <c r="AB312" s="11"/>
    </row>
    <row r="313" spans="1:28" ht="14.25" customHeight="1">
      <c r="A313" s="38"/>
      <c r="B313" s="3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41"/>
      <c r="U313" s="11"/>
      <c r="V313" s="11"/>
      <c r="W313" s="11"/>
      <c r="X313" s="11"/>
      <c r="Y313" s="11"/>
      <c r="Z313" s="11"/>
      <c r="AA313" s="11"/>
      <c r="AB313" s="11"/>
    </row>
    <row r="314" spans="1:28" ht="14.25" customHeight="1">
      <c r="A314" s="38"/>
      <c r="B314" s="3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41"/>
      <c r="U314" s="11"/>
      <c r="V314" s="11"/>
      <c r="W314" s="11"/>
      <c r="X314" s="11"/>
      <c r="Y314" s="11"/>
      <c r="Z314" s="11"/>
      <c r="AA314" s="11"/>
      <c r="AB314" s="11"/>
    </row>
    <row r="315" spans="1:28" ht="14.25" customHeight="1">
      <c r="A315" s="38"/>
      <c r="B315" s="3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41"/>
      <c r="U315" s="11"/>
      <c r="V315" s="11"/>
      <c r="W315" s="11"/>
      <c r="X315" s="11"/>
      <c r="Y315" s="11"/>
      <c r="Z315" s="11"/>
      <c r="AA315" s="11"/>
      <c r="AB315" s="11"/>
    </row>
    <row r="316" spans="1:28" ht="14.25" customHeight="1">
      <c r="A316" s="38"/>
      <c r="B316" s="3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41"/>
      <c r="U316" s="11"/>
      <c r="V316" s="11"/>
      <c r="W316" s="11"/>
      <c r="X316" s="11"/>
      <c r="Y316" s="11"/>
      <c r="Z316" s="11"/>
      <c r="AA316" s="11"/>
      <c r="AB316" s="11"/>
    </row>
    <row r="317" spans="1:28" ht="14.25" customHeight="1">
      <c r="A317" s="38"/>
      <c r="B317" s="3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41"/>
      <c r="U317" s="11"/>
      <c r="V317" s="11"/>
      <c r="W317" s="11"/>
      <c r="X317" s="11"/>
      <c r="Y317" s="11"/>
      <c r="Z317" s="11"/>
      <c r="AA317" s="11"/>
      <c r="AB317" s="11"/>
    </row>
    <row r="318" spans="1:28" ht="14.25" customHeight="1">
      <c r="A318" s="38"/>
      <c r="B318" s="3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41"/>
      <c r="U318" s="11"/>
      <c r="V318" s="11"/>
      <c r="W318" s="11"/>
      <c r="X318" s="11"/>
      <c r="Y318" s="11"/>
      <c r="Z318" s="11"/>
      <c r="AA318" s="11"/>
      <c r="AB318" s="11"/>
    </row>
    <row r="319" spans="1:28" ht="14.25" customHeight="1">
      <c r="A319" s="38"/>
      <c r="B319" s="3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41"/>
      <c r="U319" s="11"/>
      <c r="V319" s="11"/>
      <c r="W319" s="11"/>
      <c r="X319" s="11"/>
      <c r="Y319" s="11"/>
      <c r="Z319" s="11"/>
      <c r="AA319" s="11"/>
      <c r="AB319" s="11"/>
    </row>
    <row r="320" spans="1:28" ht="14.25" customHeight="1">
      <c r="A320" s="38"/>
      <c r="B320" s="3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41"/>
      <c r="U320" s="11"/>
      <c r="V320" s="11"/>
      <c r="W320" s="11"/>
      <c r="X320" s="11"/>
      <c r="Y320" s="11"/>
      <c r="Z320" s="11"/>
      <c r="AA320" s="11"/>
      <c r="AB320" s="11"/>
    </row>
    <row r="321" spans="1:28" ht="14.25" customHeight="1">
      <c r="A321" s="38"/>
      <c r="B321" s="3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41"/>
      <c r="U321" s="11"/>
      <c r="V321" s="11"/>
      <c r="W321" s="11"/>
      <c r="X321" s="11"/>
      <c r="Y321" s="11"/>
      <c r="Z321" s="11"/>
      <c r="AA321" s="11"/>
      <c r="AB321" s="11"/>
    </row>
    <row r="322" spans="1:28" ht="14.25" customHeight="1">
      <c r="A322" s="38"/>
      <c r="B322" s="3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41"/>
      <c r="U322" s="11"/>
      <c r="V322" s="11"/>
      <c r="W322" s="11"/>
      <c r="X322" s="11"/>
      <c r="Y322" s="11"/>
      <c r="Z322" s="11"/>
      <c r="AA322" s="11"/>
      <c r="AB322" s="11"/>
    </row>
    <row r="323" spans="1:28" ht="14.25" customHeight="1">
      <c r="A323" s="38"/>
      <c r="B323" s="3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41"/>
      <c r="U323" s="11"/>
      <c r="V323" s="11"/>
      <c r="W323" s="11"/>
      <c r="X323" s="11"/>
      <c r="Y323" s="11"/>
      <c r="Z323" s="11"/>
      <c r="AA323" s="11"/>
      <c r="AB323" s="11"/>
    </row>
    <row r="324" spans="1:28" ht="14.25" customHeight="1">
      <c r="A324" s="38"/>
      <c r="B324" s="3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41"/>
      <c r="U324" s="11"/>
      <c r="V324" s="11"/>
      <c r="W324" s="11"/>
      <c r="X324" s="11"/>
      <c r="Y324" s="11"/>
      <c r="Z324" s="11"/>
      <c r="AA324" s="11"/>
      <c r="AB324" s="11"/>
    </row>
    <row r="325" spans="1:28" ht="14.25" customHeight="1">
      <c r="A325" s="38"/>
      <c r="B325" s="3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41"/>
      <c r="U325" s="11"/>
      <c r="V325" s="11"/>
      <c r="W325" s="11"/>
      <c r="X325" s="11"/>
      <c r="Y325" s="11"/>
      <c r="Z325" s="11"/>
      <c r="AA325" s="11"/>
      <c r="AB325" s="11"/>
    </row>
    <row r="326" spans="1:28" ht="14.25" customHeight="1">
      <c r="A326" s="38"/>
      <c r="B326" s="3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41"/>
      <c r="U326" s="11"/>
      <c r="V326" s="11"/>
      <c r="W326" s="11"/>
      <c r="X326" s="11"/>
      <c r="Y326" s="11"/>
      <c r="Z326" s="11"/>
      <c r="AA326" s="11"/>
      <c r="AB326" s="11"/>
    </row>
    <row r="327" spans="1:28" ht="14.25" customHeight="1">
      <c r="A327" s="38"/>
      <c r="B327" s="3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41"/>
      <c r="U327" s="11"/>
      <c r="V327" s="11"/>
      <c r="W327" s="11"/>
      <c r="X327" s="11"/>
      <c r="Y327" s="11"/>
      <c r="Z327" s="11"/>
      <c r="AA327" s="11"/>
      <c r="AB327" s="11"/>
    </row>
    <row r="328" spans="1:28" ht="14.25" customHeight="1">
      <c r="A328" s="38"/>
      <c r="B328" s="3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41"/>
      <c r="U328" s="11"/>
      <c r="V328" s="11"/>
      <c r="W328" s="11"/>
      <c r="X328" s="11"/>
      <c r="Y328" s="11"/>
      <c r="Z328" s="11"/>
      <c r="AA328" s="11"/>
      <c r="AB328" s="11"/>
    </row>
    <row r="329" spans="1:28" ht="14.25" customHeight="1">
      <c r="A329" s="38"/>
      <c r="B329" s="3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41"/>
      <c r="U329" s="11"/>
      <c r="V329" s="11"/>
      <c r="W329" s="11"/>
      <c r="X329" s="11"/>
      <c r="Y329" s="11"/>
      <c r="Z329" s="11"/>
      <c r="AA329" s="11"/>
      <c r="AB329" s="11"/>
    </row>
    <row r="330" spans="1:28" ht="14.25" customHeight="1">
      <c r="A330" s="38"/>
      <c r="B330" s="3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41"/>
      <c r="U330" s="11"/>
      <c r="V330" s="11"/>
      <c r="W330" s="11"/>
      <c r="X330" s="11"/>
      <c r="Y330" s="11"/>
      <c r="Z330" s="11"/>
      <c r="AA330" s="11"/>
      <c r="AB330" s="11"/>
    </row>
    <row r="331" spans="1:28" ht="14.25" customHeight="1">
      <c r="A331" s="38"/>
      <c r="B331" s="3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41"/>
      <c r="U331" s="11"/>
      <c r="V331" s="11"/>
      <c r="W331" s="11"/>
      <c r="X331" s="11"/>
      <c r="Y331" s="11"/>
      <c r="Z331" s="11"/>
      <c r="AA331" s="11"/>
      <c r="AB331" s="11"/>
    </row>
    <row r="332" spans="1:28" ht="14.25" customHeight="1">
      <c r="A332" s="38"/>
      <c r="B332" s="3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41"/>
      <c r="U332" s="11"/>
      <c r="V332" s="11"/>
      <c r="W332" s="11"/>
      <c r="X332" s="11"/>
      <c r="Y332" s="11"/>
      <c r="Z332" s="11"/>
      <c r="AA332" s="11"/>
      <c r="AB332" s="11"/>
    </row>
    <row r="333" spans="1:28" ht="14.25" customHeight="1">
      <c r="A333" s="38"/>
      <c r="B333" s="3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41"/>
      <c r="U333" s="11"/>
      <c r="V333" s="11"/>
      <c r="W333" s="11"/>
      <c r="X333" s="11"/>
      <c r="Y333" s="11"/>
      <c r="Z333" s="11"/>
      <c r="AA333" s="11"/>
      <c r="AB333" s="11"/>
    </row>
    <row r="334" spans="1:28" ht="14.25" customHeight="1">
      <c r="A334" s="38"/>
      <c r="B334" s="3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41"/>
      <c r="U334" s="11"/>
      <c r="V334" s="11"/>
      <c r="W334" s="11"/>
      <c r="X334" s="11"/>
      <c r="Y334" s="11"/>
      <c r="Z334" s="11"/>
      <c r="AA334" s="11"/>
      <c r="AB334" s="11"/>
    </row>
    <row r="335" spans="1:28" ht="14.25" customHeight="1">
      <c r="A335" s="38"/>
      <c r="B335" s="3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41"/>
      <c r="U335" s="11"/>
      <c r="V335" s="11"/>
      <c r="W335" s="11"/>
      <c r="X335" s="11"/>
      <c r="Y335" s="11"/>
      <c r="Z335" s="11"/>
      <c r="AA335" s="11"/>
      <c r="AB335" s="11"/>
    </row>
    <row r="336" spans="1:28" ht="14.25" customHeight="1">
      <c r="A336" s="38"/>
      <c r="B336" s="3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41"/>
      <c r="U336" s="11"/>
      <c r="V336" s="11"/>
      <c r="W336" s="11"/>
      <c r="X336" s="11"/>
      <c r="Y336" s="11"/>
      <c r="Z336" s="11"/>
      <c r="AA336" s="11"/>
      <c r="AB336" s="11"/>
    </row>
    <row r="337" spans="1:28" ht="14.25" customHeight="1">
      <c r="A337" s="38"/>
      <c r="B337" s="3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41"/>
      <c r="U337" s="11"/>
      <c r="V337" s="11"/>
      <c r="W337" s="11"/>
      <c r="X337" s="11"/>
      <c r="Y337" s="11"/>
      <c r="Z337" s="11"/>
      <c r="AA337" s="11"/>
      <c r="AB337" s="11"/>
    </row>
    <row r="338" spans="1:28" ht="14.25" customHeight="1">
      <c r="A338" s="38"/>
      <c r="B338" s="3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41"/>
      <c r="U338" s="11"/>
      <c r="V338" s="11"/>
      <c r="W338" s="11"/>
      <c r="X338" s="11"/>
      <c r="Y338" s="11"/>
      <c r="Z338" s="11"/>
      <c r="AA338" s="11"/>
      <c r="AB338" s="11"/>
    </row>
    <row r="339" spans="1:28" ht="14.25" customHeight="1">
      <c r="A339" s="38"/>
      <c r="B339" s="3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41"/>
      <c r="U339" s="11"/>
      <c r="V339" s="11"/>
      <c r="W339" s="11"/>
      <c r="X339" s="11"/>
      <c r="Y339" s="11"/>
      <c r="Z339" s="11"/>
      <c r="AA339" s="11"/>
      <c r="AB339" s="11"/>
    </row>
    <row r="340" spans="1:28" ht="14.25" customHeight="1">
      <c r="A340" s="38"/>
      <c r="B340" s="3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41"/>
      <c r="U340" s="11"/>
      <c r="V340" s="11"/>
      <c r="W340" s="11"/>
      <c r="X340" s="11"/>
      <c r="Y340" s="11"/>
      <c r="Z340" s="11"/>
      <c r="AA340" s="11"/>
      <c r="AB340" s="11"/>
    </row>
    <row r="341" spans="1:28" ht="14.25" customHeight="1">
      <c r="A341" s="38"/>
      <c r="B341" s="3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41"/>
      <c r="U341" s="11"/>
      <c r="V341" s="11"/>
      <c r="W341" s="11"/>
      <c r="X341" s="11"/>
      <c r="Y341" s="11"/>
      <c r="Z341" s="11"/>
      <c r="AA341" s="11"/>
      <c r="AB341" s="11"/>
    </row>
    <row r="342" spans="1:28" ht="14.25" customHeight="1">
      <c r="A342" s="38"/>
      <c r="B342" s="3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41"/>
      <c r="U342" s="11"/>
      <c r="V342" s="11"/>
      <c r="W342" s="11"/>
      <c r="X342" s="11"/>
      <c r="Y342" s="11"/>
      <c r="Z342" s="11"/>
      <c r="AA342" s="11"/>
      <c r="AB342" s="11"/>
    </row>
    <row r="343" spans="1:28" ht="14.25" customHeight="1">
      <c r="A343" s="38"/>
      <c r="B343" s="3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41"/>
      <c r="U343" s="11"/>
      <c r="V343" s="11"/>
      <c r="W343" s="11"/>
      <c r="X343" s="11"/>
      <c r="Y343" s="11"/>
      <c r="Z343" s="11"/>
      <c r="AA343" s="11"/>
      <c r="AB343" s="11"/>
    </row>
    <row r="344" spans="1:28" ht="14.25" customHeight="1">
      <c r="A344" s="38"/>
      <c r="B344" s="3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41"/>
      <c r="U344" s="11"/>
      <c r="V344" s="11"/>
      <c r="W344" s="11"/>
      <c r="X344" s="11"/>
      <c r="Y344" s="11"/>
      <c r="Z344" s="11"/>
      <c r="AA344" s="11"/>
      <c r="AB344" s="11"/>
    </row>
    <row r="345" spans="1:28" ht="14.25" customHeight="1">
      <c r="A345" s="38"/>
      <c r="B345" s="3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41"/>
      <c r="U345" s="11"/>
      <c r="V345" s="11"/>
      <c r="W345" s="11"/>
      <c r="X345" s="11"/>
      <c r="Y345" s="11"/>
      <c r="Z345" s="11"/>
      <c r="AA345" s="11"/>
      <c r="AB345" s="11"/>
    </row>
    <row r="346" spans="1:28" ht="14.25" customHeight="1">
      <c r="A346" s="38"/>
      <c r="B346" s="3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41"/>
      <c r="U346" s="11"/>
      <c r="V346" s="11"/>
      <c r="W346" s="11"/>
      <c r="X346" s="11"/>
      <c r="Y346" s="11"/>
      <c r="Z346" s="11"/>
      <c r="AA346" s="11"/>
      <c r="AB346" s="11"/>
    </row>
    <row r="347" spans="1:28" ht="14.25" customHeight="1">
      <c r="A347" s="38"/>
      <c r="B347" s="3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41"/>
      <c r="U347" s="11"/>
      <c r="V347" s="11"/>
      <c r="W347" s="11"/>
      <c r="X347" s="11"/>
      <c r="Y347" s="11"/>
      <c r="Z347" s="11"/>
      <c r="AA347" s="11"/>
      <c r="AB347" s="11"/>
    </row>
    <row r="348" spans="1:28" ht="14.25" customHeight="1">
      <c r="A348" s="38"/>
      <c r="B348" s="3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41"/>
      <c r="U348" s="11"/>
      <c r="V348" s="11"/>
      <c r="W348" s="11"/>
      <c r="X348" s="11"/>
      <c r="Y348" s="11"/>
      <c r="Z348" s="11"/>
      <c r="AA348" s="11"/>
      <c r="AB348" s="11"/>
    </row>
    <row r="349" spans="1:28" ht="14.25" customHeight="1">
      <c r="A349" s="38"/>
      <c r="B349" s="3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41"/>
      <c r="U349" s="11"/>
      <c r="V349" s="11"/>
      <c r="W349" s="11"/>
      <c r="X349" s="11"/>
      <c r="Y349" s="11"/>
      <c r="Z349" s="11"/>
      <c r="AA349" s="11"/>
      <c r="AB349" s="11"/>
    </row>
    <row r="350" spans="1:28" ht="14.25" customHeight="1">
      <c r="A350" s="38"/>
      <c r="B350" s="3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41"/>
      <c r="U350" s="11"/>
      <c r="V350" s="11"/>
      <c r="W350" s="11"/>
      <c r="X350" s="11"/>
      <c r="Y350" s="11"/>
      <c r="Z350" s="11"/>
      <c r="AA350" s="11"/>
      <c r="AB350" s="11"/>
    </row>
    <row r="351" spans="1:28" ht="14.25" customHeight="1">
      <c r="A351" s="38"/>
      <c r="B351" s="3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41"/>
      <c r="U351" s="11"/>
      <c r="V351" s="11"/>
      <c r="W351" s="11"/>
      <c r="X351" s="11"/>
      <c r="Y351" s="11"/>
      <c r="Z351" s="11"/>
      <c r="AA351" s="11"/>
      <c r="AB351" s="11"/>
    </row>
    <row r="352" spans="1:28" ht="14.25" customHeight="1">
      <c r="A352" s="38"/>
      <c r="B352" s="3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41"/>
      <c r="U352" s="11"/>
      <c r="V352" s="11"/>
      <c r="W352" s="11"/>
      <c r="X352" s="11"/>
      <c r="Y352" s="11"/>
      <c r="Z352" s="11"/>
      <c r="AA352" s="11"/>
      <c r="AB352" s="11"/>
    </row>
    <row r="353" spans="1:28" ht="14.25" customHeight="1">
      <c r="A353" s="38"/>
      <c r="B353" s="3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41"/>
      <c r="U353" s="11"/>
      <c r="V353" s="11"/>
      <c r="W353" s="11"/>
      <c r="X353" s="11"/>
      <c r="Y353" s="11"/>
      <c r="Z353" s="11"/>
      <c r="AA353" s="11"/>
      <c r="AB353" s="11"/>
    </row>
    <row r="354" spans="1:28" ht="14.25" customHeight="1">
      <c r="A354" s="38"/>
      <c r="B354" s="3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41"/>
      <c r="U354" s="11"/>
      <c r="V354" s="11"/>
      <c r="W354" s="11"/>
      <c r="X354" s="11"/>
      <c r="Y354" s="11"/>
      <c r="Z354" s="11"/>
      <c r="AA354" s="11"/>
      <c r="AB354" s="11"/>
    </row>
    <row r="355" spans="1:28" ht="14.25" customHeight="1">
      <c r="A355" s="38"/>
      <c r="B355" s="3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41"/>
      <c r="U355" s="11"/>
      <c r="V355" s="11"/>
      <c r="W355" s="11"/>
      <c r="X355" s="11"/>
      <c r="Y355" s="11"/>
      <c r="Z355" s="11"/>
      <c r="AA355" s="11"/>
      <c r="AB355" s="11"/>
    </row>
    <row r="356" spans="1:28" ht="14.25" customHeight="1">
      <c r="A356" s="38"/>
      <c r="B356" s="3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41"/>
      <c r="U356" s="11"/>
      <c r="V356" s="11"/>
      <c r="W356" s="11"/>
      <c r="X356" s="11"/>
      <c r="Y356" s="11"/>
      <c r="Z356" s="11"/>
      <c r="AA356" s="11"/>
      <c r="AB356" s="11"/>
    </row>
    <row r="357" spans="1:28" ht="14.25" customHeight="1">
      <c r="A357" s="38"/>
      <c r="B357" s="3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41"/>
      <c r="U357" s="11"/>
      <c r="V357" s="11"/>
      <c r="W357" s="11"/>
      <c r="X357" s="11"/>
      <c r="Y357" s="11"/>
      <c r="Z357" s="11"/>
      <c r="AA357" s="11"/>
      <c r="AB357" s="11"/>
    </row>
    <row r="358" spans="1:28" ht="14.25" customHeight="1">
      <c r="A358" s="38"/>
      <c r="B358" s="3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41"/>
      <c r="U358" s="11"/>
      <c r="V358" s="11"/>
      <c r="W358" s="11"/>
      <c r="X358" s="11"/>
      <c r="Y358" s="11"/>
      <c r="Z358" s="11"/>
      <c r="AA358" s="11"/>
      <c r="AB358" s="11"/>
    </row>
    <row r="359" spans="1:28" ht="14.25" customHeight="1">
      <c r="A359" s="38"/>
      <c r="B359" s="3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41"/>
      <c r="U359" s="11"/>
      <c r="V359" s="11"/>
      <c r="W359" s="11"/>
      <c r="X359" s="11"/>
      <c r="Y359" s="11"/>
      <c r="Z359" s="11"/>
      <c r="AA359" s="11"/>
      <c r="AB359" s="11"/>
    </row>
    <row r="360" spans="1:28" ht="14.25" customHeight="1">
      <c r="A360" s="38"/>
      <c r="B360" s="3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41"/>
      <c r="U360" s="11"/>
      <c r="V360" s="11"/>
      <c r="W360" s="11"/>
      <c r="X360" s="11"/>
      <c r="Y360" s="11"/>
      <c r="Z360" s="11"/>
      <c r="AA360" s="11"/>
      <c r="AB360" s="11"/>
    </row>
    <row r="361" spans="1:28" ht="14.25" customHeight="1">
      <c r="A361" s="38"/>
      <c r="B361" s="3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41"/>
      <c r="U361" s="11"/>
      <c r="V361" s="11"/>
      <c r="W361" s="11"/>
      <c r="X361" s="11"/>
      <c r="Y361" s="11"/>
      <c r="Z361" s="11"/>
      <c r="AA361" s="11"/>
      <c r="AB361" s="11"/>
    </row>
    <row r="362" spans="1:28" ht="14.25" customHeight="1">
      <c r="A362" s="38"/>
      <c r="B362" s="3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41"/>
      <c r="U362" s="11"/>
      <c r="V362" s="11"/>
      <c r="W362" s="11"/>
      <c r="X362" s="11"/>
      <c r="Y362" s="11"/>
      <c r="Z362" s="11"/>
      <c r="AA362" s="11"/>
      <c r="AB362" s="11"/>
    </row>
    <row r="363" spans="1:28" ht="14.25" customHeight="1">
      <c r="A363" s="38"/>
      <c r="B363" s="3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41"/>
      <c r="U363" s="11"/>
      <c r="V363" s="11"/>
      <c r="W363" s="11"/>
      <c r="X363" s="11"/>
      <c r="Y363" s="11"/>
      <c r="Z363" s="11"/>
      <c r="AA363" s="11"/>
      <c r="AB363" s="11"/>
    </row>
    <row r="364" spans="1:28" ht="14.25" customHeight="1">
      <c r="A364" s="38"/>
      <c r="B364" s="3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41"/>
      <c r="U364" s="11"/>
      <c r="V364" s="11"/>
      <c r="W364" s="11"/>
      <c r="X364" s="11"/>
      <c r="Y364" s="11"/>
      <c r="Z364" s="11"/>
      <c r="AA364" s="11"/>
      <c r="AB364" s="11"/>
    </row>
    <row r="365" spans="1:28" ht="14.25" customHeight="1">
      <c r="A365" s="38"/>
      <c r="B365" s="3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41"/>
      <c r="U365" s="11"/>
      <c r="V365" s="11"/>
      <c r="W365" s="11"/>
      <c r="X365" s="11"/>
      <c r="Y365" s="11"/>
      <c r="Z365" s="11"/>
      <c r="AA365" s="11"/>
      <c r="AB365" s="11"/>
    </row>
    <row r="366" spans="1:28" ht="14.25" customHeight="1">
      <c r="A366" s="38"/>
      <c r="B366" s="3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41"/>
      <c r="U366" s="11"/>
      <c r="V366" s="11"/>
      <c r="W366" s="11"/>
      <c r="X366" s="11"/>
      <c r="Y366" s="11"/>
      <c r="Z366" s="11"/>
      <c r="AA366" s="11"/>
      <c r="AB366" s="11"/>
    </row>
    <row r="367" spans="1:28" ht="14.25" customHeight="1">
      <c r="A367" s="38"/>
      <c r="B367" s="3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41"/>
      <c r="U367" s="11"/>
      <c r="V367" s="11"/>
      <c r="W367" s="11"/>
      <c r="X367" s="11"/>
      <c r="Y367" s="11"/>
      <c r="Z367" s="11"/>
      <c r="AA367" s="11"/>
      <c r="AB367" s="11"/>
    </row>
    <row r="368" spans="1:28" ht="14.25" customHeight="1">
      <c r="A368" s="38"/>
      <c r="B368" s="3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41"/>
      <c r="U368" s="11"/>
      <c r="V368" s="11"/>
      <c r="W368" s="11"/>
      <c r="X368" s="11"/>
      <c r="Y368" s="11"/>
      <c r="Z368" s="11"/>
      <c r="AA368" s="11"/>
      <c r="AB368" s="11"/>
    </row>
    <row r="369" spans="1:28" ht="14.25" customHeight="1">
      <c r="A369" s="38"/>
      <c r="B369" s="3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41"/>
      <c r="U369" s="11"/>
      <c r="V369" s="11"/>
      <c r="W369" s="11"/>
      <c r="X369" s="11"/>
      <c r="Y369" s="11"/>
      <c r="Z369" s="11"/>
      <c r="AA369" s="11"/>
      <c r="AB369" s="11"/>
    </row>
    <row r="370" spans="1:28" ht="14.25" customHeight="1">
      <c r="A370" s="38"/>
      <c r="B370" s="3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41"/>
      <c r="U370" s="11"/>
      <c r="V370" s="11"/>
      <c r="W370" s="11"/>
      <c r="X370" s="11"/>
      <c r="Y370" s="11"/>
      <c r="Z370" s="11"/>
      <c r="AA370" s="11"/>
      <c r="AB370" s="11"/>
    </row>
    <row r="371" spans="1:28" ht="14.25" customHeight="1">
      <c r="A371" s="38"/>
      <c r="B371" s="3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41"/>
      <c r="U371" s="11"/>
      <c r="V371" s="11"/>
      <c r="W371" s="11"/>
      <c r="X371" s="11"/>
      <c r="Y371" s="11"/>
      <c r="Z371" s="11"/>
      <c r="AA371" s="11"/>
      <c r="AB371" s="11"/>
    </row>
    <row r="372" spans="1:28" ht="14.25" customHeight="1">
      <c r="A372" s="38"/>
      <c r="B372" s="3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41"/>
      <c r="U372" s="11"/>
      <c r="V372" s="11"/>
      <c r="W372" s="11"/>
      <c r="X372" s="11"/>
      <c r="Y372" s="11"/>
      <c r="Z372" s="11"/>
      <c r="AA372" s="11"/>
      <c r="AB372" s="11"/>
    </row>
    <row r="373" spans="1:28" ht="14.25" customHeight="1">
      <c r="A373" s="38"/>
      <c r="B373" s="3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41"/>
      <c r="U373" s="11"/>
      <c r="V373" s="11"/>
      <c r="W373" s="11"/>
      <c r="X373" s="11"/>
      <c r="Y373" s="11"/>
      <c r="Z373" s="11"/>
      <c r="AA373" s="11"/>
      <c r="AB373" s="11"/>
    </row>
    <row r="374" spans="1:28" ht="14.25" customHeight="1">
      <c r="A374" s="38"/>
      <c r="B374" s="3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41"/>
      <c r="U374" s="11"/>
      <c r="V374" s="11"/>
      <c r="W374" s="11"/>
      <c r="X374" s="11"/>
      <c r="Y374" s="11"/>
      <c r="Z374" s="11"/>
      <c r="AA374" s="11"/>
      <c r="AB374" s="11"/>
    </row>
    <row r="375" spans="1:28" ht="14.25" customHeight="1">
      <c r="A375" s="38"/>
      <c r="B375" s="3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41"/>
      <c r="U375" s="11"/>
      <c r="V375" s="11"/>
      <c r="W375" s="11"/>
      <c r="X375" s="11"/>
      <c r="Y375" s="11"/>
      <c r="Z375" s="11"/>
      <c r="AA375" s="11"/>
      <c r="AB375" s="11"/>
    </row>
    <row r="376" spans="1:28" ht="14.25" customHeight="1">
      <c r="A376" s="38"/>
      <c r="B376" s="3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41"/>
      <c r="U376" s="11"/>
      <c r="V376" s="11"/>
      <c r="W376" s="11"/>
      <c r="X376" s="11"/>
      <c r="Y376" s="11"/>
      <c r="Z376" s="11"/>
      <c r="AA376" s="11"/>
      <c r="AB376" s="11"/>
    </row>
    <row r="377" spans="1:28" ht="14.25" customHeight="1">
      <c r="A377" s="38"/>
      <c r="B377" s="3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41"/>
      <c r="U377" s="11"/>
      <c r="V377" s="11"/>
      <c r="W377" s="11"/>
      <c r="X377" s="11"/>
      <c r="Y377" s="11"/>
      <c r="Z377" s="11"/>
      <c r="AA377" s="11"/>
      <c r="AB377" s="11"/>
    </row>
    <row r="378" spans="1:28" ht="14.25" customHeight="1">
      <c r="A378" s="38"/>
      <c r="B378" s="3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41"/>
      <c r="U378" s="11"/>
      <c r="V378" s="11"/>
      <c r="W378" s="11"/>
      <c r="X378" s="11"/>
      <c r="Y378" s="11"/>
      <c r="Z378" s="11"/>
      <c r="AA378" s="11"/>
      <c r="AB378" s="11"/>
    </row>
    <row r="379" spans="1:28" ht="14.25" customHeight="1">
      <c r="A379" s="38"/>
      <c r="B379" s="3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41"/>
      <c r="U379" s="11"/>
      <c r="V379" s="11"/>
      <c r="W379" s="11"/>
      <c r="X379" s="11"/>
      <c r="Y379" s="11"/>
      <c r="Z379" s="11"/>
      <c r="AA379" s="11"/>
      <c r="AB379" s="11"/>
    </row>
    <row r="380" spans="1:28" ht="14.25" customHeight="1">
      <c r="A380" s="38"/>
      <c r="B380" s="3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41"/>
      <c r="U380" s="11"/>
      <c r="V380" s="11"/>
      <c r="W380" s="11"/>
      <c r="X380" s="11"/>
      <c r="Y380" s="11"/>
      <c r="Z380" s="11"/>
      <c r="AA380" s="11"/>
      <c r="AB380" s="11"/>
    </row>
    <row r="381" spans="1:28" ht="14.25" customHeight="1">
      <c r="A381" s="38"/>
      <c r="B381" s="3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41"/>
      <c r="U381" s="11"/>
      <c r="V381" s="11"/>
      <c r="W381" s="11"/>
      <c r="X381" s="11"/>
      <c r="Y381" s="11"/>
      <c r="Z381" s="11"/>
      <c r="AA381" s="11"/>
      <c r="AB381" s="11"/>
    </row>
    <row r="382" spans="1:28" ht="14.25" customHeight="1">
      <c r="A382" s="38"/>
      <c r="B382" s="3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41"/>
      <c r="U382" s="11"/>
      <c r="V382" s="11"/>
      <c r="W382" s="11"/>
      <c r="X382" s="11"/>
      <c r="Y382" s="11"/>
      <c r="Z382" s="11"/>
      <c r="AA382" s="11"/>
      <c r="AB382" s="11"/>
    </row>
    <row r="383" spans="1:28" ht="14.25" customHeight="1">
      <c r="A383" s="38"/>
      <c r="B383" s="3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41"/>
      <c r="U383" s="11"/>
      <c r="V383" s="11"/>
      <c r="W383" s="11"/>
      <c r="X383" s="11"/>
      <c r="Y383" s="11"/>
      <c r="Z383" s="11"/>
      <c r="AA383" s="11"/>
      <c r="AB383" s="11"/>
    </row>
    <row r="384" spans="1:28" ht="14.25" customHeight="1">
      <c r="A384" s="38"/>
      <c r="B384" s="3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41"/>
      <c r="U384" s="11"/>
      <c r="V384" s="11"/>
      <c r="W384" s="11"/>
      <c r="X384" s="11"/>
      <c r="Y384" s="11"/>
      <c r="Z384" s="11"/>
      <c r="AA384" s="11"/>
      <c r="AB384" s="11"/>
    </row>
    <row r="385" spans="1:28" ht="14.25" customHeight="1">
      <c r="A385" s="38"/>
      <c r="B385" s="3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41"/>
      <c r="U385" s="11"/>
      <c r="V385" s="11"/>
      <c r="W385" s="11"/>
      <c r="X385" s="11"/>
      <c r="Y385" s="11"/>
      <c r="Z385" s="11"/>
      <c r="AA385" s="11"/>
      <c r="AB385" s="11"/>
    </row>
    <row r="386" spans="1:28" ht="14.25" customHeight="1">
      <c r="A386" s="38"/>
      <c r="B386" s="3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41"/>
      <c r="U386" s="11"/>
      <c r="V386" s="11"/>
      <c r="W386" s="11"/>
      <c r="X386" s="11"/>
      <c r="Y386" s="11"/>
      <c r="Z386" s="11"/>
      <c r="AA386" s="11"/>
      <c r="AB386" s="11"/>
    </row>
    <row r="387" spans="1:28" ht="14.25" customHeight="1">
      <c r="A387" s="38"/>
      <c r="B387" s="3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41"/>
      <c r="U387" s="11"/>
      <c r="V387" s="11"/>
      <c r="W387" s="11"/>
      <c r="X387" s="11"/>
      <c r="Y387" s="11"/>
      <c r="Z387" s="11"/>
      <c r="AA387" s="11"/>
      <c r="AB387" s="11"/>
    </row>
    <row r="388" spans="1:28" ht="14.25" customHeight="1">
      <c r="A388" s="38"/>
      <c r="B388" s="3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41"/>
      <c r="U388" s="11"/>
      <c r="V388" s="11"/>
      <c r="W388" s="11"/>
      <c r="X388" s="11"/>
      <c r="Y388" s="11"/>
      <c r="Z388" s="11"/>
      <c r="AA388" s="11"/>
      <c r="AB388" s="11"/>
    </row>
    <row r="389" spans="1:28" ht="14.25" customHeight="1">
      <c r="A389" s="38"/>
      <c r="B389" s="3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41"/>
      <c r="U389" s="11"/>
      <c r="V389" s="11"/>
      <c r="W389" s="11"/>
      <c r="X389" s="11"/>
      <c r="Y389" s="11"/>
      <c r="Z389" s="11"/>
      <c r="AA389" s="11"/>
      <c r="AB389" s="11"/>
    </row>
    <row r="390" spans="1:28" ht="14.25" customHeight="1">
      <c r="A390" s="38"/>
      <c r="B390" s="3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41"/>
      <c r="U390" s="11"/>
      <c r="V390" s="11"/>
      <c r="W390" s="11"/>
      <c r="X390" s="11"/>
      <c r="Y390" s="11"/>
      <c r="Z390" s="11"/>
      <c r="AA390" s="11"/>
      <c r="AB390" s="11"/>
    </row>
    <row r="391" spans="1:28" ht="14.25" customHeight="1">
      <c r="A391" s="38"/>
      <c r="B391" s="3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41"/>
      <c r="U391" s="11"/>
      <c r="V391" s="11"/>
      <c r="W391" s="11"/>
      <c r="X391" s="11"/>
      <c r="Y391" s="11"/>
      <c r="Z391" s="11"/>
      <c r="AA391" s="11"/>
      <c r="AB391" s="11"/>
    </row>
    <row r="392" spans="1:28" ht="14.25" customHeight="1">
      <c r="A392" s="38"/>
      <c r="B392" s="3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41"/>
      <c r="U392" s="11"/>
      <c r="V392" s="11"/>
      <c r="W392" s="11"/>
      <c r="X392" s="11"/>
      <c r="Y392" s="11"/>
      <c r="Z392" s="11"/>
      <c r="AA392" s="11"/>
      <c r="AB392" s="11"/>
    </row>
    <row r="393" spans="1:28" ht="14.25" customHeight="1">
      <c r="A393" s="38"/>
      <c r="B393" s="3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41"/>
      <c r="U393" s="11"/>
      <c r="V393" s="11"/>
      <c r="W393" s="11"/>
      <c r="X393" s="11"/>
      <c r="Y393" s="11"/>
      <c r="Z393" s="11"/>
      <c r="AA393" s="11"/>
      <c r="AB393" s="11"/>
    </row>
    <row r="394" spans="1:28" ht="14.25" customHeight="1">
      <c r="A394" s="38"/>
      <c r="B394" s="3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41"/>
      <c r="U394" s="11"/>
      <c r="V394" s="11"/>
      <c r="W394" s="11"/>
      <c r="X394" s="11"/>
      <c r="Y394" s="11"/>
      <c r="Z394" s="11"/>
      <c r="AA394" s="11"/>
      <c r="AB394" s="11"/>
    </row>
    <row r="395" spans="1:28" ht="14.25" customHeight="1">
      <c r="A395" s="38"/>
      <c r="B395" s="3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41"/>
      <c r="U395" s="11"/>
      <c r="V395" s="11"/>
      <c r="W395" s="11"/>
      <c r="X395" s="11"/>
      <c r="Y395" s="11"/>
      <c r="Z395" s="11"/>
      <c r="AA395" s="11"/>
      <c r="AB395" s="11"/>
    </row>
    <row r="396" spans="1:28" ht="14.25" customHeight="1">
      <c r="A396" s="38"/>
      <c r="B396" s="3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41"/>
      <c r="U396" s="11"/>
      <c r="V396" s="11"/>
      <c r="W396" s="11"/>
      <c r="X396" s="11"/>
      <c r="Y396" s="11"/>
      <c r="Z396" s="11"/>
      <c r="AA396" s="11"/>
      <c r="AB396" s="11"/>
    </row>
    <row r="397" spans="1:28" ht="14.25" customHeight="1">
      <c r="A397" s="38"/>
      <c r="B397" s="3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41"/>
      <c r="U397" s="11"/>
      <c r="V397" s="11"/>
      <c r="W397" s="11"/>
      <c r="X397" s="11"/>
      <c r="Y397" s="11"/>
      <c r="Z397" s="11"/>
      <c r="AA397" s="11"/>
      <c r="AB397" s="11"/>
    </row>
    <row r="398" spans="1:28" ht="14.25" customHeight="1">
      <c r="A398" s="38"/>
      <c r="B398" s="3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41"/>
      <c r="U398" s="11"/>
      <c r="V398" s="11"/>
      <c r="W398" s="11"/>
      <c r="X398" s="11"/>
      <c r="Y398" s="11"/>
      <c r="Z398" s="11"/>
      <c r="AA398" s="11"/>
      <c r="AB398" s="11"/>
    </row>
    <row r="399" spans="1:28" ht="14.25" customHeight="1">
      <c r="A399" s="38"/>
      <c r="B399" s="3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41"/>
      <c r="U399" s="11"/>
      <c r="V399" s="11"/>
      <c r="W399" s="11"/>
      <c r="X399" s="11"/>
      <c r="Y399" s="11"/>
      <c r="Z399" s="11"/>
      <c r="AA399" s="11"/>
      <c r="AB399" s="11"/>
    </row>
    <row r="400" spans="1:28" ht="14.25" customHeight="1">
      <c r="A400" s="38"/>
      <c r="B400" s="3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41"/>
      <c r="U400" s="11"/>
      <c r="V400" s="11"/>
      <c r="W400" s="11"/>
      <c r="X400" s="11"/>
      <c r="Y400" s="11"/>
      <c r="Z400" s="11"/>
      <c r="AA400" s="11"/>
      <c r="AB400" s="11"/>
    </row>
    <row r="401" spans="1:28" ht="14.25" customHeight="1">
      <c r="A401" s="38"/>
      <c r="B401" s="3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41"/>
      <c r="U401" s="11"/>
      <c r="V401" s="11"/>
      <c r="W401" s="11"/>
      <c r="X401" s="11"/>
      <c r="Y401" s="11"/>
      <c r="Z401" s="11"/>
      <c r="AA401" s="11"/>
      <c r="AB401" s="11"/>
    </row>
    <row r="402" spans="1:28" ht="14.25" customHeight="1">
      <c r="A402" s="38"/>
      <c r="B402" s="3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41"/>
      <c r="U402" s="11"/>
      <c r="V402" s="11"/>
      <c r="W402" s="11"/>
      <c r="X402" s="11"/>
      <c r="Y402" s="11"/>
      <c r="Z402" s="11"/>
      <c r="AA402" s="11"/>
      <c r="AB402" s="11"/>
    </row>
    <row r="403" spans="1:28" ht="14.25" customHeight="1">
      <c r="A403" s="38"/>
      <c r="B403" s="3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41"/>
      <c r="U403" s="11"/>
      <c r="V403" s="11"/>
      <c r="W403" s="11"/>
      <c r="X403" s="11"/>
      <c r="Y403" s="11"/>
      <c r="Z403" s="11"/>
      <c r="AA403" s="11"/>
      <c r="AB403" s="11"/>
    </row>
    <row r="404" spans="1:28" ht="14.25" customHeight="1">
      <c r="A404" s="38"/>
      <c r="B404" s="3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41"/>
      <c r="U404" s="11"/>
      <c r="V404" s="11"/>
      <c r="W404" s="11"/>
      <c r="X404" s="11"/>
      <c r="Y404" s="11"/>
      <c r="Z404" s="11"/>
      <c r="AA404" s="11"/>
      <c r="AB404" s="11"/>
    </row>
    <row r="405" spans="1:28" ht="14.25" customHeight="1">
      <c r="A405" s="38"/>
      <c r="B405" s="3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41"/>
      <c r="U405" s="11"/>
      <c r="V405" s="11"/>
      <c r="W405" s="11"/>
      <c r="X405" s="11"/>
      <c r="Y405" s="11"/>
      <c r="Z405" s="11"/>
      <c r="AA405" s="11"/>
      <c r="AB405" s="11"/>
    </row>
    <row r="406" spans="1:28" ht="14.25" customHeight="1">
      <c r="A406" s="38"/>
      <c r="B406" s="3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41"/>
      <c r="U406" s="11"/>
      <c r="V406" s="11"/>
      <c r="W406" s="11"/>
      <c r="X406" s="11"/>
      <c r="Y406" s="11"/>
      <c r="Z406" s="11"/>
      <c r="AA406" s="11"/>
      <c r="AB406" s="11"/>
    </row>
    <row r="407" spans="1:28" ht="14.25" customHeight="1">
      <c r="A407" s="38"/>
      <c r="B407" s="3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41"/>
      <c r="U407" s="11"/>
      <c r="V407" s="11"/>
      <c r="W407" s="11"/>
      <c r="X407" s="11"/>
      <c r="Y407" s="11"/>
      <c r="Z407" s="11"/>
      <c r="AA407" s="11"/>
      <c r="AB407" s="11"/>
    </row>
    <row r="408" spans="1:28" ht="14.25" customHeight="1">
      <c r="A408" s="38"/>
      <c r="B408" s="3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41"/>
      <c r="U408" s="11"/>
      <c r="V408" s="11"/>
      <c r="W408" s="11"/>
      <c r="X408" s="11"/>
      <c r="Y408" s="11"/>
      <c r="Z408" s="11"/>
      <c r="AA408" s="11"/>
      <c r="AB408" s="11"/>
    </row>
    <row r="409" spans="1:28" ht="14.25" customHeight="1">
      <c r="A409" s="38"/>
      <c r="B409" s="3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41"/>
      <c r="U409" s="11"/>
      <c r="V409" s="11"/>
      <c r="W409" s="11"/>
      <c r="X409" s="11"/>
      <c r="Y409" s="11"/>
      <c r="Z409" s="11"/>
      <c r="AA409" s="11"/>
      <c r="AB409" s="11"/>
    </row>
    <row r="410" spans="1:28" ht="14.25" customHeight="1">
      <c r="A410" s="38"/>
      <c r="B410" s="3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41"/>
      <c r="U410" s="11"/>
      <c r="V410" s="11"/>
      <c r="W410" s="11"/>
      <c r="X410" s="11"/>
      <c r="Y410" s="11"/>
      <c r="Z410" s="11"/>
      <c r="AA410" s="11"/>
      <c r="AB410" s="11"/>
    </row>
    <row r="411" spans="1:28" ht="14.25" customHeight="1">
      <c r="A411" s="38"/>
      <c r="B411" s="3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41"/>
      <c r="U411" s="11"/>
      <c r="V411" s="11"/>
      <c r="W411" s="11"/>
      <c r="X411" s="11"/>
      <c r="Y411" s="11"/>
      <c r="Z411" s="11"/>
      <c r="AA411" s="11"/>
      <c r="AB411" s="11"/>
    </row>
    <row r="412" spans="1:28" ht="14.25" customHeight="1">
      <c r="A412" s="38"/>
      <c r="B412" s="3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41"/>
      <c r="U412" s="11"/>
      <c r="V412" s="11"/>
      <c r="W412" s="11"/>
      <c r="X412" s="11"/>
      <c r="Y412" s="11"/>
      <c r="Z412" s="11"/>
      <c r="AA412" s="11"/>
      <c r="AB412" s="11"/>
    </row>
    <row r="413" spans="1:28" ht="14.25" customHeight="1">
      <c r="A413" s="38"/>
      <c r="B413" s="3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41"/>
      <c r="U413" s="11"/>
      <c r="V413" s="11"/>
      <c r="W413" s="11"/>
      <c r="X413" s="11"/>
      <c r="Y413" s="11"/>
      <c r="Z413" s="11"/>
      <c r="AA413" s="11"/>
      <c r="AB413" s="11"/>
    </row>
    <row r="414" spans="1:28" ht="14.25" customHeight="1">
      <c r="A414" s="38"/>
      <c r="B414" s="3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41"/>
      <c r="U414" s="11"/>
      <c r="V414" s="11"/>
      <c r="W414" s="11"/>
      <c r="X414" s="11"/>
      <c r="Y414" s="11"/>
      <c r="Z414" s="11"/>
      <c r="AA414" s="11"/>
      <c r="AB414" s="11"/>
    </row>
    <row r="415" spans="1:28" ht="14.25" customHeight="1">
      <c r="A415" s="38"/>
      <c r="B415" s="3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41"/>
      <c r="U415" s="11"/>
      <c r="V415" s="11"/>
      <c r="W415" s="11"/>
      <c r="X415" s="11"/>
      <c r="Y415" s="11"/>
      <c r="Z415" s="11"/>
      <c r="AA415" s="11"/>
      <c r="AB415" s="11"/>
    </row>
    <row r="416" spans="1:28" ht="14.25" customHeight="1">
      <c r="A416" s="38"/>
      <c r="B416" s="3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41"/>
      <c r="U416" s="11"/>
      <c r="V416" s="11"/>
      <c r="W416" s="11"/>
      <c r="X416" s="11"/>
      <c r="Y416" s="11"/>
      <c r="Z416" s="11"/>
      <c r="AA416" s="11"/>
      <c r="AB416" s="11"/>
    </row>
    <row r="417" spans="1:28" ht="14.25" customHeight="1">
      <c r="A417" s="38"/>
      <c r="B417" s="3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41"/>
      <c r="U417" s="11"/>
      <c r="V417" s="11"/>
      <c r="W417" s="11"/>
      <c r="X417" s="11"/>
      <c r="Y417" s="11"/>
      <c r="Z417" s="11"/>
      <c r="AA417" s="11"/>
      <c r="AB417" s="11"/>
    </row>
    <row r="418" spans="1:28" ht="14.25" customHeight="1">
      <c r="A418" s="38"/>
      <c r="B418" s="3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41"/>
      <c r="U418" s="11"/>
      <c r="V418" s="11"/>
      <c r="W418" s="11"/>
      <c r="X418" s="11"/>
      <c r="Y418" s="11"/>
      <c r="Z418" s="11"/>
      <c r="AA418" s="11"/>
      <c r="AB418" s="11"/>
    </row>
    <row r="419" spans="1:28" ht="14.25" customHeight="1">
      <c r="A419" s="38"/>
      <c r="B419" s="3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41"/>
      <c r="U419" s="11"/>
      <c r="V419" s="11"/>
      <c r="W419" s="11"/>
      <c r="X419" s="11"/>
      <c r="Y419" s="11"/>
      <c r="Z419" s="11"/>
      <c r="AA419" s="11"/>
      <c r="AB419" s="11"/>
    </row>
    <row r="420" spans="1:28" ht="14.25" customHeight="1">
      <c r="A420" s="38"/>
      <c r="B420" s="3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41"/>
      <c r="U420" s="11"/>
      <c r="V420" s="11"/>
      <c r="W420" s="11"/>
      <c r="X420" s="11"/>
      <c r="Y420" s="11"/>
      <c r="Z420" s="11"/>
      <c r="AA420" s="11"/>
      <c r="AB420" s="11"/>
    </row>
    <row r="421" spans="1:28" ht="14.25" customHeight="1">
      <c r="A421" s="38"/>
      <c r="B421" s="3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41"/>
      <c r="U421" s="11"/>
      <c r="V421" s="11"/>
      <c r="W421" s="11"/>
      <c r="X421" s="11"/>
      <c r="Y421" s="11"/>
      <c r="Z421" s="11"/>
      <c r="AA421" s="11"/>
      <c r="AB421" s="11"/>
    </row>
    <row r="422" spans="1:28" ht="14.25" customHeight="1">
      <c r="A422" s="38"/>
      <c r="B422" s="3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41"/>
      <c r="U422" s="11"/>
      <c r="V422" s="11"/>
      <c r="W422" s="11"/>
      <c r="X422" s="11"/>
      <c r="Y422" s="11"/>
      <c r="Z422" s="11"/>
      <c r="AA422" s="11"/>
      <c r="AB422" s="11"/>
    </row>
    <row r="423" spans="1:28" ht="14.25" customHeight="1">
      <c r="A423" s="38"/>
      <c r="B423" s="3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41"/>
      <c r="U423" s="11"/>
      <c r="V423" s="11"/>
      <c r="W423" s="11"/>
      <c r="X423" s="11"/>
      <c r="Y423" s="11"/>
      <c r="Z423" s="11"/>
      <c r="AA423" s="11"/>
      <c r="AB423" s="11"/>
    </row>
    <row r="424" spans="1:28" ht="14.25" customHeight="1">
      <c r="A424" s="38"/>
      <c r="B424" s="3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41"/>
      <c r="U424" s="11"/>
      <c r="V424" s="11"/>
      <c r="W424" s="11"/>
      <c r="X424" s="11"/>
      <c r="Y424" s="11"/>
      <c r="Z424" s="11"/>
      <c r="AA424" s="11"/>
      <c r="AB424" s="11"/>
    </row>
    <row r="425" spans="1:28" ht="14.25" customHeight="1">
      <c r="A425" s="38"/>
      <c r="B425" s="3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41"/>
      <c r="U425" s="11"/>
      <c r="V425" s="11"/>
      <c r="W425" s="11"/>
      <c r="X425" s="11"/>
      <c r="Y425" s="11"/>
      <c r="Z425" s="11"/>
      <c r="AA425" s="11"/>
      <c r="AB425" s="11"/>
    </row>
    <row r="426" spans="1:28" ht="14.25" customHeight="1">
      <c r="A426" s="38"/>
      <c r="B426" s="3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41"/>
      <c r="U426" s="11"/>
      <c r="V426" s="11"/>
      <c r="W426" s="11"/>
      <c r="X426" s="11"/>
      <c r="Y426" s="11"/>
      <c r="Z426" s="11"/>
      <c r="AA426" s="11"/>
      <c r="AB426" s="11"/>
    </row>
    <row r="427" spans="1:28" ht="14.25" customHeight="1">
      <c r="A427" s="38"/>
      <c r="B427" s="3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41"/>
      <c r="U427" s="11"/>
      <c r="V427" s="11"/>
      <c r="W427" s="11"/>
      <c r="X427" s="11"/>
      <c r="Y427" s="11"/>
      <c r="Z427" s="11"/>
      <c r="AA427" s="11"/>
      <c r="AB427" s="11"/>
    </row>
    <row r="428" spans="1:28" ht="14.25" customHeight="1">
      <c r="A428" s="38"/>
      <c r="B428" s="3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41"/>
      <c r="U428" s="11"/>
      <c r="V428" s="11"/>
      <c r="W428" s="11"/>
      <c r="X428" s="11"/>
      <c r="Y428" s="11"/>
      <c r="Z428" s="11"/>
      <c r="AA428" s="11"/>
      <c r="AB428" s="11"/>
    </row>
    <row r="429" spans="1:28" ht="14.25" customHeight="1">
      <c r="A429" s="38"/>
      <c r="B429" s="3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41"/>
      <c r="U429" s="11"/>
      <c r="V429" s="11"/>
      <c r="W429" s="11"/>
      <c r="X429" s="11"/>
      <c r="Y429" s="11"/>
      <c r="Z429" s="11"/>
      <c r="AA429" s="11"/>
      <c r="AB429" s="11"/>
    </row>
    <row r="430" spans="1:28" ht="14.25" customHeight="1">
      <c r="A430" s="38"/>
      <c r="B430" s="3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41"/>
      <c r="U430" s="11"/>
      <c r="V430" s="11"/>
      <c r="W430" s="11"/>
      <c r="X430" s="11"/>
      <c r="Y430" s="11"/>
      <c r="Z430" s="11"/>
      <c r="AA430" s="11"/>
      <c r="AB430" s="11"/>
    </row>
    <row r="431" spans="1:28" ht="14.25" customHeight="1">
      <c r="A431" s="38"/>
      <c r="B431" s="3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41"/>
      <c r="U431" s="11"/>
      <c r="V431" s="11"/>
      <c r="W431" s="11"/>
      <c r="X431" s="11"/>
      <c r="Y431" s="11"/>
      <c r="Z431" s="11"/>
      <c r="AA431" s="11"/>
      <c r="AB431" s="11"/>
    </row>
    <row r="432" spans="1:28" ht="14.25" customHeight="1">
      <c r="A432" s="38"/>
      <c r="B432" s="3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41"/>
      <c r="U432" s="11"/>
      <c r="V432" s="11"/>
      <c r="W432" s="11"/>
      <c r="X432" s="11"/>
      <c r="Y432" s="11"/>
      <c r="Z432" s="11"/>
      <c r="AA432" s="11"/>
      <c r="AB432" s="11"/>
    </row>
    <row r="433" spans="1:28" ht="14.25" customHeight="1">
      <c r="A433" s="38"/>
      <c r="B433" s="3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41"/>
      <c r="U433" s="11"/>
      <c r="V433" s="11"/>
      <c r="W433" s="11"/>
      <c r="X433" s="11"/>
      <c r="Y433" s="11"/>
      <c r="Z433" s="11"/>
      <c r="AA433" s="11"/>
      <c r="AB433" s="11"/>
    </row>
    <row r="434" spans="1:28" ht="14.25" customHeight="1">
      <c r="A434" s="38"/>
      <c r="B434" s="3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41"/>
      <c r="U434" s="11"/>
      <c r="V434" s="11"/>
      <c r="W434" s="11"/>
      <c r="X434" s="11"/>
      <c r="Y434" s="11"/>
      <c r="Z434" s="11"/>
      <c r="AA434" s="11"/>
      <c r="AB434" s="11"/>
    </row>
    <row r="435" spans="1:28" ht="14.25" customHeight="1">
      <c r="A435" s="38"/>
      <c r="B435" s="3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41"/>
      <c r="U435" s="11"/>
      <c r="V435" s="11"/>
      <c r="W435" s="11"/>
      <c r="X435" s="11"/>
      <c r="Y435" s="11"/>
      <c r="Z435" s="11"/>
      <c r="AA435" s="11"/>
      <c r="AB435" s="11"/>
    </row>
    <row r="436" spans="1:28" ht="14.25" customHeight="1">
      <c r="A436" s="38"/>
      <c r="B436" s="3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41"/>
      <c r="U436" s="11"/>
      <c r="V436" s="11"/>
      <c r="W436" s="11"/>
      <c r="X436" s="11"/>
      <c r="Y436" s="11"/>
      <c r="Z436" s="11"/>
      <c r="AA436" s="11"/>
      <c r="AB436" s="11"/>
    </row>
    <row r="437" spans="1:28" ht="14.25" customHeight="1">
      <c r="A437" s="38"/>
      <c r="B437" s="3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41"/>
      <c r="U437" s="11"/>
      <c r="V437" s="11"/>
      <c r="W437" s="11"/>
      <c r="X437" s="11"/>
      <c r="Y437" s="11"/>
      <c r="Z437" s="11"/>
      <c r="AA437" s="11"/>
      <c r="AB437" s="11"/>
    </row>
    <row r="438" spans="1:28" ht="14.25" customHeight="1">
      <c r="A438" s="38"/>
      <c r="B438" s="3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41"/>
      <c r="U438" s="11"/>
      <c r="V438" s="11"/>
      <c r="W438" s="11"/>
      <c r="X438" s="11"/>
      <c r="Y438" s="11"/>
      <c r="Z438" s="11"/>
      <c r="AA438" s="11"/>
      <c r="AB438" s="11"/>
    </row>
    <row r="439" spans="1:28" ht="14.25" customHeight="1">
      <c r="A439" s="38"/>
      <c r="B439" s="3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41"/>
      <c r="U439" s="11"/>
      <c r="V439" s="11"/>
      <c r="W439" s="11"/>
      <c r="X439" s="11"/>
      <c r="Y439" s="11"/>
      <c r="Z439" s="11"/>
      <c r="AA439" s="11"/>
      <c r="AB439" s="11"/>
    </row>
    <row r="440" spans="1:28" ht="14.25" customHeight="1">
      <c r="A440" s="38"/>
      <c r="B440" s="3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41"/>
      <c r="U440" s="11"/>
      <c r="V440" s="11"/>
      <c r="W440" s="11"/>
      <c r="X440" s="11"/>
      <c r="Y440" s="11"/>
      <c r="Z440" s="11"/>
      <c r="AA440" s="11"/>
      <c r="AB440" s="11"/>
    </row>
    <row r="441" spans="1:28" ht="14.25" customHeight="1">
      <c r="A441" s="38"/>
      <c r="B441" s="3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41"/>
      <c r="U441" s="11"/>
      <c r="V441" s="11"/>
      <c r="W441" s="11"/>
      <c r="X441" s="11"/>
      <c r="Y441" s="11"/>
      <c r="Z441" s="11"/>
      <c r="AA441" s="11"/>
      <c r="AB441" s="11"/>
    </row>
    <row r="442" spans="1:28" ht="14.25" customHeight="1">
      <c r="A442" s="38"/>
      <c r="B442" s="3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41"/>
      <c r="U442" s="11"/>
      <c r="V442" s="11"/>
      <c r="W442" s="11"/>
      <c r="X442" s="11"/>
      <c r="Y442" s="11"/>
      <c r="Z442" s="11"/>
      <c r="AA442" s="11"/>
      <c r="AB442" s="11"/>
    </row>
    <row r="443" spans="1:28" ht="14.25" customHeight="1">
      <c r="A443" s="38"/>
      <c r="B443" s="3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41"/>
      <c r="U443" s="11"/>
      <c r="V443" s="11"/>
      <c r="W443" s="11"/>
      <c r="X443" s="11"/>
      <c r="Y443" s="11"/>
      <c r="Z443" s="11"/>
      <c r="AA443" s="11"/>
      <c r="AB443" s="11"/>
    </row>
    <row r="444" spans="1:28" ht="14.25" customHeight="1">
      <c r="A444" s="38"/>
      <c r="B444" s="3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41"/>
      <c r="U444" s="11"/>
      <c r="V444" s="11"/>
      <c r="W444" s="11"/>
      <c r="X444" s="11"/>
      <c r="Y444" s="11"/>
      <c r="Z444" s="11"/>
      <c r="AA444" s="11"/>
      <c r="AB444" s="11"/>
    </row>
    <row r="445" spans="1:28" ht="14.25" customHeight="1">
      <c r="A445" s="38"/>
      <c r="B445" s="3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41"/>
      <c r="U445" s="11"/>
      <c r="V445" s="11"/>
      <c r="W445" s="11"/>
      <c r="X445" s="11"/>
      <c r="Y445" s="11"/>
      <c r="Z445" s="11"/>
      <c r="AA445" s="11"/>
      <c r="AB445" s="11"/>
    </row>
    <row r="446" spans="1:28" ht="14.25" customHeight="1">
      <c r="A446" s="38"/>
      <c r="B446" s="3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41"/>
      <c r="U446" s="11"/>
      <c r="V446" s="11"/>
      <c r="W446" s="11"/>
      <c r="X446" s="11"/>
      <c r="Y446" s="11"/>
      <c r="Z446" s="11"/>
      <c r="AA446" s="11"/>
      <c r="AB446" s="11"/>
    </row>
    <row r="447" spans="1:28" ht="14.25" customHeight="1">
      <c r="A447" s="38"/>
      <c r="B447" s="3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41"/>
      <c r="U447" s="11"/>
      <c r="V447" s="11"/>
      <c r="W447" s="11"/>
      <c r="X447" s="11"/>
      <c r="Y447" s="11"/>
      <c r="Z447" s="11"/>
      <c r="AA447" s="11"/>
      <c r="AB447" s="11"/>
    </row>
    <row r="448" spans="1:28" ht="14.25" customHeight="1">
      <c r="A448" s="38"/>
      <c r="B448" s="3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41"/>
      <c r="U448" s="11"/>
      <c r="V448" s="11"/>
      <c r="W448" s="11"/>
      <c r="X448" s="11"/>
      <c r="Y448" s="11"/>
      <c r="Z448" s="11"/>
      <c r="AA448" s="11"/>
      <c r="AB448" s="11"/>
    </row>
    <row r="449" spans="1:28" ht="14.25" customHeight="1">
      <c r="A449" s="38"/>
      <c r="B449" s="3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41"/>
      <c r="U449" s="11"/>
      <c r="V449" s="11"/>
      <c r="W449" s="11"/>
      <c r="X449" s="11"/>
      <c r="Y449" s="11"/>
      <c r="Z449" s="11"/>
      <c r="AA449" s="11"/>
      <c r="AB449" s="11"/>
    </row>
    <row r="450" spans="1:28" ht="14.25" customHeight="1">
      <c r="A450" s="38"/>
      <c r="B450" s="3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41"/>
      <c r="U450" s="11"/>
      <c r="V450" s="11"/>
      <c r="W450" s="11"/>
      <c r="X450" s="11"/>
      <c r="Y450" s="11"/>
      <c r="Z450" s="11"/>
      <c r="AA450" s="11"/>
      <c r="AB450" s="11"/>
    </row>
    <row r="451" spans="1:28" ht="14.25" customHeight="1">
      <c r="A451" s="38"/>
      <c r="B451" s="3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41"/>
      <c r="U451" s="11"/>
      <c r="V451" s="11"/>
      <c r="W451" s="11"/>
      <c r="X451" s="11"/>
      <c r="Y451" s="11"/>
      <c r="Z451" s="11"/>
      <c r="AA451" s="11"/>
      <c r="AB451" s="11"/>
    </row>
    <row r="452" spans="1:28" ht="14.25" customHeight="1">
      <c r="A452" s="38"/>
      <c r="B452" s="3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41"/>
      <c r="U452" s="11"/>
      <c r="V452" s="11"/>
      <c r="W452" s="11"/>
      <c r="X452" s="11"/>
      <c r="Y452" s="11"/>
      <c r="Z452" s="11"/>
      <c r="AA452" s="11"/>
      <c r="AB452" s="11"/>
    </row>
    <row r="453" spans="1:28" ht="14.25" customHeight="1">
      <c r="A453" s="38"/>
      <c r="B453" s="3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41"/>
      <c r="U453" s="11"/>
      <c r="V453" s="11"/>
      <c r="W453" s="11"/>
      <c r="X453" s="11"/>
      <c r="Y453" s="11"/>
      <c r="Z453" s="11"/>
      <c r="AA453" s="11"/>
      <c r="AB453" s="11"/>
    </row>
    <row r="454" spans="1:28" ht="14.25" customHeight="1">
      <c r="A454" s="38"/>
      <c r="B454" s="3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41"/>
      <c r="U454" s="11"/>
      <c r="V454" s="11"/>
      <c r="W454" s="11"/>
      <c r="X454" s="11"/>
      <c r="Y454" s="11"/>
      <c r="Z454" s="11"/>
      <c r="AA454" s="11"/>
      <c r="AB454" s="11"/>
    </row>
    <row r="455" spans="1:28" ht="14.25" customHeight="1">
      <c r="A455" s="38"/>
      <c r="B455" s="3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41"/>
      <c r="U455" s="11"/>
      <c r="V455" s="11"/>
      <c r="W455" s="11"/>
      <c r="X455" s="11"/>
      <c r="Y455" s="11"/>
      <c r="Z455" s="11"/>
      <c r="AA455" s="11"/>
      <c r="AB455" s="11"/>
    </row>
    <row r="456" spans="1:28" ht="14.25" customHeight="1">
      <c r="A456" s="38"/>
      <c r="B456" s="3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41"/>
      <c r="U456" s="11"/>
      <c r="V456" s="11"/>
      <c r="W456" s="11"/>
      <c r="X456" s="11"/>
      <c r="Y456" s="11"/>
      <c r="Z456" s="11"/>
      <c r="AA456" s="11"/>
      <c r="AB456" s="11"/>
    </row>
    <row r="457" spans="1:28" ht="14.25" customHeight="1">
      <c r="A457" s="38"/>
      <c r="B457" s="3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41"/>
      <c r="U457" s="11"/>
      <c r="V457" s="11"/>
      <c r="W457" s="11"/>
      <c r="X457" s="11"/>
      <c r="Y457" s="11"/>
      <c r="Z457" s="11"/>
      <c r="AA457" s="11"/>
      <c r="AB457" s="11"/>
    </row>
    <row r="458" spans="1:28" ht="14.25" customHeight="1">
      <c r="A458" s="38"/>
      <c r="B458" s="3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41"/>
      <c r="U458" s="11"/>
      <c r="V458" s="11"/>
      <c r="W458" s="11"/>
      <c r="X458" s="11"/>
      <c r="Y458" s="11"/>
      <c r="Z458" s="11"/>
      <c r="AA458" s="11"/>
      <c r="AB458" s="11"/>
    </row>
    <row r="459" spans="1:28" ht="14.25" customHeight="1">
      <c r="A459" s="38"/>
      <c r="B459" s="3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41"/>
      <c r="U459" s="11"/>
      <c r="V459" s="11"/>
      <c r="W459" s="11"/>
      <c r="X459" s="11"/>
      <c r="Y459" s="11"/>
      <c r="Z459" s="11"/>
      <c r="AA459" s="11"/>
      <c r="AB459" s="11"/>
    </row>
    <row r="460" spans="1:28" ht="14.25" customHeight="1">
      <c r="A460" s="38"/>
      <c r="B460" s="3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41"/>
      <c r="U460" s="11"/>
      <c r="V460" s="11"/>
      <c r="W460" s="11"/>
      <c r="X460" s="11"/>
      <c r="Y460" s="11"/>
      <c r="Z460" s="11"/>
      <c r="AA460" s="11"/>
      <c r="AB460" s="11"/>
    </row>
    <row r="461" spans="1:28" ht="14.25" customHeight="1">
      <c r="A461" s="38"/>
      <c r="B461" s="3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41"/>
      <c r="U461" s="11"/>
      <c r="V461" s="11"/>
      <c r="W461" s="11"/>
      <c r="X461" s="11"/>
      <c r="Y461" s="11"/>
      <c r="Z461" s="11"/>
      <c r="AA461" s="11"/>
      <c r="AB461" s="11"/>
    </row>
    <row r="462" spans="1:28" ht="14.25" customHeight="1">
      <c r="A462" s="38"/>
      <c r="B462" s="3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41"/>
      <c r="U462" s="11"/>
      <c r="V462" s="11"/>
      <c r="W462" s="11"/>
      <c r="X462" s="11"/>
      <c r="Y462" s="11"/>
      <c r="Z462" s="11"/>
      <c r="AA462" s="11"/>
      <c r="AB462" s="11"/>
    </row>
    <row r="463" spans="1:28" ht="14.25" customHeight="1">
      <c r="A463" s="38"/>
      <c r="B463" s="3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41"/>
      <c r="U463" s="11"/>
      <c r="V463" s="11"/>
      <c r="W463" s="11"/>
      <c r="X463" s="11"/>
      <c r="Y463" s="11"/>
      <c r="Z463" s="11"/>
      <c r="AA463" s="11"/>
      <c r="AB463" s="11"/>
    </row>
    <row r="464" spans="1:28" ht="14.25" customHeight="1">
      <c r="A464" s="38"/>
      <c r="B464" s="3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41"/>
      <c r="U464" s="11"/>
      <c r="V464" s="11"/>
      <c r="W464" s="11"/>
      <c r="X464" s="11"/>
      <c r="Y464" s="11"/>
      <c r="Z464" s="11"/>
      <c r="AA464" s="11"/>
      <c r="AB464" s="11"/>
    </row>
    <row r="465" spans="1:28" ht="14.25" customHeight="1">
      <c r="A465" s="38"/>
      <c r="B465" s="3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41"/>
      <c r="U465" s="11"/>
      <c r="V465" s="11"/>
      <c r="W465" s="11"/>
      <c r="X465" s="11"/>
      <c r="Y465" s="11"/>
      <c r="Z465" s="11"/>
      <c r="AA465" s="11"/>
      <c r="AB465" s="11"/>
    </row>
    <row r="466" spans="1:28" ht="14.25" customHeight="1">
      <c r="A466" s="38"/>
      <c r="B466" s="3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41"/>
      <c r="U466" s="11"/>
      <c r="V466" s="11"/>
      <c r="W466" s="11"/>
      <c r="X466" s="11"/>
      <c r="Y466" s="11"/>
      <c r="Z466" s="11"/>
      <c r="AA466" s="11"/>
      <c r="AB466" s="11"/>
    </row>
    <row r="467" spans="1:28" ht="14.25" customHeight="1">
      <c r="A467" s="38"/>
      <c r="B467" s="3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41"/>
      <c r="U467" s="11"/>
      <c r="V467" s="11"/>
      <c r="W467" s="11"/>
      <c r="X467" s="11"/>
      <c r="Y467" s="11"/>
      <c r="Z467" s="11"/>
      <c r="AA467" s="11"/>
      <c r="AB467" s="11"/>
    </row>
    <row r="468" spans="1:28" ht="14.25" customHeight="1">
      <c r="A468" s="38"/>
      <c r="B468" s="3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41"/>
      <c r="U468" s="11"/>
      <c r="V468" s="11"/>
      <c r="W468" s="11"/>
      <c r="X468" s="11"/>
      <c r="Y468" s="11"/>
      <c r="Z468" s="11"/>
      <c r="AA468" s="11"/>
      <c r="AB468" s="11"/>
    </row>
    <row r="469" spans="1:28" ht="14.25" customHeight="1">
      <c r="A469" s="38"/>
      <c r="B469" s="3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41"/>
      <c r="U469" s="11"/>
      <c r="V469" s="11"/>
      <c r="W469" s="11"/>
      <c r="X469" s="11"/>
      <c r="Y469" s="11"/>
      <c r="Z469" s="11"/>
      <c r="AA469" s="11"/>
      <c r="AB469" s="11"/>
    </row>
    <row r="470" spans="1:28" ht="14.25" customHeight="1">
      <c r="A470" s="38"/>
      <c r="B470" s="3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41"/>
      <c r="U470" s="11"/>
      <c r="V470" s="11"/>
      <c r="W470" s="11"/>
      <c r="X470" s="11"/>
      <c r="Y470" s="11"/>
      <c r="Z470" s="11"/>
      <c r="AA470" s="11"/>
      <c r="AB470" s="11"/>
    </row>
    <row r="471" spans="1:28" ht="14.25" customHeight="1">
      <c r="A471" s="38"/>
      <c r="B471" s="3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41"/>
      <c r="U471" s="11"/>
      <c r="V471" s="11"/>
      <c r="W471" s="11"/>
      <c r="X471" s="11"/>
      <c r="Y471" s="11"/>
      <c r="Z471" s="11"/>
      <c r="AA471" s="11"/>
      <c r="AB471" s="11"/>
    </row>
    <row r="472" spans="1:28" ht="14.25" customHeight="1">
      <c r="A472" s="38"/>
      <c r="B472" s="3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41"/>
      <c r="U472" s="11"/>
      <c r="V472" s="11"/>
      <c r="W472" s="11"/>
      <c r="X472" s="11"/>
      <c r="Y472" s="11"/>
      <c r="Z472" s="11"/>
      <c r="AA472" s="11"/>
      <c r="AB472" s="11"/>
    </row>
    <row r="473" spans="1:28" ht="14.25" customHeight="1">
      <c r="A473" s="38"/>
      <c r="B473" s="3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41"/>
      <c r="U473" s="11"/>
      <c r="V473" s="11"/>
      <c r="W473" s="11"/>
      <c r="X473" s="11"/>
      <c r="Y473" s="11"/>
      <c r="Z473" s="11"/>
      <c r="AA473" s="11"/>
      <c r="AB473" s="11"/>
    </row>
    <row r="474" spans="1:28" ht="14.25" customHeight="1">
      <c r="A474" s="38"/>
      <c r="B474" s="3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41"/>
      <c r="U474" s="11"/>
      <c r="V474" s="11"/>
      <c r="W474" s="11"/>
      <c r="X474" s="11"/>
      <c r="Y474" s="11"/>
      <c r="Z474" s="11"/>
      <c r="AA474" s="11"/>
      <c r="AB474" s="11"/>
    </row>
    <row r="475" spans="1:28" ht="14.25" customHeight="1">
      <c r="A475" s="38"/>
      <c r="B475" s="3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41"/>
      <c r="U475" s="11"/>
      <c r="V475" s="11"/>
      <c r="W475" s="11"/>
      <c r="X475" s="11"/>
      <c r="Y475" s="11"/>
      <c r="Z475" s="11"/>
      <c r="AA475" s="11"/>
      <c r="AB475" s="11"/>
    </row>
    <row r="476" spans="1:28" ht="14.25" customHeight="1">
      <c r="A476" s="38"/>
      <c r="B476" s="3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41"/>
      <c r="U476" s="11"/>
      <c r="V476" s="11"/>
      <c r="W476" s="11"/>
      <c r="X476" s="11"/>
      <c r="Y476" s="11"/>
      <c r="Z476" s="11"/>
      <c r="AA476" s="11"/>
      <c r="AB476" s="11"/>
    </row>
    <row r="477" spans="1:28" ht="14.25" customHeight="1">
      <c r="A477" s="38"/>
      <c r="B477" s="3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41"/>
      <c r="U477" s="11"/>
      <c r="V477" s="11"/>
      <c r="W477" s="11"/>
      <c r="X477" s="11"/>
      <c r="Y477" s="11"/>
      <c r="Z477" s="11"/>
      <c r="AA477" s="11"/>
      <c r="AB477" s="11"/>
    </row>
    <row r="478" spans="1:28" ht="14.25" customHeight="1">
      <c r="A478" s="38"/>
      <c r="B478" s="3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41"/>
      <c r="U478" s="11"/>
      <c r="V478" s="11"/>
      <c r="W478" s="11"/>
      <c r="X478" s="11"/>
      <c r="Y478" s="11"/>
      <c r="Z478" s="11"/>
      <c r="AA478" s="11"/>
      <c r="AB478" s="11"/>
    </row>
    <row r="479" spans="1:28" ht="14.25" customHeight="1">
      <c r="A479" s="38"/>
      <c r="B479" s="3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41"/>
      <c r="U479" s="11"/>
      <c r="V479" s="11"/>
      <c r="W479" s="11"/>
      <c r="X479" s="11"/>
      <c r="Y479" s="11"/>
      <c r="Z479" s="11"/>
      <c r="AA479" s="11"/>
      <c r="AB479" s="11"/>
    </row>
    <row r="480" spans="1:28" ht="14.25" customHeight="1">
      <c r="A480" s="38"/>
      <c r="B480" s="3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41"/>
      <c r="U480" s="11"/>
      <c r="V480" s="11"/>
      <c r="W480" s="11"/>
      <c r="X480" s="11"/>
      <c r="Y480" s="11"/>
      <c r="Z480" s="11"/>
      <c r="AA480" s="11"/>
      <c r="AB480" s="11"/>
    </row>
    <row r="481" spans="1:28" ht="14.25" customHeight="1">
      <c r="A481" s="38"/>
      <c r="B481" s="3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41"/>
      <c r="U481" s="11"/>
      <c r="V481" s="11"/>
      <c r="W481" s="11"/>
      <c r="X481" s="11"/>
      <c r="Y481" s="11"/>
      <c r="Z481" s="11"/>
      <c r="AA481" s="11"/>
      <c r="AB481" s="11"/>
    </row>
    <row r="482" spans="1:28" ht="14.25" customHeight="1">
      <c r="A482" s="38"/>
      <c r="B482" s="3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41"/>
      <c r="U482" s="11"/>
      <c r="V482" s="11"/>
      <c r="W482" s="11"/>
      <c r="X482" s="11"/>
      <c r="Y482" s="11"/>
      <c r="Z482" s="11"/>
      <c r="AA482" s="11"/>
      <c r="AB482" s="11"/>
    </row>
    <row r="483" spans="1:28" ht="14.25" customHeight="1">
      <c r="A483" s="38"/>
      <c r="B483" s="3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41"/>
      <c r="U483" s="11"/>
      <c r="V483" s="11"/>
      <c r="W483" s="11"/>
      <c r="X483" s="11"/>
      <c r="Y483" s="11"/>
      <c r="Z483" s="11"/>
      <c r="AA483" s="11"/>
      <c r="AB483" s="11"/>
    </row>
    <row r="484" spans="1:28" ht="14.25" customHeight="1">
      <c r="A484" s="38"/>
      <c r="B484" s="3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41"/>
      <c r="U484" s="11"/>
      <c r="V484" s="11"/>
      <c r="W484" s="11"/>
      <c r="X484" s="11"/>
      <c r="Y484" s="11"/>
      <c r="Z484" s="11"/>
      <c r="AA484" s="11"/>
      <c r="AB484" s="11"/>
    </row>
    <row r="485" spans="1:28" ht="14.25" customHeight="1">
      <c r="A485" s="38"/>
      <c r="B485" s="3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41"/>
      <c r="U485" s="11"/>
      <c r="V485" s="11"/>
      <c r="W485" s="11"/>
      <c r="X485" s="11"/>
      <c r="Y485" s="11"/>
      <c r="Z485" s="11"/>
      <c r="AA485" s="11"/>
      <c r="AB485" s="11"/>
    </row>
    <row r="486" spans="1:28" ht="14.25" customHeight="1">
      <c r="A486" s="38"/>
      <c r="B486" s="3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41"/>
      <c r="U486" s="11"/>
      <c r="V486" s="11"/>
      <c r="W486" s="11"/>
      <c r="X486" s="11"/>
      <c r="Y486" s="11"/>
      <c r="Z486" s="11"/>
      <c r="AA486" s="11"/>
      <c r="AB486" s="11"/>
    </row>
    <row r="487" spans="1:28" ht="14.25" customHeight="1">
      <c r="A487" s="38"/>
      <c r="B487" s="3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41"/>
      <c r="U487" s="11"/>
      <c r="V487" s="11"/>
      <c r="W487" s="11"/>
      <c r="X487" s="11"/>
      <c r="Y487" s="11"/>
      <c r="Z487" s="11"/>
      <c r="AA487" s="11"/>
      <c r="AB487" s="11"/>
    </row>
    <row r="488" spans="1:28" ht="14.25" customHeight="1">
      <c r="A488" s="38"/>
      <c r="B488" s="3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41"/>
      <c r="U488" s="11"/>
      <c r="V488" s="11"/>
      <c r="W488" s="11"/>
      <c r="X488" s="11"/>
      <c r="Y488" s="11"/>
      <c r="Z488" s="11"/>
      <c r="AA488" s="11"/>
      <c r="AB488" s="11"/>
    </row>
    <row r="489" spans="1:28" ht="14.25" customHeight="1">
      <c r="A489" s="38"/>
      <c r="B489" s="3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41"/>
      <c r="U489" s="11"/>
      <c r="V489" s="11"/>
      <c r="W489" s="11"/>
      <c r="X489" s="11"/>
      <c r="Y489" s="11"/>
      <c r="Z489" s="11"/>
      <c r="AA489" s="11"/>
      <c r="AB489" s="11"/>
    </row>
    <row r="490" spans="1:28" ht="14.25" customHeight="1">
      <c r="A490" s="38"/>
      <c r="B490" s="3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41"/>
      <c r="U490" s="11"/>
      <c r="V490" s="11"/>
      <c r="W490" s="11"/>
      <c r="X490" s="11"/>
      <c r="Y490" s="11"/>
      <c r="Z490" s="11"/>
      <c r="AA490" s="11"/>
      <c r="AB490" s="11"/>
    </row>
    <row r="491" spans="1:28" ht="14.25" customHeight="1">
      <c r="A491" s="38"/>
      <c r="B491" s="3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41"/>
      <c r="U491" s="11"/>
      <c r="V491" s="11"/>
      <c r="W491" s="11"/>
      <c r="X491" s="11"/>
      <c r="Y491" s="11"/>
      <c r="Z491" s="11"/>
      <c r="AA491" s="11"/>
      <c r="AB491" s="11"/>
    </row>
    <row r="492" spans="1:28" ht="14.25" customHeight="1">
      <c r="A492" s="38"/>
      <c r="B492" s="3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41"/>
      <c r="U492" s="11"/>
      <c r="V492" s="11"/>
      <c r="W492" s="11"/>
      <c r="X492" s="11"/>
      <c r="Y492" s="11"/>
      <c r="Z492" s="11"/>
      <c r="AA492" s="11"/>
      <c r="AB492" s="11"/>
    </row>
    <row r="493" spans="1:28" ht="14.25" customHeight="1">
      <c r="A493" s="38"/>
      <c r="B493" s="3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41"/>
      <c r="U493" s="11"/>
      <c r="V493" s="11"/>
      <c r="W493" s="11"/>
      <c r="X493" s="11"/>
      <c r="Y493" s="11"/>
      <c r="Z493" s="11"/>
      <c r="AA493" s="11"/>
      <c r="AB493" s="11"/>
    </row>
    <row r="494" spans="1:28" ht="14.25" customHeight="1">
      <c r="A494" s="38"/>
      <c r="B494" s="3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41"/>
      <c r="U494" s="11"/>
      <c r="V494" s="11"/>
      <c r="W494" s="11"/>
      <c r="X494" s="11"/>
      <c r="Y494" s="11"/>
      <c r="Z494" s="11"/>
      <c r="AA494" s="11"/>
      <c r="AB494" s="11"/>
    </row>
    <row r="495" spans="1:28" ht="14.25" customHeight="1">
      <c r="A495" s="38"/>
      <c r="B495" s="3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41"/>
      <c r="U495" s="11"/>
      <c r="V495" s="11"/>
      <c r="W495" s="11"/>
      <c r="X495" s="11"/>
      <c r="Y495" s="11"/>
      <c r="Z495" s="11"/>
      <c r="AA495" s="11"/>
      <c r="AB495" s="11"/>
    </row>
    <row r="496" spans="1:28" ht="14.25" customHeight="1">
      <c r="A496" s="38"/>
      <c r="B496" s="3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41"/>
      <c r="U496" s="11"/>
      <c r="V496" s="11"/>
      <c r="W496" s="11"/>
      <c r="X496" s="11"/>
      <c r="Y496" s="11"/>
      <c r="Z496" s="11"/>
      <c r="AA496" s="11"/>
      <c r="AB496" s="11"/>
    </row>
    <row r="497" spans="1:28" ht="14.25" customHeight="1">
      <c r="A497" s="38"/>
      <c r="B497" s="3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41"/>
      <c r="U497" s="11"/>
      <c r="V497" s="11"/>
      <c r="W497" s="11"/>
      <c r="X497" s="11"/>
      <c r="Y497" s="11"/>
      <c r="Z497" s="11"/>
      <c r="AA497" s="11"/>
      <c r="AB497" s="11"/>
    </row>
    <row r="498" spans="1:28" ht="14.25" customHeight="1">
      <c r="A498" s="38"/>
      <c r="B498" s="3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41"/>
      <c r="U498" s="11"/>
      <c r="V498" s="11"/>
      <c r="W498" s="11"/>
      <c r="X498" s="11"/>
      <c r="Y498" s="11"/>
      <c r="Z498" s="11"/>
      <c r="AA498" s="11"/>
      <c r="AB498" s="11"/>
    </row>
    <row r="499" spans="1:28" ht="14.25" customHeight="1">
      <c r="A499" s="38"/>
      <c r="B499" s="3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41"/>
      <c r="U499" s="11"/>
      <c r="V499" s="11"/>
      <c r="W499" s="11"/>
      <c r="X499" s="11"/>
      <c r="Y499" s="11"/>
      <c r="Z499" s="11"/>
      <c r="AA499" s="11"/>
      <c r="AB499" s="11"/>
    </row>
    <row r="500" spans="1:28" ht="14.25" customHeight="1">
      <c r="A500" s="38"/>
      <c r="B500" s="3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41"/>
      <c r="U500" s="11"/>
      <c r="V500" s="11"/>
      <c r="W500" s="11"/>
      <c r="X500" s="11"/>
      <c r="Y500" s="11"/>
      <c r="Z500" s="11"/>
      <c r="AA500" s="11"/>
      <c r="AB500" s="11"/>
    </row>
    <row r="501" spans="1:28" ht="14.25" customHeight="1">
      <c r="A501" s="38"/>
      <c r="B501" s="3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41"/>
      <c r="U501" s="11"/>
      <c r="V501" s="11"/>
      <c r="W501" s="11"/>
      <c r="X501" s="11"/>
      <c r="Y501" s="11"/>
      <c r="Z501" s="11"/>
      <c r="AA501" s="11"/>
      <c r="AB501" s="11"/>
    </row>
    <row r="502" spans="1:28" ht="14.25" customHeight="1">
      <c r="A502" s="38"/>
      <c r="B502" s="3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41"/>
      <c r="U502" s="11"/>
      <c r="V502" s="11"/>
      <c r="W502" s="11"/>
      <c r="X502" s="11"/>
      <c r="Y502" s="11"/>
      <c r="Z502" s="11"/>
      <c r="AA502" s="11"/>
      <c r="AB502" s="11"/>
    </row>
    <row r="503" spans="1:28" ht="14.25" customHeight="1">
      <c r="A503" s="38"/>
      <c r="B503" s="3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41"/>
      <c r="U503" s="11"/>
      <c r="V503" s="11"/>
      <c r="W503" s="11"/>
      <c r="X503" s="11"/>
      <c r="Y503" s="11"/>
      <c r="Z503" s="11"/>
      <c r="AA503" s="11"/>
      <c r="AB503" s="11"/>
    </row>
    <row r="504" spans="1:28" ht="14.25" customHeight="1">
      <c r="A504" s="38"/>
      <c r="B504" s="3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41"/>
      <c r="U504" s="11"/>
      <c r="V504" s="11"/>
      <c r="W504" s="11"/>
      <c r="X504" s="11"/>
      <c r="Y504" s="11"/>
      <c r="Z504" s="11"/>
      <c r="AA504" s="11"/>
      <c r="AB504" s="11"/>
    </row>
    <row r="505" spans="1:28" ht="14.25" customHeight="1">
      <c r="A505" s="38"/>
      <c r="B505" s="3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41"/>
      <c r="U505" s="11"/>
      <c r="V505" s="11"/>
      <c r="W505" s="11"/>
      <c r="X505" s="11"/>
      <c r="Y505" s="11"/>
      <c r="Z505" s="11"/>
      <c r="AA505" s="11"/>
      <c r="AB505" s="11"/>
    </row>
    <row r="506" spans="1:28" ht="14.25" customHeight="1">
      <c r="A506" s="38"/>
      <c r="B506" s="3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41"/>
      <c r="U506" s="11"/>
      <c r="V506" s="11"/>
      <c r="W506" s="11"/>
      <c r="X506" s="11"/>
      <c r="Y506" s="11"/>
      <c r="Z506" s="11"/>
      <c r="AA506" s="11"/>
      <c r="AB506" s="11"/>
    </row>
    <row r="507" spans="1:28" ht="14.25" customHeight="1">
      <c r="A507" s="38"/>
      <c r="B507" s="3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41"/>
      <c r="U507" s="11"/>
      <c r="V507" s="11"/>
      <c r="W507" s="11"/>
      <c r="X507" s="11"/>
      <c r="Y507" s="11"/>
      <c r="Z507" s="11"/>
      <c r="AA507" s="11"/>
      <c r="AB507" s="11"/>
    </row>
    <row r="508" spans="1:28" ht="14.25" customHeight="1">
      <c r="A508" s="38"/>
      <c r="B508" s="3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41"/>
      <c r="U508" s="11"/>
      <c r="V508" s="11"/>
      <c r="W508" s="11"/>
      <c r="X508" s="11"/>
      <c r="Y508" s="11"/>
      <c r="Z508" s="11"/>
      <c r="AA508" s="11"/>
      <c r="AB508" s="11"/>
    </row>
    <row r="509" spans="1:28" ht="14.25" customHeight="1">
      <c r="A509" s="38"/>
      <c r="B509" s="3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41"/>
      <c r="U509" s="11"/>
      <c r="V509" s="11"/>
      <c r="W509" s="11"/>
      <c r="X509" s="11"/>
      <c r="Y509" s="11"/>
      <c r="Z509" s="11"/>
      <c r="AA509" s="11"/>
      <c r="AB509" s="11"/>
    </row>
    <row r="510" spans="1:28" ht="14.25" customHeight="1">
      <c r="A510" s="38"/>
      <c r="B510" s="3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41"/>
      <c r="U510" s="11"/>
      <c r="V510" s="11"/>
      <c r="W510" s="11"/>
      <c r="X510" s="11"/>
      <c r="Y510" s="11"/>
      <c r="Z510" s="11"/>
      <c r="AA510" s="11"/>
      <c r="AB510" s="11"/>
    </row>
    <row r="511" spans="1:28" ht="14.25" customHeight="1">
      <c r="A511" s="38"/>
      <c r="B511" s="3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41"/>
      <c r="U511" s="11"/>
      <c r="V511" s="11"/>
      <c r="W511" s="11"/>
      <c r="X511" s="11"/>
      <c r="Y511" s="11"/>
      <c r="Z511" s="11"/>
      <c r="AA511" s="11"/>
      <c r="AB511" s="11"/>
    </row>
    <row r="512" spans="1:28" ht="14.25" customHeight="1">
      <c r="A512" s="38"/>
      <c r="B512" s="3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41"/>
      <c r="U512" s="11"/>
      <c r="V512" s="11"/>
      <c r="W512" s="11"/>
      <c r="X512" s="11"/>
      <c r="Y512" s="11"/>
      <c r="Z512" s="11"/>
      <c r="AA512" s="11"/>
      <c r="AB512" s="11"/>
    </row>
    <row r="513" spans="1:28" ht="14.25" customHeight="1">
      <c r="A513" s="38"/>
      <c r="B513" s="3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41"/>
      <c r="U513" s="11"/>
      <c r="V513" s="11"/>
      <c r="W513" s="11"/>
      <c r="X513" s="11"/>
      <c r="Y513" s="11"/>
      <c r="Z513" s="11"/>
      <c r="AA513" s="11"/>
      <c r="AB513" s="11"/>
    </row>
    <row r="514" spans="1:28" ht="14.25" customHeight="1">
      <c r="A514" s="38"/>
      <c r="B514" s="3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41"/>
      <c r="U514" s="11"/>
      <c r="V514" s="11"/>
      <c r="W514" s="11"/>
      <c r="X514" s="11"/>
      <c r="Y514" s="11"/>
      <c r="Z514" s="11"/>
      <c r="AA514" s="11"/>
      <c r="AB514" s="11"/>
    </row>
    <row r="515" spans="1:28" ht="14.25" customHeight="1">
      <c r="A515" s="38"/>
      <c r="B515" s="3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41"/>
      <c r="U515" s="11"/>
      <c r="V515" s="11"/>
      <c r="W515" s="11"/>
      <c r="X515" s="11"/>
      <c r="Y515" s="11"/>
      <c r="Z515" s="11"/>
      <c r="AA515" s="11"/>
      <c r="AB515" s="11"/>
    </row>
    <row r="516" spans="1:28" ht="14.25" customHeight="1">
      <c r="A516" s="38"/>
      <c r="B516" s="3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41"/>
      <c r="U516" s="11"/>
      <c r="V516" s="11"/>
      <c r="W516" s="11"/>
      <c r="X516" s="11"/>
      <c r="Y516" s="11"/>
      <c r="Z516" s="11"/>
      <c r="AA516" s="11"/>
      <c r="AB516" s="11"/>
    </row>
    <row r="517" spans="1:28" ht="14.25" customHeight="1">
      <c r="A517" s="38"/>
      <c r="B517" s="3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41"/>
      <c r="U517" s="11"/>
      <c r="V517" s="11"/>
      <c r="W517" s="11"/>
      <c r="X517" s="11"/>
      <c r="Y517" s="11"/>
      <c r="Z517" s="11"/>
      <c r="AA517" s="11"/>
      <c r="AB517" s="11"/>
    </row>
    <row r="518" spans="1:28" ht="14.25" customHeight="1">
      <c r="A518" s="38"/>
      <c r="B518" s="3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41"/>
      <c r="U518" s="11"/>
      <c r="V518" s="11"/>
      <c r="W518" s="11"/>
      <c r="X518" s="11"/>
      <c r="Y518" s="11"/>
      <c r="Z518" s="11"/>
      <c r="AA518" s="11"/>
      <c r="AB518" s="11"/>
    </row>
    <row r="519" spans="1:28" ht="14.25" customHeight="1">
      <c r="A519" s="38"/>
      <c r="B519" s="3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41"/>
      <c r="U519" s="11"/>
      <c r="V519" s="11"/>
      <c r="W519" s="11"/>
      <c r="X519" s="11"/>
      <c r="Y519" s="11"/>
      <c r="Z519" s="11"/>
      <c r="AA519" s="11"/>
      <c r="AB519" s="11"/>
    </row>
    <row r="520" spans="1:28" ht="14.25" customHeight="1">
      <c r="A520" s="38"/>
      <c r="B520" s="3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41"/>
      <c r="U520" s="11"/>
      <c r="V520" s="11"/>
      <c r="W520" s="11"/>
      <c r="X520" s="11"/>
      <c r="Y520" s="11"/>
      <c r="Z520" s="11"/>
      <c r="AA520" s="11"/>
      <c r="AB520" s="11"/>
    </row>
    <row r="521" spans="1:28" ht="14.25" customHeight="1">
      <c r="A521" s="38"/>
      <c r="B521" s="3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41"/>
      <c r="U521" s="11"/>
      <c r="V521" s="11"/>
      <c r="W521" s="11"/>
      <c r="X521" s="11"/>
      <c r="Y521" s="11"/>
      <c r="Z521" s="11"/>
      <c r="AA521" s="11"/>
      <c r="AB521" s="11"/>
    </row>
    <row r="522" spans="1:28" ht="14.25" customHeight="1">
      <c r="A522" s="38"/>
      <c r="B522" s="3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41"/>
      <c r="U522" s="11"/>
      <c r="V522" s="11"/>
      <c r="W522" s="11"/>
      <c r="X522" s="11"/>
      <c r="Y522" s="11"/>
      <c r="Z522" s="11"/>
      <c r="AA522" s="11"/>
      <c r="AB522" s="11"/>
    </row>
    <row r="523" spans="1:28" ht="14.25" customHeight="1">
      <c r="A523" s="38"/>
      <c r="B523" s="3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41"/>
      <c r="U523" s="11"/>
      <c r="V523" s="11"/>
      <c r="W523" s="11"/>
      <c r="X523" s="11"/>
      <c r="Y523" s="11"/>
      <c r="Z523" s="11"/>
      <c r="AA523" s="11"/>
      <c r="AB523" s="11"/>
    </row>
    <row r="524" spans="1:28" ht="14.25" customHeight="1">
      <c r="A524" s="38"/>
      <c r="B524" s="3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41"/>
      <c r="U524" s="11"/>
      <c r="V524" s="11"/>
      <c r="W524" s="11"/>
      <c r="X524" s="11"/>
      <c r="Y524" s="11"/>
      <c r="Z524" s="11"/>
      <c r="AA524" s="11"/>
      <c r="AB524" s="11"/>
    </row>
    <row r="525" spans="1:28" ht="14.25" customHeight="1">
      <c r="A525" s="38"/>
      <c r="B525" s="3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41"/>
      <c r="U525" s="11"/>
      <c r="V525" s="11"/>
      <c r="W525" s="11"/>
      <c r="X525" s="11"/>
      <c r="Y525" s="11"/>
      <c r="Z525" s="11"/>
      <c r="AA525" s="11"/>
      <c r="AB525" s="11"/>
    </row>
    <row r="526" spans="1:28" ht="14.25" customHeight="1">
      <c r="A526" s="38"/>
      <c r="B526" s="3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41"/>
      <c r="U526" s="11"/>
      <c r="V526" s="11"/>
      <c r="W526" s="11"/>
      <c r="X526" s="11"/>
      <c r="Y526" s="11"/>
      <c r="Z526" s="11"/>
      <c r="AA526" s="11"/>
      <c r="AB526" s="11"/>
    </row>
    <row r="527" spans="1:28" ht="14.25" customHeight="1">
      <c r="A527" s="38"/>
      <c r="B527" s="3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41"/>
      <c r="U527" s="11"/>
      <c r="V527" s="11"/>
      <c r="W527" s="11"/>
      <c r="X527" s="11"/>
      <c r="Y527" s="11"/>
      <c r="Z527" s="11"/>
      <c r="AA527" s="11"/>
      <c r="AB527" s="11"/>
    </row>
    <row r="528" spans="1:28" ht="14.25" customHeight="1">
      <c r="A528" s="38"/>
      <c r="B528" s="3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41"/>
      <c r="U528" s="11"/>
      <c r="V528" s="11"/>
      <c r="W528" s="11"/>
      <c r="X528" s="11"/>
      <c r="Y528" s="11"/>
      <c r="Z528" s="11"/>
      <c r="AA528" s="11"/>
      <c r="AB528" s="11"/>
    </row>
    <row r="529" spans="1:28" ht="14.25" customHeight="1">
      <c r="A529" s="38"/>
      <c r="B529" s="3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41"/>
      <c r="U529" s="11"/>
      <c r="V529" s="11"/>
      <c r="W529" s="11"/>
      <c r="X529" s="11"/>
      <c r="Y529" s="11"/>
      <c r="Z529" s="11"/>
      <c r="AA529" s="11"/>
      <c r="AB529" s="11"/>
    </row>
    <row r="530" spans="1:28" ht="14.25" customHeight="1">
      <c r="A530" s="38"/>
      <c r="B530" s="3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41"/>
      <c r="U530" s="11"/>
      <c r="V530" s="11"/>
      <c r="W530" s="11"/>
      <c r="X530" s="11"/>
      <c r="Y530" s="11"/>
      <c r="Z530" s="11"/>
      <c r="AA530" s="11"/>
      <c r="AB530" s="11"/>
    </row>
    <row r="531" spans="1:28" ht="14.25" customHeight="1">
      <c r="A531" s="38"/>
      <c r="B531" s="3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41"/>
      <c r="U531" s="11"/>
      <c r="V531" s="11"/>
      <c r="W531" s="11"/>
      <c r="X531" s="11"/>
      <c r="Y531" s="11"/>
      <c r="Z531" s="11"/>
      <c r="AA531" s="11"/>
      <c r="AB531" s="11"/>
    </row>
    <row r="532" spans="1:28" ht="14.25" customHeight="1">
      <c r="A532" s="38"/>
      <c r="B532" s="3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41"/>
      <c r="U532" s="11"/>
      <c r="V532" s="11"/>
      <c r="W532" s="11"/>
      <c r="X532" s="11"/>
      <c r="Y532" s="11"/>
      <c r="Z532" s="11"/>
      <c r="AA532" s="11"/>
      <c r="AB532" s="11"/>
    </row>
    <row r="533" spans="1:28" ht="14.25" customHeight="1">
      <c r="A533" s="38"/>
      <c r="B533" s="3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41"/>
      <c r="U533" s="11"/>
      <c r="V533" s="11"/>
      <c r="W533" s="11"/>
      <c r="X533" s="11"/>
      <c r="Y533" s="11"/>
      <c r="Z533" s="11"/>
      <c r="AA533" s="11"/>
      <c r="AB533" s="11"/>
    </row>
    <row r="534" spans="1:28" ht="14.25" customHeight="1">
      <c r="A534" s="38"/>
      <c r="B534" s="3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41"/>
      <c r="U534" s="11"/>
      <c r="V534" s="11"/>
      <c r="W534" s="11"/>
      <c r="X534" s="11"/>
      <c r="Y534" s="11"/>
      <c r="Z534" s="11"/>
      <c r="AA534" s="11"/>
      <c r="AB534" s="11"/>
    </row>
    <row r="535" spans="1:28" ht="14.25" customHeight="1">
      <c r="A535" s="38"/>
      <c r="B535" s="3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41"/>
      <c r="U535" s="11"/>
      <c r="V535" s="11"/>
      <c r="W535" s="11"/>
      <c r="X535" s="11"/>
      <c r="Y535" s="11"/>
      <c r="Z535" s="11"/>
      <c r="AA535" s="11"/>
      <c r="AB535" s="11"/>
    </row>
    <row r="536" spans="1:28" ht="14.25" customHeight="1">
      <c r="A536" s="38"/>
      <c r="B536" s="3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41"/>
      <c r="U536" s="11"/>
      <c r="V536" s="11"/>
      <c r="W536" s="11"/>
      <c r="X536" s="11"/>
      <c r="Y536" s="11"/>
      <c r="Z536" s="11"/>
      <c r="AA536" s="11"/>
      <c r="AB536" s="11"/>
    </row>
    <row r="537" spans="1:28" ht="14.25" customHeight="1">
      <c r="A537" s="38"/>
      <c r="B537" s="3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41"/>
      <c r="U537" s="11"/>
      <c r="V537" s="11"/>
      <c r="W537" s="11"/>
      <c r="X537" s="11"/>
      <c r="Y537" s="11"/>
      <c r="Z537" s="11"/>
      <c r="AA537" s="11"/>
      <c r="AB537" s="11"/>
    </row>
    <row r="538" spans="1:28" ht="14.25" customHeight="1">
      <c r="A538" s="38"/>
      <c r="B538" s="3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41"/>
      <c r="U538" s="11"/>
      <c r="V538" s="11"/>
      <c r="W538" s="11"/>
      <c r="X538" s="11"/>
      <c r="Y538" s="11"/>
      <c r="Z538" s="11"/>
      <c r="AA538" s="11"/>
      <c r="AB538" s="11"/>
    </row>
    <row r="539" spans="1:28" ht="14.25" customHeight="1">
      <c r="A539" s="38"/>
      <c r="B539" s="3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41"/>
      <c r="U539" s="11"/>
      <c r="V539" s="11"/>
      <c r="W539" s="11"/>
      <c r="X539" s="11"/>
      <c r="Y539" s="11"/>
      <c r="Z539" s="11"/>
      <c r="AA539" s="11"/>
      <c r="AB539" s="11"/>
    </row>
    <row r="540" spans="1:28" ht="14.25" customHeight="1">
      <c r="A540" s="38"/>
      <c r="B540" s="3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41"/>
      <c r="U540" s="11"/>
      <c r="V540" s="11"/>
      <c r="W540" s="11"/>
      <c r="X540" s="11"/>
      <c r="Y540" s="11"/>
      <c r="Z540" s="11"/>
      <c r="AA540" s="11"/>
      <c r="AB540" s="11"/>
    </row>
    <row r="541" spans="1:28" ht="14.25" customHeight="1">
      <c r="A541" s="38"/>
      <c r="B541" s="3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41"/>
      <c r="U541" s="11"/>
      <c r="V541" s="11"/>
      <c r="W541" s="11"/>
      <c r="X541" s="11"/>
      <c r="Y541" s="11"/>
      <c r="Z541" s="11"/>
      <c r="AA541" s="11"/>
      <c r="AB541" s="11"/>
    </row>
    <row r="542" spans="1:28" ht="14.25" customHeight="1">
      <c r="A542" s="38"/>
      <c r="B542" s="3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41"/>
      <c r="U542" s="11"/>
      <c r="V542" s="11"/>
      <c r="W542" s="11"/>
      <c r="X542" s="11"/>
      <c r="Y542" s="11"/>
      <c r="Z542" s="11"/>
      <c r="AA542" s="11"/>
      <c r="AB542" s="11"/>
    </row>
    <row r="543" spans="1:28" ht="14.25" customHeight="1">
      <c r="A543" s="38"/>
      <c r="B543" s="3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41"/>
      <c r="U543" s="11"/>
      <c r="V543" s="11"/>
      <c r="W543" s="11"/>
      <c r="X543" s="11"/>
      <c r="Y543" s="11"/>
      <c r="Z543" s="11"/>
      <c r="AA543" s="11"/>
      <c r="AB543" s="11"/>
    </row>
    <row r="544" spans="1:28" ht="14.25" customHeight="1">
      <c r="A544" s="38"/>
      <c r="B544" s="3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41"/>
      <c r="U544" s="11"/>
      <c r="V544" s="11"/>
      <c r="W544" s="11"/>
      <c r="X544" s="11"/>
      <c r="Y544" s="11"/>
      <c r="Z544" s="11"/>
      <c r="AA544" s="11"/>
      <c r="AB544" s="11"/>
    </row>
    <row r="545" spans="1:28" ht="14.25" customHeight="1">
      <c r="A545" s="38"/>
      <c r="B545" s="3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41"/>
      <c r="U545" s="11"/>
      <c r="V545" s="11"/>
      <c r="W545" s="11"/>
      <c r="X545" s="11"/>
      <c r="Y545" s="11"/>
      <c r="Z545" s="11"/>
      <c r="AA545" s="11"/>
      <c r="AB545" s="11"/>
    </row>
    <row r="546" spans="1:28" ht="14.25" customHeight="1">
      <c r="A546" s="38"/>
      <c r="B546" s="3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41"/>
      <c r="U546" s="11"/>
      <c r="V546" s="11"/>
      <c r="W546" s="11"/>
      <c r="X546" s="11"/>
      <c r="Y546" s="11"/>
      <c r="Z546" s="11"/>
      <c r="AA546" s="11"/>
      <c r="AB546" s="11"/>
    </row>
    <row r="547" spans="1:28" ht="14.25" customHeight="1">
      <c r="A547" s="38"/>
      <c r="B547" s="3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41"/>
      <c r="U547" s="11"/>
      <c r="V547" s="11"/>
      <c r="W547" s="11"/>
      <c r="X547" s="11"/>
      <c r="Y547" s="11"/>
      <c r="Z547" s="11"/>
      <c r="AA547" s="11"/>
      <c r="AB547" s="11"/>
    </row>
    <row r="548" spans="1:28" ht="14.25" customHeight="1">
      <c r="A548" s="38"/>
      <c r="B548" s="3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41"/>
      <c r="U548" s="11"/>
      <c r="V548" s="11"/>
      <c r="W548" s="11"/>
      <c r="X548" s="11"/>
      <c r="Y548" s="11"/>
      <c r="Z548" s="11"/>
      <c r="AA548" s="11"/>
      <c r="AB548" s="11"/>
    </row>
    <row r="549" spans="1:28" ht="14.25" customHeight="1">
      <c r="A549" s="38"/>
      <c r="B549" s="3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41"/>
      <c r="U549" s="11"/>
      <c r="V549" s="11"/>
      <c r="W549" s="11"/>
      <c r="X549" s="11"/>
      <c r="Y549" s="11"/>
      <c r="Z549" s="11"/>
      <c r="AA549" s="11"/>
      <c r="AB549" s="11"/>
    </row>
    <row r="550" spans="1:28" ht="14.25" customHeight="1">
      <c r="A550" s="38"/>
      <c r="B550" s="3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41"/>
      <c r="U550" s="11"/>
      <c r="V550" s="11"/>
      <c r="W550" s="11"/>
      <c r="X550" s="11"/>
      <c r="Y550" s="11"/>
      <c r="Z550" s="11"/>
      <c r="AA550" s="11"/>
      <c r="AB550" s="11"/>
    </row>
    <row r="551" spans="1:28" ht="14.25" customHeight="1">
      <c r="A551" s="38"/>
      <c r="B551" s="3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41"/>
      <c r="U551" s="11"/>
      <c r="V551" s="11"/>
      <c r="W551" s="11"/>
      <c r="X551" s="11"/>
      <c r="Y551" s="11"/>
      <c r="Z551" s="11"/>
      <c r="AA551" s="11"/>
      <c r="AB551" s="11"/>
    </row>
    <row r="552" spans="1:28" ht="14.25" customHeight="1">
      <c r="A552" s="38"/>
      <c r="B552" s="3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41"/>
      <c r="U552" s="11"/>
      <c r="V552" s="11"/>
      <c r="W552" s="11"/>
      <c r="X552" s="11"/>
      <c r="Y552" s="11"/>
      <c r="Z552" s="11"/>
      <c r="AA552" s="11"/>
      <c r="AB552" s="11"/>
    </row>
    <row r="553" spans="1:28" ht="14.25" customHeight="1">
      <c r="A553" s="38"/>
      <c r="B553" s="3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41"/>
      <c r="U553" s="11"/>
      <c r="V553" s="11"/>
      <c r="W553" s="11"/>
      <c r="X553" s="11"/>
      <c r="Y553" s="11"/>
      <c r="Z553" s="11"/>
      <c r="AA553" s="11"/>
      <c r="AB553" s="11"/>
    </row>
    <row r="554" spans="1:28" ht="14.25" customHeight="1">
      <c r="A554" s="38"/>
      <c r="B554" s="3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41"/>
      <c r="U554" s="11"/>
      <c r="V554" s="11"/>
      <c r="W554" s="11"/>
      <c r="X554" s="11"/>
      <c r="Y554" s="11"/>
      <c r="Z554" s="11"/>
      <c r="AA554" s="11"/>
      <c r="AB554" s="11"/>
    </row>
    <row r="555" spans="1:28" ht="14.25" customHeight="1">
      <c r="A555" s="38"/>
      <c r="B555" s="3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41"/>
      <c r="U555" s="11"/>
      <c r="V555" s="11"/>
      <c r="W555" s="11"/>
      <c r="X555" s="11"/>
      <c r="Y555" s="11"/>
      <c r="Z555" s="11"/>
      <c r="AA555" s="11"/>
      <c r="AB555" s="11"/>
    </row>
    <row r="556" spans="1:28" ht="14.25" customHeight="1">
      <c r="A556" s="38"/>
      <c r="B556" s="3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41"/>
      <c r="U556" s="11"/>
      <c r="V556" s="11"/>
      <c r="W556" s="11"/>
      <c r="X556" s="11"/>
      <c r="Y556" s="11"/>
      <c r="Z556" s="11"/>
      <c r="AA556" s="11"/>
      <c r="AB556" s="11"/>
    </row>
    <row r="557" spans="1:28" ht="14.25" customHeight="1">
      <c r="A557" s="38"/>
      <c r="B557" s="3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41"/>
      <c r="U557" s="11"/>
      <c r="V557" s="11"/>
      <c r="W557" s="11"/>
      <c r="X557" s="11"/>
      <c r="Y557" s="11"/>
      <c r="Z557" s="11"/>
      <c r="AA557" s="11"/>
      <c r="AB557" s="11"/>
    </row>
    <row r="558" spans="1:28" ht="14.25" customHeight="1">
      <c r="A558" s="38"/>
      <c r="B558" s="3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41"/>
      <c r="U558" s="11"/>
      <c r="V558" s="11"/>
      <c r="W558" s="11"/>
      <c r="X558" s="11"/>
      <c r="Y558" s="11"/>
      <c r="Z558" s="11"/>
      <c r="AA558" s="11"/>
      <c r="AB558" s="11"/>
    </row>
    <row r="559" spans="1:28" ht="14.25" customHeight="1">
      <c r="A559" s="38"/>
      <c r="B559" s="3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41"/>
      <c r="U559" s="11"/>
      <c r="V559" s="11"/>
      <c r="W559" s="11"/>
      <c r="X559" s="11"/>
      <c r="Y559" s="11"/>
      <c r="Z559" s="11"/>
      <c r="AA559" s="11"/>
      <c r="AB559" s="11"/>
    </row>
    <row r="560" spans="1:28" ht="14.25" customHeight="1">
      <c r="A560" s="38"/>
      <c r="B560" s="3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41"/>
      <c r="U560" s="11"/>
      <c r="V560" s="11"/>
      <c r="W560" s="11"/>
      <c r="X560" s="11"/>
      <c r="Y560" s="11"/>
      <c r="Z560" s="11"/>
      <c r="AA560" s="11"/>
      <c r="AB560" s="11"/>
    </row>
    <row r="561" spans="1:28" ht="14.25" customHeight="1">
      <c r="A561" s="38"/>
      <c r="B561" s="3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41"/>
      <c r="U561" s="11"/>
      <c r="V561" s="11"/>
      <c r="W561" s="11"/>
      <c r="X561" s="11"/>
      <c r="Y561" s="11"/>
      <c r="Z561" s="11"/>
      <c r="AA561" s="11"/>
      <c r="AB561" s="11"/>
    </row>
    <row r="562" spans="1:28" ht="14.25" customHeight="1">
      <c r="A562" s="38"/>
      <c r="B562" s="3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41"/>
      <c r="U562" s="11"/>
      <c r="V562" s="11"/>
      <c r="W562" s="11"/>
      <c r="X562" s="11"/>
      <c r="Y562" s="11"/>
      <c r="Z562" s="11"/>
      <c r="AA562" s="11"/>
      <c r="AB562" s="11"/>
    </row>
    <row r="563" spans="1:28" ht="14.25" customHeight="1">
      <c r="A563" s="38"/>
      <c r="B563" s="3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41"/>
      <c r="U563" s="11"/>
      <c r="V563" s="11"/>
      <c r="W563" s="11"/>
      <c r="X563" s="11"/>
      <c r="Y563" s="11"/>
      <c r="Z563" s="11"/>
      <c r="AA563" s="11"/>
      <c r="AB563" s="11"/>
    </row>
    <row r="564" spans="1:28" ht="14.25" customHeight="1">
      <c r="A564" s="38"/>
      <c r="B564" s="3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41"/>
      <c r="U564" s="11"/>
      <c r="V564" s="11"/>
      <c r="W564" s="11"/>
      <c r="X564" s="11"/>
      <c r="Y564" s="11"/>
      <c r="Z564" s="11"/>
      <c r="AA564" s="11"/>
      <c r="AB564" s="11"/>
    </row>
    <row r="565" spans="1:28" ht="14.25" customHeight="1">
      <c r="A565" s="38"/>
      <c r="B565" s="3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41"/>
      <c r="U565" s="11"/>
      <c r="V565" s="11"/>
      <c r="W565" s="11"/>
      <c r="X565" s="11"/>
      <c r="Y565" s="11"/>
      <c r="Z565" s="11"/>
      <c r="AA565" s="11"/>
      <c r="AB565" s="11"/>
    </row>
    <row r="566" spans="1:28" ht="14.25" customHeight="1">
      <c r="A566" s="38"/>
      <c r="B566" s="3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41"/>
      <c r="U566" s="11"/>
      <c r="V566" s="11"/>
      <c r="W566" s="11"/>
      <c r="X566" s="11"/>
      <c r="Y566" s="11"/>
      <c r="Z566" s="11"/>
      <c r="AA566" s="11"/>
      <c r="AB566" s="11"/>
    </row>
    <row r="567" spans="1:28" ht="14.25" customHeight="1">
      <c r="A567" s="38"/>
      <c r="B567" s="3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41"/>
      <c r="U567" s="11"/>
      <c r="V567" s="11"/>
      <c r="W567" s="11"/>
      <c r="X567" s="11"/>
      <c r="Y567" s="11"/>
      <c r="Z567" s="11"/>
      <c r="AA567" s="11"/>
      <c r="AB567" s="11"/>
    </row>
    <row r="568" spans="1:28" ht="14.25" customHeight="1">
      <c r="A568" s="38"/>
      <c r="B568" s="3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41"/>
      <c r="U568" s="11"/>
      <c r="V568" s="11"/>
      <c r="W568" s="11"/>
      <c r="X568" s="11"/>
      <c r="Y568" s="11"/>
      <c r="Z568" s="11"/>
      <c r="AA568" s="11"/>
      <c r="AB568" s="11"/>
    </row>
    <row r="569" spans="1:28" ht="14.25" customHeight="1">
      <c r="A569" s="38"/>
      <c r="B569" s="3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41"/>
      <c r="U569" s="11"/>
      <c r="V569" s="11"/>
      <c r="W569" s="11"/>
      <c r="X569" s="11"/>
      <c r="Y569" s="11"/>
      <c r="Z569" s="11"/>
      <c r="AA569" s="11"/>
      <c r="AB569" s="11"/>
    </row>
    <row r="570" spans="1:28" ht="14.25" customHeight="1">
      <c r="A570" s="38"/>
      <c r="B570" s="3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41"/>
      <c r="U570" s="11"/>
      <c r="V570" s="11"/>
      <c r="W570" s="11"/>
      <c r="X570" s="11"/>
      <c r="Y570" s="11"/>
      <c r="Z570" s="11"/>
      <c r="AA570" s="11"/>
      <c r="AB570" s="11"/>
    </row>
    <row r="571" spans="1:28" ht="14.25" customHeight="1">
      <c r="A571" s="38"/>
      <c r="B571" s="3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41"/>
      <c r="U571" s="11"/>
      <c r="V571" s="11"/>
      <c r="W571" s="11"/>
      <c r="X571" s="11"/>
      <c r="Y571" s="11"/>
      <c r="Z571" s="11"/>
      <c r="AA571" s="11"/>
      <c r="AB571" s="11"/>
    </row>
    <row r="572" spans="1:28" ht="14.25" customHeight="1">
      <c r="A572" s="38"/>
      <c r="B572" s="3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41"/>
      <c r="U572" s="11"/>
      <c r="V572" s="11"/>
      <c r="W572" s="11"/>
      <c r="X572" s="11"/>
      <c r="Y572" s="11"/>
      <c r="Z572" s="11"/>
      <c r="AA572" s="11"/>
      <c r="AB572" s="11"/>
    </row>
    <row r="573" spans="1:28" ht="14.25" customHeight="1">
      <c r="A573" s="38"/>
      <c r="B573" s="3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41"/>
      <c r="U573" s="11"/>
      <c r="V573" s="11"/>
      <c r="W573" s="11"/>
      <c r="X573" s="11"/>
      <c r="Y573" s="11"/>
      <c r="Z573" s="11"/>
      <c r="AA573" s="11"/>
      <c r="AB573" s="11"/>
    </row>
    <row r="574" spans="1:28" ht="14.25" customHeight="1">
      <c r="A574" s="38"/>
      <c r="B574" s="3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41"/>
      <c r="U574" s="11"/>
      <c r="V574" s="11"/>
      <c r="W574" s="11"/>
      <c r="X574" s="11"/>
      <c r="Y574" s="11"/>
      <c r="Z574" s="11"/>
      <c r="AA574" s="11"/>
      <c r="AB574" s="11"/>
    </row>
    <row r="575" spans="1:28" ht="14.25" customHeight="1">
      <c r="A575" s="38"/>
      <c r="B575" s="3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41"/>
      <c r="U575" s="11"/>
      <c r="V575" s="11"/>
      <c r="W575" s="11"/>
      <c r="X575" s="11"/>
      <c r="Y575" s="11"/>
      <c r="Z575" s="11"/>
      <c r="AA575" s="11"/>
      <c r="AB575" s="11"/>
    </row>
    <row r="576" spans="1:28" ht="14.25" customHeight="1">
      <c r="A576" s="38"/>
      <c r="B576" s="3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41"/>
      <c r="U576" s="11"/>
      <c r="V576" s="11"/>
      <c r="W576" s="11"/>
      <c r="X576" s="11"/>
      <c r="Y576" s="11"/>
      <c r="Z576" s="11"/>
      <c r="AA576" s="11"/>
      <c r="AB576" s="11"/>
    </row>
    <row r="577" spans="1:28" ht="14.25" customHeight="1">
      <c r="A577" s="38"/>
      <c r="B577" s="3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41"/>
      <c r="U577" s="11"/>
      <c r="V577" s="11"/>
      <c r="W577" s="11"/>
      <c r="X577" s="11"/>
      <c r="Y577" s="11"/>
      <c r="Z577" s="11"/>
      <c r="AA577" s="11"/>
      <c r="AB577" s="11"/>
    </row>
    <row r="578" spans="1:28" ht="14.25" customHeight="1">
      <c r="A578" s="38"/>
      <c r="B578" s="3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41"/>
      <c r="U578" s="11"/>
      <c r="V578" s="11"/>
      <c r="W578" s="11"/>
      <c r="X578" s="11"/>
      <c r="Y578" s="11"/>
      <c r="Z578" s="11"/>
      <c r="AA578" s="11"/>
      <c r="AB578" s="11"/>
    </row>
    <row r="579" spans="1:28" ht="14.25" customHeight="1">
      <c r="A579" s="38"/>
      <c r="B579" s="3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41"/>
      <c r="U579" s="11"/>
      <c r="V579" s="11"/>
      <c r="W579" s="11"/>
      <c r="X579" s="11"/>
      <c r="Y579" s="11"/>
      <c r="Z579" s="11"/>
      <c r="AA579" s="11"/>
      <c r="AB579" s="11"/>
    </row>
    <row r="580" spans="1:28" ht="14.25" customHeight="1">
      <c r="A580" s="38"/>
      <c r="B580" s="3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41"/>
      <c r="U580" s="11"/>
      <c r="V580" s="11"/>
      <c r="W580" s="11"/>
      <c r="X580" s="11"/>
      <c r="Y580" s="11"/>
      <c r="Z580" s="11"/>
      <c r="AA580" s="11"/>
      <c r="AB580" s="11"/>
    </row>
    <row r="581" spans="1:28" ht="14.25" customHeight="1">
      <c r="A581" s="38"/>
      <c r="B581" s="3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41"/>
      <c r="U581" s="11"/>
      <c r="V581" s="11"/>
      <c r="W581" s="11"/>
      <c r="X581" s="11"/>
      <c r="Y581" s="11"/>
      <c r="Z581" s="11"/>
      <c r="AA581" s="11"/>
      <c r="AB581" s="11"/>
    </row>
    <row r="582" spans="1:28" ht="14.25" customHeight="1">
      <c r="A582" s="38"/>
      <c r="B582" s="3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41"/>
      <c r="U582" s="11"/>
      <c r="V582" s="11"/>
      <c r="W582" s="11"/>
      <c r="X582" s="11"/>
      <c r="Y582" s="11"/>
      <c r="Z582" s="11"/>
      <c r="AA582" s="11"/>
      <c r="AB582" s="11"/>
    </row>
    <row r="583" spans="1:28" ht="14.25" customHeight="1">
      <c r="A583" s="38"/>
      <c r="B583" s="3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41"/>
      <c r="U583" s="11"/>
      <c r="V583" s="11"/>
      <c r="W583" s="11"/>
      <c r="X583" s="11"/>
      <c r="Y583" s="11"/>
      <c r="Z583" s="11"/>
      <c r="AA583" s="11"/>
      <c r="AB583" s="11"/>
    </row>
    <row r="584" spans="1:28" ht="14.25" customHeight="1">
      <c r="A584" s="38"/>
      <c r="B584" s="3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41"/>
      <c r="U584" s="11"/>
      <c r="V584" s="11"/>
      <c r="W584" s="11"/>
      <c r="X584" s="11"/>
      <c r="Y584" s="11"/>
      <c r="Z584" s="11"/>
      <c r="AA584" s="11"/>
      <c r="AB584" s="11"/>
    </row>
    <row r="585" spans="1:28" ht="14.25" customHeight="1">
      <c r="A585" s="38"/>
      <c r="B585" s="3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41"/>
      <c r="U585" s="11"/>
      <c r="V585" s="11"/>
      <c r="W585" s="11"/>
      <c r="X585" s="11"/>
      <c r="Y585" s="11"/>
      <c r="Z585" s="11"/>
      <c r="AA585" s="11"/>
      <c r="AB585" s="11"/>
    </row>
    <row r="586" spans="1:28" ht="14.25" customHeight="1">
      <c r="A586" s="38"/>
      <c r="B586" s="3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41"/>
      <c r="U586" s="11"/>
      <c r="V586" s="11"/>
      <c r="W586" s="11"/>
      <c r="X586" s="11"/>
      <c r="Y586" s="11"/>
      <c r="Z586" s="11"/>
      <c r="AA586" s="11"/>
      <c r="AB586" s="11"/>
    </row>
    <row r="587" spans="1:28" ht="14.25" customHeight="1">
      <c r="A587" s="38"/>
      <c r="B587" s="3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41"/>
      <c r="U587" s="11"/>
      <c r="V587" s="11"/>
      <c r="W587" s="11"/>
      <c r="X587" s="11"/>
      <c r="Y587" s="11"/>
      <c r="Z587" s="11"/>
      <c r="AA587" s="11"/>
      <c r="AB587" s="11"/>
    </row>
    <row r="588" spans="1:28" ht="14.25" customHeight="1">
      <c r="A588" s="38"/>
      <c r="B588" s="3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41"/>
      <c r="U588" s="11"/>
      <c r="V588" s="11"/>
      <c r="W588" s="11"/>
      <c r="X588" s="11"/>
      <c r="Y588" s="11"/>
      <c r="Z588" s="11"/>
      <c r="AA588" s="11"/>
      <c r="AB588" s="11"/>
    </row>
    <row r="589" spans="1:28" ht="14.25" customHeight="1">
      <c r="A589" s="38"/>
      <c r="B589" s="3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41"/>
      <c r="U589" s="11"/>
      <c r="V589" s="11"/>
      <c r="W589" s="11"/>
      <c r="X589" s="11"/>
      <c r="Y589" s="11"/>
      <c r="Z589" s="11"/>
      <c r="AA589" s="11"/>
      <c r="AB589" s="11"/>
    </row>
    <row r="590" spans="1:28" ht="14.25" customHeight="1">
      <c r="A590" s="38"/>
      <c r="B590" s="3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41"/>
      <c r="U590" s="11"/>
      <c r="V590" s="11"/>
      <c r="W590" s="11"/>
      <c r="X590" s="11"/>
      <c r="Y590" s="11"/>
      <c r="Z590" s="11"/>
      <c r="AA590" s="11"/>
      <c r="AB590" s="11"/>
    </row>
    <row r="591" spans="1:28" ht="14.25" customHeight="1">
      <c r="A591" s="38"/>
      <c r="B591" s="3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41"/>
      <c r="U591" s="11"/>
      <c r="V591" s="11"/>
      <c r="W591" s="11"/>
      <c r="X591" s="11"/>
      <c r="Y591" s="11"/>
      <c r="Z591" s="11"/>
      <c r="AA591" s="11"/>
      <c r="AB591" s="11"/>
    </row>
    <row r="592" spans="1:28" ht="14.25" customHeight="1">
      <c r="A592" s="38"/>
      <c r="B592" s="3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41"/>
      <c r="U592" s="11"/>
      <c r="V592" s="11"/>
      <c r="W592" s="11"/>
      <c r="X592" s="11"/>
      <c r="Y592" s="11"/>
      <c r="Z592" s="11"/>
      <c r="AA592" s="11"/>
      <c r="AB592" s="11"/>
    </row>
    <row r="593" spans="1:28" ht="14.25" customHeight="1">
      <c r="A593" s="38"/>
      <c r="B593" s="3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41"/>
      <c r="U593" s="11"/>
      <c r="V593" s="11"/>
      <c r="W593" s="11"/>
      <c r="X593" s="11"/>
      <c r="Y593" s="11"/>
      <c r="Z593" s="11"/>
      <c r="AA593" s="11"/>
      <c r="AB593" s="11"/>
    </row>
    <row r="594" spans="1:28" ht="14.25" customHeight="1">
      <c r="A594" s="38"/>
      <c r="B594" s="3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41"/>
      <c r="U594" s="11"/>
      <c r="V594" s="11"/>
      <c r="W594" s="11"/>
      <c r="X594" s="11"/>
      <c r="Y594" s="11"/>
      <c r="Z594" s="11"/>
      <c r="AA594" s="11"/>
      <c r="AB594" s="11"/>
    </row>
    <row r="595" spans="1:28" ht="14.25" customHeight="1">
      <c r="A595" s="38"/>
      <c r="B595" s="3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41"/>
      <c r="U595" s="11"/>
      <c r="V595" s="11"/>
      <c r="W595" s="11"/>
      <c r="X595" s="11"/>
      <c r="Y595" s="11"/>
      <c r="Z595" s="11"/>
      <c r="AA595" s="11"/>
      <c r="AB595" s="11"/>
    </row>
    <row r="596" spans="1:28" ht="14.25" customHeight="1">
      <c r="A596" s="38"/>
      <c r="B596" s="3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41"/>
      <c r="U596" s="11"/>
      <c r="V596" s="11"/>
      <c r="W596" s="11"/>
      <c r="X596" s="11"/>
      <c r="Y596" s="11"/>
      <c r="Z596" s="11"/>
      <c r="AA596" s="11"/>
      <c r="AB596" s="11"/>
    </row>
    <row r="597" spans="1:28" ht="14.25" customHeight="1">
      <c r="A597" s="38"/>
      <c r="B597" s="3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41"/>
      <c r="U597" s="11"/>
      <c r="V597" s="11"/>
      <c r="W597" s="11"/>
      <c r="X597" s="11"/>
      <c r="Y597" s="11"/>
      <c r="Z597" s="11"/>
      <c r="AA597" s="11"/>
      <c r="AB597" s="11"/>
    </row>
    <row r="598" spans="1:28" ht="14.25" customHeight="1">
      <c r="A598" s="38"/>
      <c r="B598" s="3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41"/>
      <c r="U598" s="11"/>
      <c r="V598" s="11"/>
      <c r="W598" s="11"/>
      <c r="X598" s="11"/>
      <c r="Y598" s="11"/>
      <c r="Z598" s="11"/>
      <c r="AA598" s="11"/>
      <c r="AB598" s="11"/>
    </row>
    <row r="599" spans="1:28" ht="14.25" customHeight="1">
      <c r="A599" s="38"/>
      <c r="B599" s="3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41"/>
      <c r="U599" s="11"/>
      <c r="V599" s="11"/>
      <c r="W599" s="11"/>
      <c r="X599" s="11"/>
      <c r="Y599" s="11"/>
      <c r="Z599" s="11"/>
      <c r="AA599" s="11"/>
      <c r="AB599" s="11"/>
    </row>
    <row r="600" spans="1:28" ht="14.25" customHeight="1">
      <c r="A600" s="38"/>
      <c r="B600" s="3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41"/>
      <c r="U600" s="11"/>
      <c r="V600" s="11"/>
      <c r="W600" s="11"/>
      <c r="X600" s="11"/>
      <c r="Y600" s="11"/>
      <c r="Z600" s="11"/>
      <c r="AA600" s="11"/>
      <c r="AB600" s="11"/>
    </row>
    <row r="601" spans="1:28" ht="14.25" customHeight="1">
      <c r="A601" s="38"/>
      <c r="B601" s="3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41"/>
      <c r="U601" s="11"/>
      <c r="V601" s="11"/>
      <c r="W601" s="11"/>
      <c r="X601" s="11"/>
      <c r="Y601" s="11"/>
      <c r="Z601" s="11"/>
      <c r="AA601" s="11"/>
      <c r="AB601" s="11"/>
    </row>
    <row r="602" spans="1:28" ht="14.25" customHeight="1">
      <c r="A602" s="38"/>
      <c r="B602" s="3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41"/>
      <c r="U602" s="11"/>
      <c r="V602" s="11"/>
      <c r="W602" s="11"/>
      <c r="X602" s="11"/>
      <c r="Y602" s="11"/>
      <c r="Z602" s="11"/>
      <c r="AA602" s="11"/>
      <c r="AB602" s="11"/>
    </row>
    <row r="603" spans="1:28" ht="14.25" customHeight="1">
      <c r="A603" s="38"/>
      <c r="B603" s="3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41"/>
      <c r="U603" s="11"/>
      <c r="V603" s="11"/>
      <c r="W603" s="11"/>
      <c r="X603" s="11"/>
      <c r="Y603" s="11"/>
      <c r="Z603" s="11"/>
      <c r="AA603" s="11"/>
      <c r="AB603" s="11"/>
    </row>
    <row r="604" spans="1:28" ht="14.25" customHeight="1">
      <c r="A604" s="38"/>
      <c r="B604" s="3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41"/>
      <c r="U604" s="11"/>
      <c r="V604" s="11"/>
      <c r="W604" s="11"/>
      <c r="X604" s="11"/>
      <c r="Y604" s="11"/>
      <c r="Z604" s="11"/>
      <c r="AA604" s="11"/>
      <c r="AB604" s="11"/>
    </row>
    <row r="605" spans="1:28" ht="14.25" customHeight="1">
      <c r="A605" s="38"/>
      <c r="B605" s="3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41"/>
      <c r="U605" s="11"/>
      <c r="V605" s="11"/>
      <c r="W605" s="11"/>
      <c r="X605" s="11"/>
      <c r="Y605" s="11"/>
      <c r="Z605" s="11"/>
      <c r="AA605" s="11"/>
      <c r="AB605" s="11"/>
    </row>
    <row r="606" spans="1:28" ht="14.25" customHeight="1">
      <c r="A606" s="38"/>
      <c r="B606" s="3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41"/>
      <c r="U606" s="11"/>
      <c r="V606" s="11"/>
      <c r="W606" s="11"/>
      <c r="X606" s="11"/>
      <c r="Y606" s="11"/>
      <c r="Z606" s="11"/>
      <c r="AA606" s="11"/>
      <c r="AB606" s="11"/>
    </row>
    <row r="607" spans="1:28" ht="14.25" customHeight="1">
      <c r="A607" s="38"/>
      <c r="B607" s="3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41"/>
      <c r="U607" s="11"/>
      <c r="V607" s="11"/>
      <c r="W607" s="11"/>
      <c r="X607" s="11"/>
      <c r="Y607" s="11"/>
      <c r="Z607" s="11"/>
      <c r="AA607" s="11"/>
      <c r="AB607" s="11"/>
    </row>
    <row r="608" spans="1:28" ht="14.25" customHeight="1">
      <c r="A608" s="38"/>
      <c r="B608" s="3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41"/>
      <c r="U608" s="11"/>
      <c r="V608" s="11"/>
      <c r="W608" s="11"/>
      <c r="X608" s="11"/>
      <c r="Y608" s="11"/>
      <c r="Z608" s="11"/>
      <c r="AA608" s="11"/>
      <c r="AB608" s="11"/>
    </row>
    <row r="609" spans="1:28" ht="14.25" customHeight="1">
      <c r="A609" s="38"/>
      <c r="B609" s="3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41"/>
      <c r="U609" s="11"/>
      <c r="V609" s="11"/>
      <c r="W609" s="11"/>
      <c r="X609" s="11"/>
      <c r="Y609" s="11"/>
      <c r="Z609" s="11"/>
      <c r="AA609" s="11"/>
      <c r="AB609" s="11"/>
    </row>
    <row r="610" spans="1:28" ht="14.25" customHeight="1">
      <c r="A610" s="38"/>
      <c r="B610" s="3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41"/>
      <c r="U610" s="11"/>
      <c r="V610" s="11"/>
      <c r="W610" s="11"/>
      <c r="X610" s="11"/>
      <c r="Y610" s="11"/>
      <c r="Z610" s="11"/>
      <c r="AA610" s="11"/>
      <c r="AB610" s="11"/>
    </row>
    <row r="611" spans="1:28" ht="14.25" customHeight="1">
      <c r="A611" s="38"/>
      <c r="B611" s="3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41"/>
      <c r="U611" s="11"/>
      <c r="V611" s="11"/>
      <c r="W611" s="11"/>
      <c r="X611" s="11"/>
      <c r="Y611" s="11"/>
      <c r="Z611" s="11"/>
      <c r="AA611" s="11"/>
      <c r="AB611" s="11"/>
    </row>
    <row r="612" spans="1:28" ht="14.25" customHeight="1">
      <c r="A612" s="38"/>
      <c r="B612" s="3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41"/>
      <c r="U612" s="11"/>
      <c r="V612" s="11"/>
      <c r="W612" s="11"/>
      <c r="X612" s="11"/>
      <c r="Y612" s="11"/>
      <c r="Z612" s="11"/>
      <c r="AA612" s="11"/>
      <c r="AB612" s="11"/>
    </row>
    <row r="613" spans="1:28" ht="14.25" customHeight="1">
      <c r="A613" s="38"/>
      <c r="B613" s="3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41"/>
      <c r="U613" s="11"/>
      <c r="V613" s="11"/>
      <c r="W613" s="11"/>
      <c r="X613" s="11"/>
      <c r="Y613" s="11"/>
      <c r="Z613" s="11"/>
      <c r="AA613" s="11"/>
      <c r="AB613" s="11"/>
    </row>
    <row r="614" spans="1:28" ht="14.25" customHeight="1">
      <c r="A614" s="38"/>
      <c r="B614" s="3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41"/>
      <c r="U614" s="11"/>
      <c r="V614" s="11"/>
      <c r="W614" s="11"/>
      <c r="X614" s="11"/>
      <c r="Y614" s="11"/>
      <c r="Z614" s="11"/>
      <c r="AA614" s="11"/>
      <c r="AB614" s="11"/>
    </row>
    <row r="615" spans="1:28" ht="14.25" customHeight="1">
      <c r="A615" s="38"/>
      <c r="B615" s="3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41"/>
      <c r="U615" s="11"/>
      <c r="V615" s="11"/>
      <c r="W615" s="11"/>
      <c r="X615" s="11"/>
      <c r="Y615" s="11"/>
      <c r="Z615" s="11"/>
      <c r="AA615" s="11"/>
      <c r="AB615" s="11"/>
    </row>
    <row r="616" spans="1:28" ht="14.25" customHeight="1">
      <c r="A616" s="38"/>
      <c r="B616" s="3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41"/>
      <c r="U616" s="11"/>
      <c r="V616" s="11"/>
      <c r="W616" s="11"/>
      <c r="X616" s="11"/>
      <c r="Y616" s="11"/>
      <c r="Z616" s="11"/>
      <c r="AA616" s="11"/>
      <c r="AB616" s="11"/>
    </row>
    <row r="617" spans="1:28" ht="14.25" customHeight="1">
      <c r="A617" s="38"/>
      <c r="B617" s="3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41"/>
      <c r="U617" s="11"/>
      <c r="V617" s="11"/>
      <c r="W617" s="11"/>
      <c r="X617" s="11"/>
      <c r="Y617" s="11"/>
      <c r="Z617" s="11"/>
      <c r="AA617" s="11"/>
      <c r="AB617" s="11"/>
    </row>
    <row r="618" spans="1:28" ht="14.25" customHeight="1">
      <c r="A618" s="38"/>
      <c r="B618" s="3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41"/>
      <c r="U618" s="11"/>
      <c r="V618" s="11"/>
      <c r="W618" s="11"/>
      <c r="X618" s="11"/>
      <c r="Y618" s="11"/>
      <c r="Z618" s="11"/>
      <c r="AA618" s="11"/>
      <c r="AB618" s="11"/>
    </row>
    <row r="619" spans="1:28" ht="14.25" customHeight="1">
      <c r="A619" s="38"/>
      <c r="B619" s="3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41"/>
      <c r="U619" s="11"/>
      <c r="V619" s="11"/>
      <c r="W619" s="11"/>
      <c r="X619" s="11"/>
      <c r="Y619" s="11"/>
      <c r="Z619" s="11"/>
      <c r="AA619" s="11"/>
      <c r="AB619" s="11"/>
    </row>
    <row r="620" spans="1:28" ht="14.25" customHeight="1">
      <c r="A620" s="38"/>
      <c r="B620" s="3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41"/>
      <c r="U620" s="11"/>
      <c r="V620" s="11"/>
      <c r="W620" s="11"/>
      <c r="X620" s="11"/>
      <c r="Y620" s="11"/>
      <c r="Z620" s="11"/>
      <c r="AA620" s="11"/>
      <c r="AB620" s="11"/>
    </row>
    <row r="621" spans="1:28" ht="14.25" customHeight="1">
      <c r="A621" s="38"/>
      <c r="B621" s="3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41"/>
      <c r="U621" s="11"/>
      <c r="V621" s="11"/>
      <c r="W621" s="11"/>
      <c r="X621" s="11"/>
      <c r="Y621" s="11"/>
      <c r="Z621" s="11"/>
      <c r="AA621" s="11"/>
      <c r="AB621" s="11"/>
    </row>
    <row r="622" spans="1:28" ht="14.25" customHeight="1">
      <c r="A622" s="38"/>
      <c r="B622" s="3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41"/>
      <c r="U622" s="11"/>
      <c r="V622" s="11"/>
      <c r="W622" s="11"/>
      <c r="X622" s="11"/>
      <c r="Y622" s="11"/>
      <c r="Z622" s="11"/>
      <c r="AA622" s="11"/>
      <c r="AB622" s="11"/>
    </row>
    <row r="623" spans="1:28" ht="14.25" customHeight="1">
      <c r="A623" s="38"/>
      <c r="B623" s="3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41"/>
      <c r="U623" s="11"/>
      <c r="V623" s="11"/>
      <c r="W623" s="11"/>
      <c r="X623" s="11"/>
      <c r="Y623" s="11"/>
      <c r="Z623" s="11"/>
      <c r="AA623" s="11"/>
      <c r="AB623" s="11"/>
    </row>
    <row r="624" spans="1:28" ht="14.25" customHeight="1">
      <c r="A624" s="38"/>
      <c r="B624" s="3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41"/>
      <c r="U624" s="11"/>
      <c r="V624" s="11"/>
      <c r="W624" s="11"/>
      <c r="X624" s="11"/>
      <c r="Y624" s="11"/>
      <c r="Z624" s="11"/>
      <c r="AA624" s="11"/>
      <c r="AB624" s="11"/>
    </row>
    <row r="625" spans="1:28" ht="14.25" customHeight="1">
      <c r="A625" s="38"/>
      <c r="B625" s="3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41"/>
      <c r="U625" s="11"/>
      <c r="V625" s="11"/>
      <c r="W625" s="11"/>
      <c r="X625" s="11"/>
      <c r="Y625" s="11"/>
      <c r="Z625" s="11"/>
      <c r="AA625" s="11"/>
      <c r="AB625" s="11"/>
    </row>
    <row r="626" spans="1:28" ht="14.25" customHeight="1">
      <c r="A626" s="38"/>
      <c r="B626" s="3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41"/>
      <c r="U626" s="11"/>
      <c r="V626" s="11"/>
      <c r="W626" s="11"/>
      <c r="X626" s="11"/>
      <c r="Y626" s="11"/>
      <c r="Z626" s="11"/>
      <c r="AA626" s="11"/>
      <c r="AB626" s="11"/>
    </row>
    <row r="627" spans="1:28" ht="14.25" customHeight="1">
      <c r="A627" s="38"/>
      <c r="B627" s="3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41"/>
      <c r="U627" s="11"/>
      <c r="V627" s="11"/>
      <c r="W627" s="11"/>
      <c r="X627" s="11"/>
      <c r="Y627" s="11"/>
      <c r="Z627" s="11"/>
      <c r="AA627" s="11"/>
      <c r="AB627" s="11"/>
    </row>
    <row r="628" spans="1:28" ht="14.25" customHeight="1">
      <c r="A628" s="38"/>
      <c r="B628" s="3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41"/>
      <c r="U628" s="11"/>
      <c r="V628" s="11"/>
      <c r="W628" s="11"/>
      <c r="X628" s="11"/>
      <c r="Y628" s="11"/>
      <c r="Z628" s="11"/>
      <c r="AA628" s="11"/>
      <c r="AB628" s="11"/>
    </row>
    <row r="629" spans="1:28" ht="14.25" customHeight="1">
      <c r="A629" s="38"/>
      <c r="B629" s="3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41"/>
      <c r="U629" s="11"/>
      <c r="V629" s="11"/>
      <c r="W629" s="11"/>
      <c r="X629" s="11"/>
      <c r="Y629" s="11"/>
      <c r="Z629" s="11"/>
      <c r="AA629" s="11"/>
      <c r="AB629" s="11"/>
    </row>
    <row r="630" spans="1:28" ht="14.25" customHeight="1">
      <c r="A630" s="38"/>
      <c r="B630" s="3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41"/>
      <c r="U630" s="11"/>
      <c r="V630" s="11"/>
      <c r="W630" s="11"/>
      <c r="X630" s="11"/>
      <c r="Y630" s="11"/>
      <c r="Z630" s="11"/>
      <c r="AA630" s="11"/>
      <c r="AB630" s="11"/>
    </row>
    <row r="631" spans="1:28" ht="14.25" customHeight="1">
      <c r="A631" s="38"/>
      <c r="B631" s="3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41"/>
      <c r="U631" s="11"/>
      <c r="V631" s="11"/>
      <c r="W631" s="11"/>
      <c r="X631" s="11"/>
      <c r="Y631" s="11"/>
      <c r="Z631" s="11"/>
      <c r="AA631" s="11"/>
      <c r="AB631" s="11"/>
    </row>
    <row r="632" spans="1:28" ht="14.25" customHeight="1">
      <c r="A632" s="38"/>
      <c r="B632" s="3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41"/>
      <c r="U632" s="11"/>
      <c r="V632" s="11"/>
      <c r="W632" s="11"/>
      <c r="X632" s="11"/>
      <c r="Y632" s="11"/>
      <c r="Z632" s="11"/>
      <c r="AA632" s="11"/>
      <c r="AB632" s="11"/>
    </row>
    <row r="633" spans="1:28" ht="14.25" customHeight="1">
      <c r="A633" s="38"/>
      <c r="B633" s="3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41"/>
      <c r="U633" s="11"/>
      <c r="V633" s="11"/>
      <c r="W633" s="11"/>
      <c r="X633" s="11"/>
      <c r="Y633" s="11"/>
      <c r="Z633" s="11"/>
      <c r="AA633" s="11"/>
      <c r="AB633" s="11"/>
    </row>
    <row r="634" spans="1:28" ht="14.25" customHeight="1">
      <c r="A634" s="38"/>
      <c r="B634" s="3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41"/>
      <c r="U634" s="11"/>
      <c r="V634" s="11"/>
      <c r="W634" s="11"/>
      <c r="X634" s="11"/>
      <c r="Y634" s="11"/>
      <c r="Z634" s="11"/>
      <c r="AA634" s="11"/>
      <c r="AB634" s="11"/>
    </row>
    <row r="635" spans="1:28" ht="14.25" customHeight="1">
      <c r="A635" s="38"/>
      <c r="B635" s="3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41"/>
      <c r="U635" s="11"/>
      <c r="V635" s="11"/>
      <c r="W635" s="11"/>
      <c r="X635" s="11"/>
      <c r="Y635" s="11"/>
      <c r="Z635" s="11"/>
      <c r="AA635" s="11"/>
      <c r="AB635" s="11"/>
    </row>
    <row r="636" spans="1:28" ht="14.25" customHeight="1">
      <c r="A636" s="38"/>
      <c r="B636" s="3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41"/>
      <c r="U636" s="11"/>
      <c r="V636" s="11"/>
      <c r="W636" s="11"/>
      <c r="X636" s="11"/>
      <c r="Y636" s="11"/>
      <c r="Z636" s="11"/>
      <c r="AA636" s="11"/>
      <c r="AB636" s="11"/>
    </row>
    <row r="637" spans="1:28" ht="14.25" customHeight="1">
      <c r="A637" s="38"/>
      <c r="B637" s="3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41"/>
      <c r="U637" s="11"/>
      <c r="V637" s="11"/>
      <c r="W637" s="11"/>
      <c r="X637" s="11"/>
      <c r="Y637" s="11"/>
      <c r="Z637" s="11"/>
      <c r="AA637" s="11"/>
      <c r="AB637" s="11"/>
    </row>
    <row r="638" spans="1:28" ht="14.25" customHeight="1">
      <c r="A638" s="38"/>
      <c r="B638" s="3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41"/>
      <c r="U638" s="11"/>
      <c r="V638" s="11"/>
      <c r="W638" s="11"/>
      <c r="X638" s="11"/>
      <c r="Y638" s="11"/>
      <c r="Z638" s="11"/>
      <c r="AA638" s="11"/>
      <c r="AB638" s="11"/>
    </row>
    <row r="639" spans="1:28" ht="14.25" customHeight="1">
      <c r="A639" s="38"/>
      <c r="B639" s="3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41"/>
      <c r="U639" s="11"/>
      <c r="V639" s="11"/>
      <c r="W639" s="11"/>
      <c r="X639" s="11"/>
      <c r="Y639" s="11"/>
      <c r="Z639" s="11"/>
      <c r="AA639" s="11"/>
      <c r="AB639" s="11"/>
    </row>
    <row r="640" spans="1:28" ht="14.25" customHeight="1">
      <c r="A640" s="38"/>
      <c r="B640" s="3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41"/>
      <c r="U640" s="11"/>
      <c r="V640" s="11"/>
      <c r="W640" s="11"/>
      <c r="X640" s="11"/>
      <c r="Y640" s="11"/>
      <c r="Z640" s="11"/>
      <c r="AA640" s="11"/>
      <c r="AB640" s="11"/>
    </row>
    <row r="641" spans="1:28" ht="14.25" customHeight="1">
      <c r="A641" s="38"/>
      <c r="B641" s="3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41"/>
      <c r="U641" s="11"/>
      <c r="V641" s="11"/>
      <c r="W641" s="11"/>
      <c r="X641" s="11"/>
      <c r="Y641" s="11"/>
      <c r="Z641" s="11"/>
      <c r="AA641" s="11"/>
      <c r="AB641" s="11"/>
    </row>
    <row r="642" spans="1:28" ht="14.25" customHeight="1">
      <c r="A642" s="38"/>
      <c r="B642" s="3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41"/>
      <c r="U642" s="11"/>
      <c r="V642" s="11"/>
      <c r="W642" s="11"/>
      <c r="X642" s="11"/>
      <c r="Y642" s="11"/>
      <c r="Z642" s="11"/>
      <c r="AA642" s="11"/>
      <c r="AB642" s="11"/>
    </row>
    <row r="643" spans="1:28" ht="14.25" customHeight="1">
      <c r="A643" s="38"/>
      <c r="B643" s="3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41"/>
      <c r="U643" s="11"/>
      <c r="V643" s="11"/>
      <c r="W643" s="11"/>
      <c r="X643" s="11"/>
      <c r="Y643" s="11"/>
      <c r="Z643" s="11"/>
      <c r="AA643" s="11"/>
      <c r="AB643" s="11"/>
    </row>
    <row r="644" spans="1:28" ht="14.25" customHeight="1">
      <c r="A644" s="38"/>
      <c r="B644" s="3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41"/>
      <c r="U644" s="11"/>
      <c r="V644" s="11"/>
      <c r="W644" s="11"/>
      <c r="X644" s="11"/>
      <c r="Y644" s="11"/>
      <c r="Z644" s="11"/>
      <c r="AA644" s="11"/>
      <c r="AB644" s="11"/>
    </row>
    <row r="645" spans="1:28" ht="14.25" customHeight="1">
      <c r="A645" s="38"/>
      <c r="B645" s="3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41"/>
      <c r="U645" s="11"/>
      <c r="V645" s="11"/>
      <c r="W645" s="11"/>
      <c r="X645" s="11"/>
      <c r="Y645" s="11"/>
      <c r="Z645" s="11"/>
      <c r="AA645" s="11"/>
      <c r="AB645" s="11"/>
    </row>
    <row r="646" spans="1:28" ht="14.25" customHeight="1">
      <c r="A646" s="38"/>
      <c r="B646" s="3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41"/>
      <c r="U646" s="11"/>
      <c r="V646" s="11"/>
      <c r="W646" s="11"/>
      <c r="X646" s="11"/>
      <c r="Y646" s="11"/>
      <c r="Z646" s="11"/>
      <c r="AA646" s="11"/>
      <c r="AB646" s="11"/>
    </row>
    <row r="647" spans="1:28" ht="14.25" customHeight="1">
      <c r="A647" s="38"/>
      <c r="B647" s="3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41"/>
      <c r="U647" s="11"/>
      <c r="V647" s="11"/>
      <c r="W647" s="11"/>
      <c r="X647" s="11"/>
      <c r="Y647" s="11"/>
      <c r="Z647" s="11"/>
      <c r="AA647" s="11"/>
      <c r="AB647" s="11"/>
    </row>
    <row r="648" spans="1:28" ht="14.25" customHeight="1">
      <c r="A648" s="38"/>
      <c r="B648" s="3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41"/>
      <c r="U648" s="11"/>
      <c r="V648" s="11"/>
      <c r="W648" s="11"/>
      <c r="X648" s="11"/>
      <c r="Y648" s="11"/>
      <c r="Z648" s="11"/>
      <c r="AA648" s="11"/>
      <c r="AB648" s="11"/>
    </row>
    <row r="649" spans="1:28" ht="14.25" customHeight="1">
      <c r="A649" s="38"/>
      <c r="B649" s="3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41"/>
      <c r="U649" s="11"/>
      <c r="V649" s="11"/>
      <c r="W649" s="11"/>
      <c r="X649" s="11"/>
      <c r="Y649" s="11"/>
      <c r="Z649" s="11"/>
      <c r="AA649" s="11"/>
      <c r="AB649" s="11"/>
    </row>
    <row r="650" spans="1:28" ht="14.25" customHeight="1">
      <c r="A650" s="38"/>
      <c r="B650" s="3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41"/>
      <c r="U650" s="11"/>
      <c r="V650" s="11"/>
      <c r="W650" s="11"/>
      <c r="X650" s="11"/>
      <c r="Y650" s="11"/>
      <c r="Z650" s="11"/>
      <c r="AA650" s="11"/>
      <c r="AB650" s="11"/>
    </row>
    <row r="651" spans="1:28" ht="14.25" customHeight="1">
      <c r="A651" s="38"/>
      <c r="B651" s="3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41"/>
      <c r="U651" s="11"/>
      <c r="V651" s="11"/>
      <c r="W651" s="11"/>
      <c r="X651" s="11"/>
      <c r="Y651" s="11"/>
      <c r="Z651" s="11"/>
      <c r="AA651" s="11"/>
      <c r="AB651" s="11"/>
    </row>
    <row r="652" spans="1:28" ht="14.25" customHeight="1">
      <c r="A652" s="38"/>
      <c r="B652" s="3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41"/>
      <c r="U652" s="11"/>
      <c r="V652" s="11"/>
      <c r="W652" s="11"/>
      <c r="X652" s="11"/>
      <c r="Y652" s="11"/>
      <c r="Z652" s="11"/>
      <c r="AA652" s="11"/>
      <c r="AB652" s="11"/>
    </row>
    <row r="653" spans="1:28" ht="14.25" customHeight="1">
      <c r="A653" s="38"/>
      <c r="B653" s="3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41"/>
      <c r="U653" s="11"/>
      <c r="V653" s="11"/>
      <c r="W653" s="11"/>
      <c r="X653" s="11"/>
      <c r="Y653" s="11"/>
      <c r="Z653" s="11"/>
      <c r="AA653" s="11"/>
      <c r="AB653" s="11"/>
    </row>
    <row r="654" spans="1:28" ht="14.25" customHeight="1">
      <c r="A654" s="38"/>
      <c r="B654" s="3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41"/>
      <c r="U654" s="11"/>
      <c r="V654" s="11"/>
      <c r="W654" s="11"/>
      <c r="X654" s="11"/>
      <c r="Y654" s="11"/>
      <c r="Z654" s="11"/>
      <c r="AA654" s="11"/>
      <c r="AB654" s="11"/>
    </row>
    <row r="655" spans="1:28" ht="14.25" customHeight="1">
      <c r="A655" s="38"/>
      <c r="B655" s="3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41"/>
      <c r="U655" s="11"/>
      <c r="V655" s="11"/>
      <c r="W655" s="11"/>
      <c r="X655" s="11"/>
      <c r="Y655" s="11"/>
      <c r="Z655" s="11"/>
      <c r="AA655" s="11"/>
      <c r="AB655" s="11"/>
    </row>
    <row r="656" spans="1:28" ht="14.25" customHeight="1">
      <c r="A656" s="38"/>
      <c r="B656" s="3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41"/>
      <c r="U656" s="11"/>
      <c r="V656" s="11"/>
      <c r="W656" s="11"/>
      <c r="X656" s="11"/>
      <c r="Y656" s="11"/>
      <c r="Z656" s="11"/>
      <c r="AA656" s="11"/>
      <c r="AB656" s="11"/>
    </row>
    <row r="657" spans="1:28" ht="14.25" customHeight="1">
      <c r="A657" s="38"/>
      <c r="B657" s="3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41"/>
      <c r="U657" s="11"/>
      <c r="V657" s="11"/>
      <c r="W657" s="11"/>
      <c r="X657" s="11"/>
      <c r="Y657" s="11"/>
      <c r="Z657" s="11"/>
      <c r="AA657" s="11"/>
      <c r="AB657" s="11"/>
    </row>
    <row r="658" spans="1:28" ht="14.25" customHeight="1">
      <c r="A658" s="38"/>
      <c r="B658" s="3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41"/>
      <c r="U658" s="11"/>
      <c r="V658" s="11"/>
      <c r="W658" s="11"/>
      <c r="X658" s="11"/>
      <c r="Y658" s="11"/>
      <c r="Z658" s="11"/>
      <c r="AA658" s="11"/>
      <c r="AB658" s="11"/>
    </row>
    <row r="659" spans="1:28" ht="14.25" customHeight="1">
      <c r="A659" s="38"/>
      <c r="B659" s="3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41"/>
      <c r="U659" s="11"/>
      <c r="V659" s="11"/>
      <c r="W659" s="11"/>
      <c r="X659" s="11"/>
      <c r="Y659" s="11"/>
      <c r="Z659" s="11"/>
      <c r="AA659" s="11"/>
      <c r="AB659" s="11"/>
    </row>
    <row r="660" spans="1:28" ht="14.25" customHeight="1">
      <c r="A660" s="38"/>
      <c r="B660" s="3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41"/>
      <c r="U660" s="11"/>
      <c r="V660" s="11"/>
      <c r="W660" s="11"/>
      <c r="X660" s="11"/>
      <c r="Y660" s="11"/>
      <c r="Z660" s="11"/>
      <c r="AA660" s="11"/>
      <c r="AB660" s="11"/>
    </row>
    <row r="661" spans="1:28" ht="14.25" customHeight="1">
      <c r="A661" s="38"/>
      <c r="B661" s="3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41"/>
      <c r="U661" s="11"/>
      <c r="V661" s="11"/>
      <c r="W661" s="11"/>
      <c r="X661" s="11"/>
      <c r="Y661" s="11"/>
      <c r="Z661" s="11"/>
      <c r="AA661" s="11"/>
      <c r="AB661" s="11"/>
    </row>
    <row r="662" spans="1:28" ht="14.25" customHeight="1">
      <c r="A662" s="38"/>
      <c r="B662" s="3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41"/>
      <c r="U662" s="11"/>
      <c r="V662" s="11"/>
      <c r="W662" s="11"/>
      <c r="X662" s="11"/>
      <c r="Y662" s="11"/>
      <c r="Z662" s="11"/>
      <c r="AA662" s="11"/>
      <c r="AB662" s="11"/>
    </row>
    <row r="663" spans="1:28" ht="14.25" customHeight="1">
      <c r="A663" s="38"/>
      <c r="B663" s="3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41"/>
      <c r="U663" s="11"/>
      <c r="V663" s="11"/>
      <c r="W663" s="11"/>
      <c r="X663" s="11"/>
      <c r="Y663" s="11"/>
      <c r="Z663" s="11"/>
      <c r="AA663" s="11"/>
      <c r="AB663" s="11"/>
    </row>
    <row r="664" spans="1:28" ht="14.25" customHeight="1">
      <c r="A664" s="38"/>
      <c r="B664" s="3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41"/>
      <c r="U664" s="11"/>
      <c r="V664" s="11"/>
      <c r="W664" s="11"/>
      <c r="X664" s="11"/>
      <c r="Y664" s="11"/>
      <c r="Z664" s="11"/>
      <c r="AA664" s="11"/>
      <c r="AB664" s="11"/>
    </row>
    <row r="665" spans="1:28" ht="14.25" customHeight="1">
      <c r="A665" s="38"/>
      <c r="B665" s="3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41"/>
      <c r="U665" s="11"/>
      <c r="V665" s="11"/>
      <c r="W665" s="11"/>
      <c r="X665" s="11"/>
      <c r="Y665" s="11"/>
      <c r="Z665" s="11"/>
      <c r="AA665" s="11"/>
      <c r="AB665" s="11"/>
    </row>
    <row r="666" spans="1:28" ht="14.25" customHeight="1">
      <c r="A666" s="38"/>
      <c r="B666" s="3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41"/>
      <c r="U666" s="11"/>
      <c r="V666" s="11"/>
      <c r="W666" s="11"/>
      <c r="X666" s="11"/>
      <c r="Y666" s="11"/>
      <c r="Z666" s="11"/>
      <c r="AA666" s="11"/>
      <c r="AB666" s="11"/>
    </row>
    <row r="667" spans="1:28" ht="14.25" customHeight="1">
      <c r="A667" s="38"/>
      <c r="B667" s="3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41"/>
      <c r="U667" s="11"/>
      <c r="V667" s="11"/>
      <c r="W667" s="11"/>
      <c r="X667" s="11"/>
      <c r="Y667" s="11"/>
      <c r="Z667" s="11"/>
      <c r="AA667" s="11"/>
      <c r="AB667" s="11"/>
    </row>
    <row r="668" spans="1:28" ht="14.25" customHeight="1">
      <c r="A668" s="38"/>
      <c r="B668" s="3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41"/>
      <c r="U668" s="11"/>
      <c r="V668" s="11"/>
      <c r="W668" s="11"/>
      <c r="X668" s="11"/>
      <c r="Y668" s="11"/>
      <c r="Z668" s="11"/>
      <c r="AA668" s="11"/>
      <c r="AB668" s="11"/>
    </row>
    <row r="669" spans="1:28" ht="14.25" customHeight="1">
      <c r="A669" s="38"/>
      <c r="B669" s="3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41"/>
      <c r="U669" s="11"/>
      <c r="V669" s="11"/>
      <c r="W669" s="11"/>
      <c r="X669" s="11"/>
      <c r="Y669" s="11"/>
      <c r="Z669" s="11"/>
      <c r="AA669" s="11"/>
      <c r="AB669" s="11"/>
    </row>
    <row r="670" spans="1:28" ht="14.25" customHeight="1">
      <c r="A670" s="38"/>
      <c r="B670" s="3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41"/>
      <c r="U670" s="11"/>
      <c r="V670" s="11"/>
      <c r="W670" s="11"/>
      <c r="X670" s="11"/>
      <c r="Y670" s="11"/>
      <c r="Z670" s="11"/>
      <c r="AA670" s="11"/>
      <c r="AB670" s="11"/>
    </row>
    <row r="671" spans="1:28" ht="14.25" customHeight="1">
      <c r="A671" s="38"/>
      <c r="B671" s="3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41"/>
      <c r="U671" s="11"/>
      <c r="V671" s="11"/>
      <c r="W671" s="11"/>
      <c r="X671" s="11"/>
      <c r="Y671" s="11"/>
      <c r="Z671" s="11"/>
      <c r="AA671" s="11"/>
      <c r="AB671" s="11"/>
    </row>
    <row r="672" spans="1:28" ht="14.25" customHeight="1">
      <c r="A672" s="38"/>
      <c r="B672" s="3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41"/>
      <c r="U672" s="11"/>
      <c r="V672" s="11"/>
      <c r="W672" s="11"/>
      <c r="X672" s="11"/>
      <c r="Y672" s="11"/>
      <c r="Z672" s="11"/>
      <c r="AA672" s="11"/>
      <c r="AB672" s="11"/>
    </row>
    <row r="673" spans="1:28" ht="14.25" customHeight="1">
      <c r="A673" s="38"/>
      <c r="B673" s="3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41"/>
      <c r="U673" s="11"/>
      <c r="V673" s="11"/>
      <c r="W673" s="11"/>
      <c r="X673" s="11"/>
      <c r="Y673" s="11"/>
      <c r="Z673" s="11"/>
      <c r="AA673" s="11"/>
      <c r="AB673" s="11"/>
    </row>
    <row r="674" spans="1:28" ht="14.25" customHeight="1">
      <c r="A674" s="38"/>
      <c r="B674" s="3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41"/>
      <c r="U674" s="11"/>
      <c r="V674" s="11"/>
      <c r="W674" s="11"/>
      <c r="X674" s="11"/>
      <c r="Y674" s="11"/>
      <c r="Z674" s="11"/>
      <c r="AA674" s="11"/>
      <c r="AB674" s="11"/>
    </row>
    <row r="675" spans="1:28" ht="14.25" customHeight="1">
      <c r="A675" s="38"/>
      <c r="B675" s="3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41"/>
      <c r="U675" s="11"/>
      <c r="V675" s="11"/>
      <c r="W675" s="11"/>
      <c r="X675" s="11"/>
      <c r="Y675" s="11"/>
      <c r="Z675" s="11"/>
      <c r="AA675" s="11"/>
      <c r="AB675" s="11"/>
    </row>
    <row r="676" spans="1:28" ht="14.25" customHeight="1">
      <c r="A676" s="38"/>
      <c r="B676" s="3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41"/>
      <c r="U676" s="11"/>
      <c r="V676" s="11"/>
      <c r="W676" s="11"/>
      <c r="X676" s="11"/>
      <c r="Y676" s="11"/>
      <c r="Z676" s="11"/>
      <c r="AA676" s="11"/>
      <c r="AB676" s="11"/>
    </row>
    <row r="677" spans="1:28" ht="14.25" customHeight="1">
      <c r="A677" s="38"/>
      <c r="B677" s="3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41"/>
      <c r="U677" s="11"/>
      <c r="V677" s="11"/>
      <c r="W677" s="11"/>
      <c r="X677" s="11"/>
      <c r="Y677" s="11"/>
      <c r="Z677" s="11"/>
      <c r="AA677" s="11"/>
      <c r="AB677" s="11"/>
    </row>
    <row r="678" spans="1:28" ht="14.25" customHeight="1">
      <c r="A678" s="38"/>
      <c r="B678" s="3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41"/>
      <c r="U678" s="11"/>
      <c r="V678" s="11"/>
      <c r="W678" s="11"/>
      <c r="X678" s="11"/>
      <c r="Y678" s="11"/>
      <c r="Z678" s="11"/>
      <c r="AA678" s="11"/>
      <c r="AB678" s="11"/>
    </row>
    <row r="679" spans="1:28" ht="14.25" customHeight="1">
      <c r="A679" s="38"/>
      <c r="B679" s="3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41"/>
      <c r="U679" s="11"/>
      <c r="V679" s="11"/>
      <c r="W679" s="11"/>
      <c r="X679" s="11"/>
      <c r="Y679" s="11"/>
      <c r="Z679" s="11"/>
      <c r="AA679" s="11"/>
      <c r="AB679" s="11"/>
    </row>
    <row r="680" spans="1:28" ht="14.25" customHeight="1">
      <c r="A680" s="38"/>
      <c r="B680" s="3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41"/>
      <c r="U680" s="11"/>
      <c r="V680" s="11"/>
      <c r="W680" s="11"/>
      <c r="X680" s="11"/>
      <c r="Y680" s="11"/>
      <c r="Z680" s="11"/>
      <c r="AA680" s="11"/>
      <c r="AB680" s="11"/>
    </row>
    <row r="681" spans="1:28" ht="14.25" customHeight="1">
      <c r="A681" s="38"/>
      <c r="B681" s="3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41"/>
      <c r="U681" s="11"/>
      <c r="V681" s="11"/>
      <c r="W681" s="11"/>
      <c r="X681" s="11"/>
      <c r="Y681" s="11"/>
      <c r="Z681" s="11"/>
      <c r="AA681" s="11"/>
      <c r="AB681" s="11"/>
    </row>
    <row r="682" spans="1:28" ht="14.25" customHeight="1">
      <c r="A682" s="38"/>
      <c r="B682" s="3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41"/>
      <c r="U682" s="11"/>
      <c r="V682" s="11"/>
      <c r="W682" s="11"/>
      <c r="X682" s="11"/>
      <c r="Y682" s="11"/>
      <c r="Z682" s="11"/>
      <c r="AA682" s="11"/>
      <c r="AB682" s="11"/>
    </row>
    <row r="683" spans="1:28" ht="14.25" customHeight="1">
      <c r="A683" s="38"/>
      <c r="B683" s="3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41"/>
      <c r="U683" s="11"/>
      <c r="V683" s="11"/>
      <c r="W683" s="11"/>
      <c r="X683" s="11"/>
      <c r="Y683" s="11"/>
      <c r="Z683" s="11"/>
      <c r="AA683" s="11"/>
      <c r="AB683" s="11"/>
    </row>
    <row r="684" spans="1:28" ht="14.25" customHeight="1">
      <c r="A684" s="38"/>
      <c r="B684" s="3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41"/>
      <c r="U684" s="11"/>
      <c r="V684" s="11"/>
      <c r="W684" s="11"/>
      <c r="X684" s="11"/>
      <c r="Y684" s="11"/>
      <c r="Z684" s="11"/>
      <c r="AA684" s="11"/>
      <c r="AB684" s="11"/>
    </row>
    <row r="685" spans="1:28" ht="14.25" customHeight="1">
      <c r="A685" s="38"/>
      <c r="B685" s="3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41"/>
      <c r="U685" s="11"/>
      <c r="V685" s="11"/>
      <c r="W685" s="11"/>
      <c r="X685" s="11"/>
      <c r="Y685" s="11"/>
      <c r="Z685" s="11"/>
      <c r="AA685" s="11"/>
      <c r="AB685" s="11"/>
    </row>
    <row r="686" spans="1:28" ht="14.25" customHeight="1">
      <c r="A686" s="38"/>
      <c r="B686" s="3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41"/>
      <c r="U686" s="11"/>
      <c r="V686" s="11"/>
      <c r="W686" s="11"/>
      <c r="X686" s="11"/>
      <c r="Y686" s="11"/>
      <c r="Z686" s="11"/>
      <c r="AA686" s="11"/>
      <c r="AB686" s="11"/>
    </row>
    <row r="687" spans="1:28" ht="14.25" customHeight="1">
      <c r="A687" s="38"/>
      <c r="B687" s="3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41"/>
      <c r="U687" s="11"/>
      <c r="V687" s="11"/>
      <c r="W687" s="11"/>
      <c r="X687" s="11"/>
      <c r="Y687" s="11"/>
      <c r="Z687" s="11"/>
      <c r="AA687" s="11"/>
      <c r="AB687" s="11"/>
    </row>
    <row r="688" spans="1:28" ht="14.25" customHeight="1">
      <c r="A688" s="38"/>
      <c r="B688" s="3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41"/>
      <c r="U688" s="11"/>
      <c r="V688" s="11"/>
      <c r="W688" s="11"/>
      <c r="X688" s="11"/>
      <c r="Y688" s="11"/>
      <c r="Z688" s="11"/>
      <c r="AA688" s="11"/>
      <c r="AB688" s="11"/>
    </row>
    <row r="689" spans="1:28" ht="14.25" customHeight="1">
      <c r="A689" s="38"/>
      <c r="B689" s="3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41"/>
      <c r="U689" s="11"/>
      <c r="V689" s="11"/>
      <c r="W689" s="11"/>
      <c r="X689" s="11"/>
      <c r="Y689" s="11"/>
      <c r="Z689" s="11"/>
      <c r="AA689" s="11"/>
      <c r="AB689" s="11"/>
    </row>
    <row r="690" spans="1:28" ht="14.25" customHeight="1">
      <c r="A690" s="38"/>
      <c r="B690" s="3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41"/>
      <c r="U690" s="11"/>
      <c r="V690" s="11"/>
      <c r="W690" s="11"/>
      <c r="X690" s="11"/>
      <c r="Y690" s="11"/>
      <c r="Z690" s="11"/>
      <c r="AA690" s="11"/>
      <c r="AB690" s="11"/>
    </row>
    <row r="691" spans="1:28" ht="14.25" customHeight="1">
      <c r="A691" s="38"/>
      <c r="B691" s="3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41"/>
      <c r="U691" s="11"/>
      <c r="V691" s="11"/>
      <c r="W691" s="11"/>
      <c r="X691" s="11"/>
      <c r="Y691" s="11"/>
      <c r="Z691" s="11"/>
      <c r="AA691" s="11"/>
      <c r="AB691" s="11"/>
    </row>
    <row r="692" spans="1:28" ht="14.25" customHeight="1">
      <c r="A692" s="38"/>
      <c r="B692" s="3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41"/>
      <c r="U692" s="11"/>
      <c r="V692" s="11"/>
      <c r="W692" s="11"/>
      <c r="X692" s="11"/>
      <c r="Y692" s="11"/>
      <c r="Z692" s="11"/>
      <c r="AA692" s="11"/>
      <c r="AB692" s="11"/>
    </row>
    <row r="693" spans="1:28" ht="14.25" customHeight="1">
      <c r="A693" s="38"/>
      <c r="B693" s="3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41"/>
      <c r="U693" s="11"/>
      <c r="V693" s="11"/>
      <c r="W693" s="11"/>
      <c r="X693" s="11"/>
      <c r="Y693" s="11"/>
      <c r="Z693" s="11"/>
      <c r="AA693" s="11"/>
      <c r="AB693" s="11"/>
    </row>
    <row r="694" spans="1:28" ht="14.25" customHeight="1">
      <c r="A694" s="38"/>
      <c r="B694" s="3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41"/>
      <c r="U694" s="11"/>
      <c r="V694" s="11"/>
      <c r="W694" s="11"/>
      <c r="X694" s="11"/>
      <c r="Y694" s="11"/>
      <c r="Z694" s="11"/>
      <c r="AA694" s="11"/>
      <c r="AB694" s="11"/>
    </row>
    <row r="695" spans="1:28" ht="14.25" customHeight="1">
      <c r="A695" s="38"/>
      <c r="B695" s="3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41"/>
      <c r="U695" s="11"/>
      <c r="V695" s="11"/>
      <c r="W695" s="11"/>
      <c r="X695" s="11"/>
      <c r="Y695" s="11"/>
      <c r="Z695" s="11"/>
      <c r="AA695" s="11"/>
      <c r="AB695" s="11"/>
    </row>
    <row r="696" spans="1:28" ht="14.25" customHeight="1">
      <c r="A696" s="38"/>
      <c r="B696" s="3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41"/>
      <c r="U696" s="11"/>
      <c r="V696" s="11"/>
      <c r="W696" s="11"/>
      <c r="X696" s="11"/>
      <c r="Y696" s="11"/>
      <c r="Z696" s="11"/>
      <c r="AA696" s="11"/>
      <c r="AB696" s="11"/>
    </row>
    <row r="697" spans="1:28" ht="14.25" customHeight="1">
      <c r="A697" s="38"/>
      <c r="B697" s="3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41"/>
      <c r="U697" s="11"/>
      <c r="V697" s="11"/>
      <c r="W697" s="11"/>
      <c r="X697" s="11"/>
      <c r="Y697" s="11"/>
      <c r="Z697" s="11"/>
      <c r="AA697" s="11"/>
      <c r="AB697" s="11"/>
    </row>
    <row r="698" spans="1:28" ht="14.25" customHeight="1">
      <c r="A698" s="38"/>
      <c r="B698" s="3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41"/>
      <c r="U698" s="11"/>
      <c r="V698" s="11"/>
      <c r="W698" s="11"/>
      <c r="X698" s="11"/>
      <c r="Y698" s="11"/>
      <c r="Z698" s="11"/>
      <c r="AA698" s="11"/>
      <c r="AB698" s="11"/>
    </row>
    <row r="699" spans="1:28" ht="14.25" customHeight="1">
      <c r="A699" s="38"/>
      <c r="B699" s="3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41"/>
      <c r="U699" s="11"/>
      <c r="V699" s="11"/>
      <c r="W699" s="11"/>
      <c r="X699" s="11"/>
      <c r="Y699" s="11"/>
      <c r="Z699" s="11"/>
      <c r="AA699" s="11"/>
      <c r="AB699" s="11"/>
    </row>
    <row r="700" spans="1:28" ht="14.25" customHeight="1">
      <c r="A700" s="38"/>
      <c r="B700" s="3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41"/>
      <c r="U700" s="11"/>
      <c r="V700" s="11"/>
      <c r="W700" s="11"/>
      <c r="X700" s="11"/>
      <c r="Y700" s="11"/>
      <c r="Z700" s="11"/>
      <c r="AA700" s="11"/>
      <c r="AB700" s="11"/>
    </row>
    <row r="701" spans="1:28" ht="14.25" customHeight="1">
      <c r="A701" s="38"/>
      <c r="B701" s="3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41"/>
      <c r="U701" s="11"/>
      <c r="V701" s="11"/>
      <c r="W701" s="11"/>
      <c r="X701" s="11"/>
      <c r="Y701" s="11"/>
      <c r="Z701" s="11"/>
      <c r="AA701" s="11"/>
      <c r="AB701" s="11"/>
    </row>
    <row r="702" spans="1:28" ht="14.25" customHeight="1">
      <c r="A702" s="38"/>
      <c r="B702" s="3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41"/>
      <c r="U702" s="11"/>
      <c r="V702" s="11"/>
      <c r="W702" s="11"/>
      <c r="X702" s="11"/>
      <c r="Y702" s="11"/>
      <c r="Z702" s="11"/>
      <c r="AA702" s="11"/>
      <c r="AB702" s="11"/>
    </row>
    <row r="703" spans="1:28" ht="14.25" customHeight="1">
      <c r="A703" s="38"/>
      <c r="B703" s="3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41"/>
      <c r="U703" s="11"/>
      <c r="V703" s="11"/>
      <c r="W703" s="11"/>
      <c r="X703" s="11"/>
      <c r="Y703" s="11"/>
      <c r="Z703" s="11"/>
      <c r="AA703" s="11"/>
      <c r="AB703" s="11"/>
    </row>
    <row r="704" spans="1:28" ht="14.25" customHeight="1">
      <c r="A704" s="38"/>
      <c r="B704" s="3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41"/>
      <c r="U704" s="11"/>
      <c r="V704" s="11"/>
      <c r="W704" s="11"/>
      <c r="X704" s="11"/>
      <c r="Y704" s="11"/>
      <c r="Z704" s="11"/>
      <c r="AA704" s="11"/>
      <c r="AB704" s="11"/>
    </row>
    <row r="705" spans="1:28" ht="14.25" customHeight="1">
      <c r="A705" s="38"/>
      <c r="B705" s="3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41"/>
      <c r="U705" s="11"/>
      <c r="V705" s="11"/>
      <c r="W705" s="11"/>
      <c r="X705" s="11"/>
      <c r="Y705" s="11"/>
      <c r="Z705" s="11"/>
      <c r="AA705" s="11"/>
      <c r="AB705" s="11"/>
    </row>
    <row r="706" spans="1:28" ht="14.25" customHeight="1">
      <c r="A706" s="38"/>
      <c r="B706" s="3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41"/>
      <c r="U706" s="11"/>
      <c r="V706" s="11"/>
      <c r="W706" s="11"/>
      <c r="X706" s="11"/>
      <c r="Y706" s="11"/>
      <c r="Z706" s="11"/>
      <c r="AA706" s="11"/>
      <c r="AB706" s="11"/>
    </row>
    <row r="707" spans="1:28" ht="14.25" customHeight="1">
      <c r="A707" s="38"/>
      <c r="B707" s="3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41"/>
      <c r="U707" s="11"/>
      <c r="V707" s="11"/>
      <c r="W707" s="11"/>
      <c r="X707" s="11"/>
      <c r="Y707" s="11"/>
      <c r="Z707" s="11"/>
      <c r="AA707" s="11"/>
      <c r="AB707" s="11"/>
    </row>
    <row r="708" spans="1:28" ht="14.25" customHeight="1">
      <c r="A708" s="38"/>
      <c r="B708" s="3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41"/>
      <c r="U708" s="11"/>
      <c r="V708" s="11"/>
      <c r="W708" s="11"/>
      <c r="X708" s="11"/>
      <c r="Y708" s="11"/>
      <c r="Z708" s="11"/>
      <c r="AA708" s="11"/>
      <c r="AB708" s="11"/>
    </row>
    <row r="709" spans="1:28" ht="14.25" customHeight="1">
      <c r="A709" s="38"/>
      <c r="B709" s="3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41"/>
      <c r="U709" s="11"/>
      <c r="V709" s="11"/>
      <c r="W709" s="11"/>
      <c r="X709" s="11"/>
      <c r="Y709" s="11"/>
      <c r="Z709" s="11"/>
      <c r="AA709" s="11"/>
      <c r="AB709" s="11"/>
    </row>
    <row r="710" spans="1:28" ht="14.25" customHeight="1">
      <c r="A710" s="38"/>
      <c r="B710" s="3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41"/>
      <c r="U710" s="11"/>
      <c r="V710" s="11"/>
      <c r="W710" s="11"/>
      <c r="X710" s="11"/>
      <c r="Y710" s="11"/>
      <c r="Z710" s="11"/>
      <c r="AA710" s="11"/>
      <c r="AB710" s="11"/>
    </row>
    <row r="711" spans="1:28" ht="14.25" customHeight="1">
      <c r="A711" s="38"/>
      <c r="B711" s="3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41"/>
      <c r="U711" s="11"/>
      <c r="V711" s="11"/>
      <c r="W711" s="11"/>
      <c r="X711" s="11"/>
      <c r="Y711" s="11"/>
      <c r="Z711" s="11"/>
      <c r="AA711" s="11"/>
      <c r="AB711" s="11"/>
    </row>
    <row r="712" spans="1:28" ht="14.25" customHeight="1">
      <c r="A712" s="38"/>
      <c r="B712" s="3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41"/>
      <c r="U712" s="11"/>
      <c r="V712" s="11"/>
      <c r="W712" s="11"/>
      <c r="X712" s="11"/>
      <c r="Y712" s="11"/>
      <c r="Z712" s="11"/>
      <c r="AA712" s="11"/>
      <c r="AB712" s="11"/>
    </row>
    <row r="713" spans="1:28" ht="14.25" customHeight="1">
      <c r="A713" s="38"/>
      <c r="B713" s="3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41"/>
      <c r="U713" s="11"/>
      <c r="V713" s="11"/>
      <c r="W713" s="11"/>
      <c r="X713" s="11"/>
      <c r="Y713" s="11"/>
      <c r="Z713" s="11"/>
      <c r="AA713" s="11"/>
      <c r="AB713" s="11"/>
    </row>
    <row r="714" spans="1:28" ht="14.25" customHeight="1">
      <c r="A714" s="38"/>
      <c r="B714" s="3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41"/>
      <c r="U714" s="11"/>
      <c r="V714" s="11"/>
      <c r="W714" s="11"/>
      <c r="X714" s="11"/>
      <c r="Y714" s="11"/>
      <c r="Z714" s="11"/>
      <c r="AA714" s="11"/>
      <c r="AB714" s="11"/>
    </row>
    <row r="715" spans="1:28" ht="14.25" customHeight="1">
      <c r="A715" s="38"/>
      <c r="B715" s="3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41"/>
      <c r="U715" s="11"/>
      <c r="V715" s="11"/>
      <c r="W715" s="11"/>
      <c r="X715" s="11"/>
      <c r="Y715" s="11"/>
      <c r="Z715" s="11"/>
      <c r="AA715" s="11"/>
      <c r="AB715" s="11"/>
    </row>
    <row r="716" spans="1:28" ht="14.25" customHeight="1">
      <c r="A716" s="38"/>
      <c r="B716" s="3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41"/>
      <c r="U716" s="11"/>
      <c r="V716" s="11"/>
      <c r="W716" s="11"/>
      <c r="X716" s="11"/>
      <c r="Y716" s="11"/>
      <c r="Z716" s="11"/>
      <c r="AA716" s="11"/>
      <c r="AB716" s="11"/>
    </row>
    <row r="717" spans="1:28" ht="14.25" customHeight="1">
      <c r="A717" s="38"/>
      <c r="B717" s="3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41"/>
      <c r="U717" s="11"/>
      <c r="V717" s="11"/>
      <c r="W717" s="11"/>
      <c r="X717" s="11"/>
      <c r="Y717" s="11"/>
      <c r="Z717" s="11"/>
      <c r="AA717" s="11"/>
      <c r="AB717" s="11"/>
    </row>
    <row r="718" spans="1:28" ht="14.25" customHeight="1">
      <c r="A718" s="38"/>
      <c r="B718" s="3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41"/>
      <c r="U718" s="11"/>
      <c r="V718" s="11"/>
      <c r="W718" s="11"/>
      <c r="X718" s="11"/>
      <c r="Y718" s="11"/>
      <c r="Z718" s="11"/>
      <c r="AA718" s="11"/>
      <c r="AB718" s="11"/>
    </row>
    <row r="719" spans="1:28" ht="14.25" customHeight="1">
      <c r="A719" s="38"/>
      <c r="B719" s="3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41"/>
      <c r="U719" s="11"/>
      <c r="V719" s="11"/>
      <c r="W719" s="11"/>
      <c r="X719" s="11"/>
      <c r="Y719" s="11"/>
      <c r="Z719" s="11"/>
      <c r="AA719" s="11"/>
      <c r="AB719" s="11"/>
    </row>
    <row r="720" spans="1:28" ht="14.25" customHeight="1">
      <c r="A720" s="38"/>
      <c r="B720" s="3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41"/>
      <c r="U720" s="11"/>
      <c r="V720" s="11"/>
      <c r="W720" s="11"/>
      <c r="X720" s="11"/>
      <c r="Y720" s="11"/>
      <c r="Z720" s="11"/>
      <c r="AA720" s="11"/>
      <c r="AB720" s="11"/>
    </row>
    <row r="721" spans="1:28" ht="14.25" customHeight="1">
      <c r="A721" s="38"/>
      <c r="B721" s="3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41"/>
      <c r="U721" s="11"/>
      <c r="V721" s="11"/>
      <c r="W721" s="11"/>
      <c r="X721" s="11"/>
      <c r="Y721" s="11"/>
      <c r="Z721" s="11"/>
      <c r="AA721" s="11"/>
      <c r="AB721" s="11"/>
    </row>
    <row r="722" spans="1:28" ht="14.25" customHeight="1">
      <c r="A722" s="38"/>
      <c r="B722" s="3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41"/>
      <c r="U722" s="11"/>
      <c r="V722" s="11"/>
      <c r="W722" s="11"/>
      <c r="X722" s="11"/>
      <c r="Y722" s="11"/>
      <c r="Z722" s="11"/>
      <c r="AA722" s="11"/>
      <c r="AB722" s="11"/>
    </row>
    <row r="723" spans="1:28" ht="14.25" customHeight="1">
      <c r="A723" s="38"/>
      <c r="B723" s="3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41"/>
      <c r="U723" s="11"/>
      <c r="V723" s="11"/>
      <c r="W723" s="11"/>
      <c r="X723" s="11"/>
      <c r="Y723" s="11"/>
      <c r="Z723" s="11"/>
      <c r="AA723" s="11"/>
      <c r="AB723" s="11"/>
    </row>
    <row r="724" spans="1:28" ht="14.25" customHeight="1">
      <c r="A724" s="38"/>
      <c r="B724" s="3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41"/>
      <c r="U724" s="11"/>
      <c r="V724" s="11"/>
      <c r="W724" s="11"/>
      <c r="X724" s="11"/>
      <c r="Y724" s="11"/>
      <c r="Z724" s="11"/>
      <c r="AA724" s="11"/>
      <c r="AB724" s="11"/>
    </row>
    <row r="725" spans="1:28" ht="14.25" customHeight="1">
      <c r="A725" s="38"/>
      <c r="B725" s="3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41"/>
      <c r="U725" s="11"/>
      <c r="V725" s="11"/>
      <c r="W725" s="11"/>
      <c r="X725" s="11"/>
      <c r="Y725" s="11"/>
      <c r="Z725" s="11"/>
      <c r="AA725" s="11"/>
      <c r="AB725" s="11"/>
    </row>
    <row r="726" spans="1:28" ht="14.25" customHeight="1">
      <c r="A726" s="38"/>
      <c r="B726" s="3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41"/>
      <c r="U726" s="11"/>
      <c r="V726" s="11"/>
      <c r="W726" s="11"/>
      <c r="X726" s="11"/>
      <c r="Y726" s="11"/>
      <c r="Z726" s="11"/>
      <c r="AA726" s="11"/>
      <c r="AB726" s="11"/>
    </row>
    <row r="727" spans="1:28" ht="14.25" customHeight="1">
      <c r="A727" s="38"/>
      <c r="B727" s="3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41"/>
      <c r="U727" s="11"/>
      <c r="V727" s="11"/>
      <c r="W727" s="11"/>
      <c r="X727" s="11"/>
      <c r="Y727" s="11"/>
      <c r="Z727" s="11"/>
      <c r="AA727" s="11"/>
      <c r="AB727" s="11"/>
    </row>
    <row r="728" spans="1:28" ht="14.25" customHeight="1">
      <c r="A728" s="38"/>
      <c r="B728" s="3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41"/>
      <c r="U728" s="11"/>
      <c r="V728" s="11"/>
      <c r="W728" s="11"/>
      <c r="X728" s="11"/>
      <c r="Y728" s="11"/>
      <c r="Z728" s="11"/>
      <c r="AA728" s="11"/>
      <c r="AB728" s="11"/>
    </row>
    <row r="729" spans="1:28" ht="14.25" customHeight="1">
      <c r="A729" s="38"/>
      <c r="B729" s="3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41"/>
      <c r="U729" s="11"/>
      <c r="V729" s="11"/>
      <c r="W729" s="11"/>
      <c r="X729" s="11"/>
      <c r="Y729" s="11"/>
      <c r="Z729" s="11"/>
      <c r="AA729" s="11"/>
      <c r="AB729" s="11"/>
    </row>
    <row r="730" spans="1:28" ht="14.25" customHeight="1">
      <c r="A730" s="38"/>
      <c r="B730" s="3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41"/>
      <c r="U730" s="11"/>
      <c r="V730" s="11"/>
      <c r="W730" s="11"/>
      <c r="X730" s="11"/>
      <c r="Y730" s="11"/>
      <c r="Z730" s="11"/>
      <c r="AA730" s="11"/>
      <c r="AB730" s="11"/>
    </row>
    <row r="731" spans="1:28" ht="14.25" customHeight="1">
      <c r="A731" s="38"/>
      <c r="B731" s="3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41"/>
      <c r="U731" s="11"/>
      <c r="V731" s="11"/>
      <c r="W731" s="11"/>
      <c r="X731" s="11"/>
      <c r="Y731" s="11"/>
      <c r="Z731" s="11"/>
      <c r="AA731" s="11"/>
      <c r="AB731" s="11"/>
    </row>
    <row r="732" spans="1:28" ht="14.25" customHeight="1">
      <c r="A732" s="38"/>
      <c r="B732" s="3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41"/>
      <c r="U732" s="11"/>
      <c r="V732" s="11"/>
      <c r="W732" s="11"/>
      <c r="X732" s="11"/>
      <c r="Y732" s="11"/>
      <c r="Z732" s="11"/>
      <c r="AA732" s="11"/>
      <c r="AB732" s="11"/>
    </row>
    <row r="733" spans="1:28" ht="14.25" customHeight="1">
      <c r="A733" s="38"/>
      <c r="B733" s="3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41"/>
      <c r="U733" s="11"/>
      <c r="V733" s="11"/>
      <c r="W733" s="11"/>
      <c r="X733" s="11"/>
      <c r="Y733" s="11"/>
      <c r="Z733" s="11"/>
      <c r="AA733" s="11"/>
      <c r="AB733" s="11"/>
    </row>
    <row r="734" spans="1:28" ht="14.25" customHeight="1">
      <c r="A734" s="38"/>
      <c r="B734" s="3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41"/>
      <c r="U734" s="11"/>
      <c r="V734" s="11"/>
      <c r="W734" s="11"/>
      <c r="X734" s="11"/>
      <c r="Y734" s="11"/>
      <c r="Z734" s="11"/>
      <c r="AA734" s="11"/>
      <c r="AB734" s="11"/>
    </row>
    <row r="735" spans="1:28" ht="14.25" customHeight="1">
      <c r="A735" s="38"/>
      <c r="B735" s="3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41"/>
      <c r="U735" s="11"/>
      <c r="V735" s="11"/>
      <c r="W735" s="11"/>
      <c r="X735" s="11"/>
      <c r="Y735" s="11"/>
      <c r="Z735" s="11"/>
      <c r="AA735" s="11"/>
      <c r="AB735" s="11"/>
    </row>
    <row r="736" spans="1:28" ht="14.25" customHeight="1">
      <c r="A736" s="38"/>
      <c r="B736" s="3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41"/>
      <c r="U736" s="11"/>
      <c r="V736" s="11"/>
      <c r="W736" s="11"/>
      <c r="X736" s="11"/>
      <c r="Y736" s="11"/>
      <c r="Z736" s="11"/>
      <c r="AA736" s="11"/>
      <c r="AB736" s="11"/>
    </row>
    <row r="737" spans="1:28" ht="14.25" customHeight="1">
      <c r="A737" s="38"/>
      <c r="B737" s="3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41"/>
      <c r="U737" s="11"/>
      <c r="V737" s="11"/>
      <c r="W737" s="11"/>
      <c r="X737" s="11"/>
      <c r="Y737" s="11"/>
      <c r="Z737" s="11"/>
      <c r="AA737" s="11"/>
      <c r="AB737" s="11"/>
    </row>
    <row r="738" spans="1:28" ht="14.25" customHeight="1">
      <c r="A738" s="38"/>
      <c r="B738" s="3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41"/>
      <c r="U738" s="11"/>
      <c r="V738" s="11"/>
      <c r="W738" s="11"/>
      <c r="X738" s="11"/>
      <c r="Y738" s="11"/>
      <c r="Z738" s="11"/>
      <c r="AA738" s="11"/>
      <c r="AB738" s="11"/>
    </row>
    <row r="739" spans="1:28" ht="14.25" customHeight="1">
      <c r="A739" s="38"/>
      <c r="B739" s="3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41"/>
      <c r="U739" s="11"/>
      <c r="V739" s="11"/>
      <c r="W739" s="11"/>
      <c r="X739" s="11"/>
      <c r="Y739" s="11"/>
      <c r="Z739" s="11"/>
      <c r="AA739" s="11"/>
      <c r="AB739" s="11"/>
    </row>
    <row r="740" spans="1:28" ht="14.25" customHeight="1">
      <c r="A740" s="38"/>
      <c r="B740" s="3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41"/>
      <c r="U740" s="11"/>
      <c r="V740" s="11"/>
      <c r="W740" s="11"/>
      <c r="X740" s="11"/>
      <c r="Y740" s="11"/>
      <c r="Z740" s="11"/>
      <c r="AA740" s="11"/>
      <c r="AB740" s="11"/>
    </row>
    <row r="741" spans="1:28" ht="14.25" customHeight="1">
      <c r="A741" s="38"/>
      <c r="B741" s="3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41"/>
      <c r="U741" s="11"/>
      <c r="V741" s="11"/>
      <c r="W741" s="11"/>
      <c r="X741" s="11"/>
      <c r="Y741" s="11"/>
      <c r="Z741" s="11"/>
      <c r="AA741" s="11"/>
      <c r="AB741" s="11"/>
    </row>
    <row r="742" spans="1:28" ht="14.25" customHeight="1">
      <c r="A742" s="38"/>
      <c r="B742" s="3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41"/>
      <c r="U742" s="11"/>
      <c r="V742" s="11"/>
      <c r="W742" s="11"/>
      <c r="X742" s="11"/>
      <c r="Y742" s="11"/>
      <c r="Z742" s="11"/>
      <c r="AA742" s="11"/>
      <c r="AB742" s="11"/>
    </row>
    <row r="743" spans="1:28" ht="14.25" customHeight="1">
      <c r="A743" s="38"/>
      <c r="B743" s="3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41"/>
      <c r="U743" s="11"/>
      <c r="V743" s="11"/>
      <c r="W743" s="11"/>
      <c r="X743" s="11"/>
      <c r="Y743" s="11"/>
      <c r="Z743" s="11"/>
      <c r="AA743" s="11"/>
      <c r="AB743" s="11"/>
    </row>
    <row r="744" spans="1:28" ht="14.25" customHeight="1">
      <c r="A744" s="38"/>
      <c r="B744" s="3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41"/>
      <c r="U744" s="11"/>
      <c r="V744" s="11"/>
      <c r="W744" s="11"/>
      <c r="X744" s="11"/>
      <c r="Y744" s="11"/>
      <c r="Z744" s="11"/>
      <c r="AA744" s="11"/>
      <c r="AB744" s="11"/>
    </row>
    <row r="745" spans="1:28" ht="14.25" customHeight="1">
      <c r="A745" s="38"/>
      <c r="B745" s="3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41"/>
      <c r="U745" s="11"/>
      <c r="V745" s="11"/>
      <c r="W745" s="11"/>
      <c r="X745" s="11"/>
      <c r="Y745" s="11"/>
      <c r="Z745" s="11"/>
      <c r="AA745" s="11"/>
      <c r="AB745" s="11"/>
    </row>
    <row r="746" spans="1:28" ht="14.25" customHeight="1">
      <c r="A746" s="38"/>
      <c r="B746" s="3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41"/>
      <c r="U746" s="11"/>
      <c r="V746" s="11"/>
      <c r="W746" s="11"/>
      <c r="X746" s="11"/>
      <c r="Y746" s="11"/>
      <c r="Z746" s="11"/>
      <c r="AA746" s="11"/>
      <c r="AB746" s="11"/>
    </row>
    <row r="747" spans="1:28" ht="14.25" customHeight="1">
      <c r="A747" s="38"/>
      <c r="B747" s="3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41"/>
      <c r="U747" s="11"/>
      <c r="V747" s="11"/>
      <c r="W747" s="11"/>
      <c r="X747" s="11"/>
      <c r="Y747" s="11"/>
      <c r="Z747" s="11"/>
      <c r="AA747" s="11"/>
      <c r="AB747" s="11"/>
    </row>
    <row r="748" spans="1:28" ht="14.25" customHeight="1">
      <c r="A748" s="38"/>
      <c r="B748" s="3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41"/>
      <c r="U748" s="11"/>
      <c r="V748" s="11"/>
      <c r="W748" s="11"/>
      <c r="X748" s="11"/>
      <c r="Y748" s="11"/>
      <c r="Z748" s="11"/>
      <c r="AA748" s="11"/>
      <c r="AB748" s="11"/>
    </row>
    <row r="749" spans="1:28" ht="14.25" customHeight="1">
      <c r="A749" s="38"/>
      <c r="B749" s="3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41"/>
      <c r="U749" s="11"/>
      <c r="V749" s="11"/>
      <c r="W749" s="11"/>
      <c r="X749" s="11"/>
      <c r="Y749" s="11"/>
      <c r="Z749" s="11"/>
      <c r="AA749" s="11"/>
      <c r="AB749" s="11"/>
    </row>
    <row r="750" spans="1:28" ht="14.25" customHeight="1">
      <c r="A750" s="38"/>
      <c r="B750" s="3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41"/>
      <c r="U750" s="11"/>
      <c r="V750" s="11"/>
      <c r="W750" s="11"/>
      <c r="X750" s="11"/>
      <c r="Y750" s="11"/>
      <c r="Z750" s="11"/>
      <c r="AA750" s="11"/>
      <c r="AB750" s="11"/>
    </row>
    <row r="751" spans="1:28" ht="14.25" customHeight="1">
      <c r="A751" s="38"/>
      <c r="B751" s="3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41"/>
      <c r="U751" s="11"/>
      <c r="V751" s="11"/>
      <c r="W751" s="11"/>
      <c r="X751" s="11"/>
      <c r="Y751" s="11"/>
      <c r="Z751" s="11"/>
      <c r="AA751" s="11"/>
      <c r="AB751" s="11"/>
    </row>
    <row r="752" spans="1:28" ht="14.25" customHeight="1">
      <c r="A752" s="38"/>
      <c r="B752" s="3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41"/>
      <c r="U752" s="11"/>
      <c r="V752" s="11"/>
      <c r="W752" s="11"/>
      <c r="X752" s="11"/>
      <c r="Y752" s="11"/>
      <c r="Z752" s="11"/>
      <c r="AA752" s="11"/>
      <c r="AB752" s="11"/>
    </row>
    <row r="753" spans="1:28" ht="14.25" customHeight="1">
      <c r="A753" s="38"/>
      <c r="B753" s="3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41"/>
      <c r="U753" s="11"/>
      <c r="V753" s="11"/>
      <c r="W753" s="11"/>
      <c r="X753" s="11"/>
      <c r="Y753" s="11"/>
      <c r="Z753" s="11"/>
      <c r="AA753" s="11"/>
      <c r="AB753" s="11"/>
    </row>
    <row r="754" spans="1:28" ht="14.25" customHeight="1">
      <c r="A754" s="38"/>
      <c r="B754" s="3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41"/>
      <c r="U754" s="11"/>
      <c r="V754" s="11"/>
      <c r="W754" s="11"/>
      <c r="X754" s="11"/>
      <c r="Y754" s="11"/>
      <c r="Z754" s="11"/>
      <c r="AA754" s="11"/>
      <c r="AB754" s="11"/>
    </row>
    <row r="755" spans="1:28" ht="14.25" customHeight="1">
      <c r="A755" s="38"/>
      <c r="B755" s="3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41"/>
      <c r="U755" s="11"/>
      <c r="V755" s="11"/>
      <c r="W755" s="11"/>
      <c r="X755" s="11"/>
      <c r="Y755" s="11"/>
      <c r="Z755" s="11"/>
      <c r="AA755" s="11"/>
      <c r="AB755" s="11"/>
    </row>
    <row r="756" spans="1:28" ht="14.25" customHeight="1">
      <c r="A756" s="38"/>
      <c r="B756" s="3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41"/>
      <c r="U756" s="11"/>
      <c r="V756" s="11"/>
      <c r="W756" s="11"/>
      <c r="X756" s="11"/>
      <c r="Y756" s="11"/>
      <c r="Z756" s="11"/>
      <c r="AA756" s="11"/>
      <c r="AB756" s="11"/>
    </row>
    <row r="757" spans="1:28" ht="14.25" customHeight="1">
      <c r="A757" s="38"/>
      <c r="B757" s="3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41"/>
      <c r="U757" s="11"/>
      <c r="V757" s="11"/>
      <c r="W757" s="11"/>
      <c r="X757" s="11"/>
      <c r="Y757" s="11"/>
      <c r="Z757" s="11"/>
      <c r="AA757" s="11"/>
      <c r="AB757" s="11"/>
    </row>
    <row r="758" spans="1:28" ht="14.25" customHeight="1">
      <c r="A758" s="38"/>
      <c r="B758" s="3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41"/>
      <c r="U758" s="11"/>
      <c r="V758" s="11"/>
      <c r="W758" s="11"/>
      <c r="X758" s="11"/>
      <c r="Y758" s="11"/>
      <c r="Z758" s="11"/>
      <c r="AA758" s="11"/>
      <c r="AB758" s="11"/>
    </row>
    <row r="759" spans="1:28" ht="14.25" customHeight="1">
      <c r="A759" s="38"/>
      <c r="B759" s="3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41"/>
      <c r="U759" s="11"/>
      <c r="V759" s="11"/>
      <c r="W759" s="11"/>
      <c r="X759" s="11"/>
      <c r="Y759" s="11"/>
      <c r="Z759" s="11"/>
      <c r="AA759" s="11"/>
      <c r="AB759" s="11"/>
    </row>
    <row r="760" spans="1:28" ht="14.25" customHeight="1">
      <c r="A760" s="38"/>
      <c r="B760" s="3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41"/>
      <c r="U760" s="11"/>
      <c r="V760" s="11"/>
      <c r="W760" s="11"/>
      <c r="X760" s="11"/>
      <c r="Y760" s="11"/>
      <c r="Z760" s="11"/>
      <c r="AA760" s="11"/>
      <c r="AB760" s="11"/>
    </row>
    <row r="761" spans="1:28" ht="14.25" customHeight="1">
      <c r="A761" s="38"/>
      <c r="B761" s="3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41"/>
      <c r="U761" s="11"/>
      <c r="V761" s="11"/>
      <c r="W761" s="11"/>
      <c r="X761" s="11"/>
      <c r="Y761" s="11"/>
      <c r="Z761" s="11"/>
      <c r="AA761" s="11"/>
      <c r="AB761" s="11"/>
    </row>
    <row r="762" spans="1:28" ht="14.25" customHeight="1">
      <c r="A762" s="38"/>
      <c r="B762" s="3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41"/>
      <c r="U762" s="11"/>
      <c r="V762" s="11"/>
      <c r="W762" s="11"/>
      <c r="X762" s="11"/>
      <c r="Y762" s="11"/>
      <c r="Z762" s="11"/>
      <c r="AA762" s="11"/>
      <c r="AB762" s="11"/>
    </row>
    <row r="763" spans="1:28" ht="14.25" customHeight="1">
      <c r="A763" s="38"/>
      <c r="B763" s="3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41"/>
      <c r="U763" s="11"/>
      <c r="V763" s="11"/>
      <c r="W763" s="11"/>
      <c r="X763" s="11"/>
      <c r="Y763" s="11"/>
      <c r="Z763" s="11"/>
      <c r="AA763" s="11"/>
      <c r="AB763" s="11"/>
    </row>
    <row r="764" spans="1:28" ht="14.25" customHeight="1">
      <c r="A764" s="38"/>
      <c r="B764" s="3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41"/>
      <c r="U764" s="11"/>
      <c r="V764" s="11"/>
      <c r="W764" s="11"/>
      <c r="X764" s="11"/>
      <c r="Y764" s="11"/>
      <c r="Z764" s="11"/>
      <c r="AA764" s="11"/>
      <c r="AB764" s="11"/>
    </row>
    <row r="765" spans="1:28" ht="14.25" customHeight="1">
      <c r="A765" s="38"/>
      <c r="B765" s="3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41"/>
      <c r="U765" s="11"/>
      <c r="V765" s="11"/>
      <c r="W765" s="11"/>
      <c r="X765" s="11"/>
      <c r="Y765" s="11"/>
      <c r="Z765" s="11"/>
      <c r="AA765" s="11"/>
      <c r="AB765" s="11"/>
    </row>
    <row r="766" spans="1:28" ht="14.25" customHeight="1">
      <c r="A766" s="38"/>
      <c r="B766" s="3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41"/>
      <c r="U766" s="11"/>
      <c r="V766" s="11"/>
      <c r="W766" s="11"/>
      <c r="X766" s="11"/>
      <c r="Y766" s="11"/>
      <c r="Z766" s="11"/>
      <c r="AA766" s="11"/>
      <c r="AB766" s="11"/>
    </row>
    <row r="767" spans="1:28" ht="14.25" customHeight="1">
      <c r="A767" s="38"/>
      <c r="B767" s="3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41"/>
      <c r="U767" s="11"/>
      <c r="V767" s="11"/>
      <c r="W767" s="11"/>
      <c r="X767" s="11"/>
      <c r="Y767" s="11"/>
      <c r="Z767" s="11"/>
      <c r="AA767" s="11"/>
      <c r="AB767" s="11"/>
    </row>
    <row r="768" spans="1:28" ht="14.25" customHeight="1">
      <c r="A768" s="38"/>
      <c r="B768" s="3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41"/>
      <c r="U768" s="11"/>
      <c r="V768" s="11"/>
      <c r="W768" s="11"/>
      <c r="X768" s="11"/>
      <c r="Y768" s="11"/>
      <c r="Z768" s="11"/>
      <c r="AA768" s="11"/>
      <c r="AB768" s="11"/>
    </row>
    <row r="769" spans="1:28" ht="14.25" customHeight="1">
      <c r="A769" s="38"/>
      <c r="B769" s="3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41"/>
      <c r="U769" s="11"/>
      <c r="V769" s="11"/>
      <c r="W769" s="11"/>
      <c r="X769" s="11"/>
      <c r="Y769" s="11"/>
      <c r="Z769" s="11"/>
      <c r="AA769" s="11"/>
      <c r="AB769" s="11"/>
    </row>
    <row r="770" spans="1:28" ht="14.25" customHeight="1">
      <c r="A770" s="38"/>
      <c r="B770" s="3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41"/>
      <c r="U770" s="11"/>
      <c r="V770" s="11"/>
      <c r="W770" s="11"/>
      <c r="X770" s="11"/>
      <c r="Y770" s="11"/>
      <c r="Z770" s="11"/>
      <c r="AA770" s="11"/>
      <c r="AB770" s="11"/>
    </row>
    <row r="771" spans="1:28" ht="14.25" customHeight="1">
      <c r="A771" s="38"/>
      <c r="B771" s="3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41"/>
      <c r="U771" s="11"/>
      <c r="V771" s="11"/>
      <c r="W771" s="11"/>
      <c r="X771" s="11"/>
      <c r="Y771" s="11"/>
      <c r="Z771" s="11"/>
      <c r="AA771" s="11"/>
      <c r="AB771" s="11"/>
    </row>
    <row r="772" spans="1:28" ht="14.25" customHeight="1">
      <c r="A772" s="38"/>
      <c r="B772" s="3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41"/>
      <c r="U772" s="11"/>
      <c r="V772" s="11"/>
      <c r="W772" s="11"/>
      <c r="X772" s="11"/>
      <c r="Y772" s="11"/>
      <c r="Z772" s="11"/>
      <c r="AA772" s="11"/>
      <c r="AB772" s="11"/>
    </row>
    <row r="773" spans="1:28" ht="14.25" customHeight="1">
      <c r="A773" s="38"/>
      <c r="B773" s="3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41"/>
      <c r="U773" s="11"/>
      <c r="V773" s="11"/>
      <c r="W773" s="11"/>
      <c r="X773" s="11"/>
      <c r="Y773" s="11"/>
      <c r="Z773" s="11"/>
      <c r="AA773" s="11"/>
      <c r="AB773" s="11"/>
    </row>
    <row r="774" spans="1:28" ht="14.25" customHeight="1">
      <c r="A774" s="38"/>
      <c r="B774" s="3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41"/>
      <c r="U774" s="11"/>
      <c r="V774" s="11"/>
      <c r="W774" s="11"/>
      <c r="X774" s="11"/>
      <c r="Y774" s="11"/>
      <c r="Z774" s="11"/>
      <c r="AA774" s="11"/>
      <c r="AB774" s="11"/>
    </row>
    <row r="775" spans="1:28" ht="14.25" customHeight="1">
      <c r="A775" s="38"/>
      <c r="B775" s="3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41"/>
      <c r="U775" s="11"/>
      <c r="V775" s="11"/>
      <c r="W775" s="11"/>
      <c r="X775" s="11"/>
      <c r="Y775" s="11"/>
      <c r="Z775" s="11"/>
      <c r="AA775" s="11"/>
      <c r="AB775" s="11"/>
    </row>
    <row r="776" spans="1:28" ht="14.25" customHeight="1">
      <c r="A776" s="38"/>
      <c r="B776" s="3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41"/>
      <c r="U776" s="11"/>
      <c r="V776" s="11"/>
      <c r="W776" s="11"/>
      <c r="X776" s="11"/>
      <c r="Y776" s="11"/>
      <c r="Z776" s="11"/>
      <c r="AA776" s="11"/>
      <c r="AB776" s="11"/>
    </row>
    <row r="777" spans="1:28" ht="14.25" customHeight="1">
      <c r="A777" s="38"/>
      <c r="B777" s="3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41"/>
      <c r="U777" s="11"/>
      <c r="V777" s="11"/>
      <c r="W777" s="11"/>
      <c r="X777" s="11"/>
      <c r="Y777" s="11"/>
      <c r="Z777" s="11"/>
      <c r="AA777" s="11"/>
      <c r="AB777" s="11"/>
    </row>
    <row r="778" spans="1:28" ht="14.25" customHeight="1">
      <c r="A778" s="38"/>
      <c r="B778" s="3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41"/>
      <c r="U778" s="11"/>
      <c r="V778" s="11"/>
      <c r="W778" s="11"/>
      <c r="X778" s="11"/>
      <c r="Y778" s="11"/>
      <c r="Z778" s="11"/>
      <c r="AA778" s="11"/>
      <c r="AB778" s="11"/>
    </row>
    <row r="779" spans="1:28" ht="14.25" customHeight="1">
      <c r="A779" s="38"/>
      <c r="B779" s="3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41"/>
      <c r="U779" s="11"/>
      <c r="V779" s="11"/>
      <c r="W779" s="11"/>
      <c r="X779" s="11"/>
      <c r="Y779" s="11"/>
      <c r="Z779" s="11"/>
      <c r="AA779" s="11"/>
      <c r="AB779" s="11"/>
    </row>
    <row r="780" spans="1:28" ht="14.25" customHeight="1">
      <c r="A780" s="38"/>
      <c r="B780" s="3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41"/>
      <c r="U780" s="11"/>
      <c r="V780" s="11"/>
      <c r="W780" s="11"/>
      <c r="X780" s="11"/>
      <c r="Y780" s="11"/>
      <c r="Z780" s="11"/>
      <c r="AA780" s="11"/>
      <c r="AB780" s="11"/>
    </row>
    <row r="781" spans="1:28" ht="14.25" customHeight="1">
      <c r="A781" s="38"/>
      <c r="B781" s="3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41"/>
      <c r="U781" s="11"/>
      <c r="V781" s="11"/>
      <c r="W781" s="11"/>
      <c r="X781" s="11"/>
      <c r="Y781" s="11"/>
      <c r="Z781" s="11"/>
      <c r="AA781" s="11"/>
      <c r="AB781" s="11"/>
    </row>
    <row r="782" spans="1:28" ht="14.25" customHeight="1">
      <c r="A782" s="38"/>
      <c r="B782" s="3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41"/>
      <c r="U782" s="11"/>
      <c r="V782" s="11"/>
      <c r="W782" s="11"/>
      <c r="X782" s="11"/>
      <c r="Y782" s="11"/>
      <c r="Z782" s="11"/>
      <c r="AA782" s="11"/>
      <c r="AB782" s="11"/>
    </row>
    <row r="783" spans="1:28" ht="14.25" customHeight="1">
      <c r="A783" s="38"/>
      <c r="B783" s="3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41"/>
      <c r="U783" s="11"/>
      <c r="V783" s="11"/>
      <c r="W783" s="11"/>
      <c r="X783" s="11"/>
      <c r="Y783" s="11"/>
      <c r="Z783" s="11"/>
      <c r="AA783" s="11"/>
      <c r="AB783" s="11"/>
    </row>
    <row r="784" spans="1:28" ht="14.25" customHeight="1">
      <c r="A784" s="38"/>
      <c r="B784" s="3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41"/>
      <c r="U784" s="11"/>
      <c r="V784" s="11"/>
      <c r="W784" s="11"/>
      <c r="X784" s="11"/>
      <c r="Y784" s="11"/>
      <c r="Z784" s="11"/>
      <c r="AA784" s="11"/>
      <c r="AB784" s="11"/>
    </row>
    <row r="785" spans="1:28" ht="14.25" customHeight="1">
      <c r="A785" s="38"/>
      <c r="B785" s="3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41"/>
      <c r="U785" s="11"/>
      <c r="V785" s="11"/>
      <c r="W785" s="11"/>
      <c r="X785" s="11"/>
      <c r="Y785" s="11"/>
      <c r="Z785" s="11"/>
      <c r="AA785" s="11"/>
      <c r="AB785" s="11"/>
    </row>
    <row r="786" spans="1:28" ht="14.25" customHeight="1">
      <c r="A786" s="38"/>
      <c r="B786" s="3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41"/>
      <c r="U786" s="11"/>
      <c r="V786" s="11"/>
      <c r="W786" s="11"/>
      <c r="X786" s="11"/>
      <c r="Y786" s="11"/>
      <c r="Z786" s="11"/>
      <c r="AA786" s="11"/>
      <c r="AB786" s="11"/>
    </row>
    <row r="787" spans="1:28" ht="14.25" customHeight="1">
      <c r="A787" s="38"/>
      <c r="B787" s="3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41"/>
      <c r="U787" s="11"/>
      <c r="V787" s="11"/>
      <c r="W787" s="11"/>
      <c r="X787" s="11"/>
      <c r="Y787" s="11"/>
      <c r="Z787" s="11"/>
      <c r="AA787" s="11"/>
      <c r="AB787" s="11"/>
    </row>
    <row r="788" spans="1:28" ht="14.25" customHeight="1">
      <c r="A788" s="38"/>
      <c r="B788" s="3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41"/>
      <c r="U788" s="11"/>
      <c r="V788" s="11"/>
      <c r="W788" s="11"/>
      <c r="X788" s="11"/>
      <c r="Y788" s="11"/>
      <c r="Z788" s="11"/>
      <c r="AA788" s="11"/>
      <c r="AB788" s="11"/>
    </row>
    <row r="789" spans="1:28" ht="14.25" customHeight="1">
      <c r="A789" s="38"/>
      <c r="B789" s="3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41"/>
      <c r="U789" s="11"/>
      <c r="V789" s="11"/>
      <c r="W789" s="11"/>
      <c r="X789" s="11"/>
      <c r="Y789" s="11"/>
      <c r="Z789" s="11"/>
      <c r="AA789" s="11"/>
      <c r="AB789" s="11"/>
    </row>
    <row r="790" spans="1:28" ht="14.25" customHeight="1">
      <c r="A790" s="38"/>
      <c r="B790" s="3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41"/>
      <c r="U790" s="11"/>
      <c r="V790" s="11"/>
      <c r="W790" s="11"/>
      <c r="X790" s="11"/>
      <c r="Y790" s="11"/>
      <c r="Z790" s="11"/>
      <c r="AA790" s="11"/>
      <c r="AB790" s="11"/>
    </row>
    <row r="791" spans="1:28" ht="14.25" customHeight="1">
      <c r="A791" s="38"/>
      <c r="B791" s="3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41"/>
      <c r="U791" s="11"/>
      <c r="V791" s="11"/>
      <c r="W791" s="11"/>
      <c r="X791" s="11"/>
      <c r="Y791" s="11"/>
      <c r="Z791" s="11"/>
      <c r="AA791" s="11"/>
      <c r="AB791" s="11"/>
    </row>
    <row r="792" spans="1:28" ht="14.25" customHeight="1">
      <c r="A792" s="38"/>
      <c r="B792" s="3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41"/>
      <c r="U792" s="11"/>
      <c r="V792" s="11"/>
      <c r="W792" s="11"/>
      <c r="X792" s="11"/>
      <c r="Y792" s="11"/>
      <c r="Z792" s="11"/>
      <c r="AA792" s="11"/>
      <c r="AB792" s="11"/>
    </row>
    <row r="793" spans="1:28" ht="14.25" customHeight="1">
      <c r="A793" s="38"/>
      <c r="B793" s="3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41"/>
      <c r="U793" s="11"/>
      <c r="V793" s="11"/>
      <c r="W793" s="11"/>
      <c r="X793" s="11"/>
      <c r="Y793" s="11"/>
      <c r="Z793" s="11"/>
      <c r="AA793" s="11"/>
      <c r="AB793" s="11"/>
    </row>
    <row r="794" spans="1:28" ht="14.25" customHeight="1">
      <c r="A794" s="38"/>
      <c r="B794" s="3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41"/>
      <c r="U794" s="11"/>
      <c r="V794" s="11"/>
      <c r="W794" s="11"/>
      <c r="X794" s="11"/>
      <c r="Y794" s="11"/>
      <c r="Z794" s="11"/>
      <c r="AA794" s="11"/>
      <c r="AB794" s="11"/>
    </row>
    <row r="795" spans="1:28" ht="14.25" customHeight="1">
      <c r="A795" s="38"/>
      <c r="B795" s="3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41"/>
      <c r="U795" s="11"/>
      <c r="V795" s="11"/>
      <c r="W795" s="11"/>
      <c r="X795" s="11"/>
      <c r="Y795" s="11"/>
      <c r="Z795" s="11"/>
      <c r="AA795" s="11"/>
      <c r="AB795" s="11"/>
    </row>
    <row r="796" spans="1:28" ht="14.25" customHeight="1">
      <c r="A796" s="38"/>
      <c r="B796" s="3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41"/>
      <c r="U796" s="11"/>
      <c r="V796" s="11"/>
      <c r="W796" s="11"/>
      <c r="X796" s="11"/>
      <c r="Y796" s="11"/>
      <c r="Z796" s="11"/>
      <c r="AA796" s="11"/>
      <c r="AB796" s="11"/>
    </row>
    <row r="797" spans="1:28" ht="14.25" customHeight="1">
      <c r="A797" s="38"/>
      <c r="B797" s="3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41"/>
      <c r="U797" s="11"/>
      <c r="V797" s="11"/>
      <c r="W797" s="11"/>
      <c r="X797" s="11"/>
      <c r="Y797" s="11"/>
      <c r="Z797" s="11"/>
      <c r="AA797" s="11"/>
      <c r="AB797" s="11"/>
    </row>
    <row r="798" spans="1:28" ht="14.25" customHeight="1">
      <c r="A798" s="38"/>
      <c r="B798" s="3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41"/>
      <c r="U798" s="11"/>
      <c r="V798" s="11"/>
      <c r="W798" s="11"/>
      <c r="X798" s="11"/>
      <c r="Y798" s="11"/>
      <c r="Z798" s="11"/>
      <c r="AA798" s="11"/>
      <c r="AB798" s="11"/>
    </row>
    <row r="799" spans="1:28" ht="14.25" customHeight="1">
      <c r="A799" s="38"/>
      <c r="B799" s="3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41"/>
      <c r="U799" s="11"/>
      <c r="V799" s="11"/>
      <c r="W799" s="11"/>
      <c r="X799" s="11"/>
      <c r="Y799" s="11"/>
      <c r="Z799" s="11"/>
      <c r="AA799" s="11"/>
      <c r="AB799" s="11"/>
    </row>
    <row r="800" spans="1:28" ht="14.25" customHeight="1">
      <c r="A800" s="38"/>
      <c r="B800" s="3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41"/>
      <c r="U800" s="11"/>
      <c r="V800" s="11"/>
      <c r="W800" s="11"/>
      <c r="X800" s="11"/>
      <c r="Y800" s="11"/>
      <c r="Z800" s="11"/>
      <c r="AA800" s="11"/>
      <c r="AB800" s="11"/>
    </row>
    <row r="801" spans="1:28" ht="14.25" customHeight="1">
      <c r="A801" s="38"/>
      <c r="B801" s="3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41"/>
      <c r="U801" s="11"/>
      <c r="V801" s="11"/>
      <c r="W801" s="11"/>
      <c r="X801" s="11"/>
      <c r="Y801" s="11"/>
      <c r="Z801" s="11"/>
      <c r="AA801" s="11"/>
      <c r="AB801" s="11"/>
    </row>
    <row r="802" spans="1:28" ht="14.25" customHeight="1">
      <c r="A802" s="38"/>
      <c r="B802" s="3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41"/>
      <c r="U802" s="11"/>
      <c r="V802" s="11"/>
      <c r="W802" s="11"/>
      <c r="X802" s="11"/>
      <c r="Y802" s="11"/>
      <c r="Z802" s="11"/>
      <c r="AA802" s="11"/>
      <c r="AB802" s="11"/>
    </row>
    <row r="803" spans="1:28" ht="14.25" customHeight="1">
      <c r="A803" s="38"/>
      <c r="B803" s="3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41"/>
      <c r="U803" s="11"/>
      <c r="V803" s="11"/>
      <c r="W803" s="11"/>
      <c r="X803" s="11"/>
      <c r="Y803" s="11"/>
      <c r="Z803" s="11"/>
      <c r="AA803" s="11"/>
      <c r="AB803" s="11"/>
    </row>
    <row r="804" spans="1:28" ht="14.25" customHeight="1">
      <c r="A804" s="38"/>
      <c r="B804" s="3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41"/>
      <c r="U804" s="11"/>
      <c r="V804" s="11"/>
      <c r="W804" s="11"/>
      <c r="X804" s="11"/>
      <c r="Y804" s="11"/>
      <c r="Z804" s="11"/>
      <c r="AA804" s="11"/>
      <c r="AB804" s="11"/>
    </row>
    <row r="805" spans="1:28" ht="14.25" customHeight="1">
      <c r="A805" s="38"/>
      <c r="B805" s="3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41"/>
      <c r="U805" s="11"/>
      <c r="V805" s="11"/>
      <c r="W805" s="11"/>
      <c r="X805" s="11"/>
      <c r="Y805" s="11"/>
      <c r="Z805" s="11"/>
      <c r="AA805" s="11"/>
      <c r="AB805" s="11"/>
    </row>
    <row r="806" spans="1:28" ht="14.25" customHeight="1">
      <c r="A806" s="38"/>
      <c r="B806" s="3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41"/>
      <c r="U806" s="11"/>
      <c r="V806" s="11"/>
      <c r="W806" s="11"/>
      <c r="X806" s="11"/>
      <c r="Y806" s="11"/>
      <c r="Z806" s="11"/>
      <c r="AA806" s="11"/>
      <c r="AB806" s="11"/>
    </row>
    <row r="807" spans="1:28" ht="14.25" customHeight="1">
      <c r="A807" s="38"/>
      <c r="B807" s="3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41"/>
      <c r="U807" s="11"/>
      <c r="V807" s="11"/>
      <c r="W807" s="11"/>
      <c r="X807" s="11"/>
      <c r="Y807" s="11"/>
      <c r="Z807" s="11"/>
      <c r="AA807" s="11"/>
      <c r="AB807" s="11"/>
    </row>
    <row r="808" spans="1:28" ht="14.25" customHeight="1">
      <c r="A808" s="38"/>
      <c r="B808" s="3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41"/>
      <c r="U808" s="11"/>
      <c r="V808" s="11"/>
      <c r="W808" s="11"/>
      <c r="X808" s="11"/>
      <c r="Y808" s="11"/>
      <c r="Z808" s="11"/>
      <c r="AA808" s="11"/>
      <c r="AB808" s="11"/>
    </row>
    <row r="809" spans="1:28" ht="14.25" customHeight="1">
      <c r="A809" s="38"/>
      <c r="B809" s="3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41"/>
      <c r="U809" s="11"/>
      <c r="V809" s="11"/>
      <c r="W809" s="11"/>
      <c r="X809" s="11"/>
      <c r="Y809" s="11"/>
      <c r="Z809" s="11"/>
      <c r="AA809" s="11"/>
      <c r="AB809" s="11"/>
    </row>
    <row r="810" spans="1:28" ht="14.25" customHeight="1">
      <c r="A810" s="38"/>
      <c r="B810" s="3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41"/>
      <c r="U810" s="11"/>
      <c r="V810" s="11"/>
      <c r="W810" s="11"/>
      <c r="X810" s="11"/>
      <c r="Y810" s="11"/>
      <c r="Z810" s="11"/>
      <c r="AA810" s="11"/>
      <c r="AB810" s="11"/>
    </row>
    <row r="811" spans="1:28" ht="14.25" customHeight="1">
      <c r="A811" s="38"/>
      <c r="B811" s="3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41"/>
      <c r="U811" s="11"/>
      <c r="V811" s="11"/>
      <c r="W811" s="11"/>
      <c r="X811" s="11"/>
      <c r="Y811" s="11"/>
      <c r="Z811" s="11"/>
      <c r="AA811" s="11"/>
      <c r="AB811" s="11"/>
    </row>
    <row r="812" spans="1:28" ht="14.25" customHeight="1">
      <c r="A812" s="38"/>
      <c r="B812" s="3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41"/>
      <c r="U812" s="11"/>
      <c r="V812" s="11"/>
      <c r="W812" s="11"/>
      <c r="X812" s="11"/>
      <c r="Y812" s="11"/>
      <c r="Z812" s="11"/>
      <c r="AA812" s="11"/>
      <c r="AB812" s="11"/>
    </row>
    <row r="813" spans="1:28" ht="14.25" customHeight="1">
      <c r="A813" s="38"/>
      <c r="B813" s="3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41"/>
      <c r="U813" s="11"/>
      <c r="V813" s="11"/>
      <c r="W813" s="11"/>
      <c r="X813" s="11"/>
      <c r="Y813" s="11"/>
      <c r="Z813" s="11"/>
      <c r="AA813" s="11"/>
      <c r="AB813" s="11"/>
    </row>
    <row r="814" spans="1:28" ht="14.25" customHeight="1">
      <c r="A814" s="38"/>
      <c r="B814" s="3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41"/>
      <c r="U814" s="11"/>
      <c r="V814" s="11"/>
      <c r="W814" s="11"/>
      <c r="X814" s="11"/>
      <c r="Y814" s="11"/>
      <c r="Z814" s="11"/>
      <c r="AA814" s="11"/>
      <c r="AB814" s="11"/>
    </row>
    <row r="815" spans="1:28" ht="14.25" customHeight="1">
      <c r="A815" s="38"/>
      <c r="B815" s="3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41"/>
      <c r="U815" s="11"/>
      <c r="V815" s="11"/>
      <c r="W815" s="11"/>
      <c r="X815" s="11"/>
      <c r="Y815" s="11"/>
      <c r="Z815" s="11"/>
      <c r="AA815" s="11"/>
      <c r="AB815" s="11"/>
    </row>
    <row r="816" spans="1:28" ht="14.25" customHeight="1">
      <c r="A816" s="38"/>
      <c r="B816" s="3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41"/>
      <c r="U816" s="11"/>
      <c r="V816" s="11"/>
      <c r="W816" s="11"/>
      <c r="X816" s="11"/>
      <c r="Y816" s="11"/>
      <c r="Z816" s="11"/>
      <c r="AA816" s="11"/>
      <c r="AB816" s="11"/>
    </row>
    <row r="817" spans="1:28" ht="14.25" customHeight="1">
      <c r="A817" s="38"/>
      <c r="B817" s="3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41"/>
      <c r="U817" s="11"/>
      <c r="V817" s="11"/>
      <c r="W817" s="11"/>
      <c r="X817" s="11"/>
      <c r="Y817" s="11"/>
      <c r="Z817" s="11"/>
      <c r="AA817" s="11"/>
      <c r="AB817" s="11"/>
    </row>
    <row r="818" spans="1:28" ht="14.25" customHeight="1">
      <c r="A818" s="38"/>
      <c r="B818" s="3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41"/>
      <c r="U818" s="11"/>
      <c r="V818" s="11"/>
      <c r="W818" s="11"/>
      <c r="X818" s="11"/>
      <c r="Y818" s="11"/>
      <c r="Z818" s="11"/>
      <c r="AA818" s="11"/>
      <c r="AB818" s="11"/>
    </row>
    <row r="819" spans="1:28" ht="14.25" customHeight="1">
      <c r="A819" s="38"/>
      <c r="B819" s="3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41"/>
      <c r="U819" s="11"/>
      <c r="V819" s="11"/>
      <c r="W819" s="11"/>
      <c r="X819" s="11"/>
      <c r="Y819" s="11"/>
      <c r="Z819" s="11"/>
      <c r="AA819" s="11"/>
      <c r="AB819" s="11"/>
    </row>
    <row r="820" spans="1:28" ht="14.25" customHeight="1">
      <c r="A820" s="38"/>
      <c r="B820" s="3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41"/>
      <c r="U820" s="11"/>
      <c r="V820" s="11"/>
      <c r="W820" s="11"/>
      <c r="X820" s="11"/>
      <c r="Y820" s="11"/>
      <c r="Z820" s="11"/>
      <c r="AA820" s="11"/>
      <c r="AB820" s="11"/>
    </row>
    <row r="821" spans="1:28" ht="14.25" customHeight="1">
      <c r="A821" s="38"/>
      <c r="B821" s="3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41"/>
      <c r="U821" s="11"/>
      <c r="V821" s="11"/>
      <c r="W821" s="11"/>
      <c r="X821" s="11"/>
      <c r="Y821" s="11"/>
      <c r="Z821" s="11"/>
      <c r="AA821" s="11"/>
      <c r="AB821" s="11"/>
    </row>
    <row r="822" spans="1:28" ht="14.25" customHeight="1">
      <c r="A822" s="38"/>
      <c r="B822" s="3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41"/>
      <c r="U822" s="11"/>
      <c r="V822" s="11"/>
      <c r="W822" s="11"/>
      <c r="X822" s="11"/>
      <c r="Y822" s="11"/>
      <c r="Z822" s="11"/>
      <c r="AA822" s="11"/>
      <c r="AB822" s="11"/>
    </row>
    <row r="823" spans="1:28" ht="14.25" customHeight="1">
      <c r="A823" s="38"/>
      <c r="B823" s="3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41"/>
      <c r="U823" s="11"/>
      <c r="V823" s="11"/>
      <c r="W823" s="11"/>
      <c r="X823" s="11"/>
      <c r="Y823" s="11"/>
      <c r="Z823" s="11"/>
      <c r="AA823" s="11"/>
      <c r="AB823" s="11"/>
    </row>
    <row r="824" spans="1:28" ht="14.25" customHeight="1">
      <c r="A824" s="38"/>
      <c r="B824" s="3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41"/>
      <c r="U824" s="11"/>
      <c r="V824" s="11"/>
      <c r="W824" s="11"/>
      <c r="X824" s="11"/>
      <c r="Y824" s="11"/>
      <c r="Z824" s="11"/>
      <c r="AA824" s="11"/>
      <c r="AB824" s="11"/>
    </row>
    <row r="825" spans="1:28" ht="14.25" customHeight="1">
      <c r="A825" s="38"/>
      <c r="B825" s="3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41"/>
      <c r="U825" s="11"/>
      <c r="V825" s="11"/>
      <c r="W825" s="11"/>
      <c r="X825" s="11"/>
      <c r="Y825" s="11"/>
      <c r="Z825" s="11"/>
      <c r="AA825" s="11"/>
      <c r="AB825" s="11"/>
    </row>
    <row r="826" spans="1:28" ht="14.25" customHeight="1">
      <c r="A826" s="38"/>
      <c r="B826" s="3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41"/>
      <c r="U826" s="11"/>
      <c r="V826" s="11"/>
      <c r="W826" s="11"/>
      <c r="X826" s="11"/>
      <c r="Y826" s="11"/>
      <c r="Z826" s="11"/>
      <c r="AA826" s="11"/>
      <c r="AB826" s="11"/>
    </row>
    <row r="827" spans="1:28" ht="14.25" customHeight="1">
      <c r="A827" s="38"/>
      <c r="B827" s="3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41"/>
      <c r="U827" s="11"/>
      <c r="V827" s="11"/>
      <c r="W827" s="11"/>
      <c r="X827" s="11"/>
      <c r="Y827" s="11"/>
      <c r="Z827" s="11"/>
      <c r="AA827" s="11"/>
      <c r="AB827" s="11"/>
    </row>
    <row r="828" spans="1:28" ht="14.25" customHeight="1">
      <c r="A828" s="38"/>
      <c r="B828" s="3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41"/>
      <c r="U828" s="11"/>
      <c r="V828" s="11"/>
      <c r="W828" s="11"/>
      <c r="X828" s="11"/>
      <c r="Y828" s="11"/>
      <c r="Z828" s="11"/>
      <c r="AA828" s="11"/>
      <c r="AB828" s="11"/>
    </row>
    <row r="829" spans="1:28" ht="14.25" customHeight="1">
      <c r="A829" s="38"/>
      <c r="B829" s="3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41"/>
      <c r="U829" s="11"/>
      <c r="V829" s="11"/>
      <c r="W829" s="11"/>
      <c r="X829" s="11"/>
      <c r="Y829" s="11"/>
      <c r="Z829" s="11"/>
      <c r="AA829" s="11"/>
      <c r="AB829" s="11"/>
    </row>
    <row r="830" spans="1:28" ht="14.25" customHeight="1">
      <c r="A830" s="38"/>
      <c r="B830" s="3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41"/>
      <c r="U830" s="11"/>
      <c r="V830" s="11"/>
      <c r="W830" s="11"/>
      <c r="X830" s="11"/>
      <c r="Y830" s="11"/>
      <c r="Z830" s="11"/>
      <c r="AA830" s="11"/>
      <c r="AB830" s="11"/>
    </row>
    <row r="831" spans="1:28" ht="14.25" customHeight="1">
      <c r="A831" s="38"/>
      <c r="B831" s="3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41"/>
      <c r="U831" s="11"/>
      <c r="V831" s="11"/>
      <c r="W831" s="11"/>
      <c r="X831" s="11"/>
      <c r="Y831" s="11"/>
      <c r="Z831" s="11"/>
      <c r="AA831" s="11"/>
      <c r="AB831" s="11"/>
    </row>
    <row r="832" spans="1:28" ht="14.25" customHeight="1">
      <c r="A832" s="38"/>
      <c r="B832" s="3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41"/>
      <c r="U832" s="11"/>
      <c r="V832" s="11"/>
      <c r="W832" s="11"/>
      <c r="X832" s="11"/>
      <c r="Y832" s="11"/>
      <c r="Z832" s="11"/>
      <c r="AA832" s="11"/>
      <c r="AB832" s="11"/>
    </row>
    <row r="833" spans="1:28" ht="14.25" customHeight="1">
      <c r="A833" s="38"/>
      <c r="B833" s="3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41"/>
      <c r="U833" s="11"/>
      <c r="V833" s="11"/>
      <c r="W833" s="11"/>
      <c r="X833" s="11"/>
      <c r="Y833" s="11"/>
      <c r="Z833" s="11"/>
      <c r="AA833" s="11"/>
      <c r="AB833" s="11"/>
    </row>
    <row r="834" spans="1:28" ht="14.25" customHeight="1">
      <c r="A834" s="38"/>
      <c r="B834" s="3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41"/>
      <c r="U834" s="11"/>
      <c r="V834" s="11"/>
      <c r="W834" s="11"/>
      <c r="X834" s="11"/>
      <c r="Y834" s="11"/>
      <c r="Z834" s="11"/>
      <c r="AA834" s="11"/>
      <c r="AB834" s="11"/>
    </row>
    <row r="835" spans="1:28" ht="14.25" customHeight="1">
      <c r="A835" s="38"/>
      <c r="B835" s="3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41"/>
      <c r="U835" s="11"/>
      <c r="V835" s="11"/>
      <c r="W835" s="11"/>
      <c r="X835" s="11"/>
      <c r="Y835" s="11"/>
      <c r="Z835" s="11"/>
      <c r="AA835" s="11"/>
      <c r="AB835" s="11"/>
    </row>
    <row r="836" spans="1:28" ht="14.25" customHeight="1">
      <c r="A836" s="38"/>
      <c r="B836" s="3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41"/>
      <c r="U836" s="11"/>
      <c r="V836" s="11"/>
      <c r="W836" s="11"/>
      <c r="X836" s="11"/>
      <c r="Y836" s="11"/>
      <c r="Z836" s="11"/>
      <c r="AA836" s="11"/>
      <c r="AB836" s="11"/>
    </row>
    <row r="837" spans="1:28" ht="14.25" customHeight="1">
      <c r="A837" s="38"/>
      <c r="B837" s="3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41"/>
      <c r="U837" s="11"/>
      <c r="V837" s="11"/>
      <c r="W837" s="11"/>
      <c r="X837" s="11"/>
      <c r="Y837" s="11"/>
      <c r="Z837" s="11"/>
      <c r="AA837" s="11"/>
      <c r="AB837" s="11"/>
    </row>
    <row r="838" spans="1:28" ht="14.25" customHeight="1">
      <c r="A838" s="38"/>
      <c r="B838" s="3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41"/>
      <c r="U838" s="11"/>
      <c r="V838" s="11"/>
      <c r="W838" s="11"/>
      <c r="X838" s="11"/>
      <c r="Y838" s="11"/>
      <c r="Z838" s="11"/>
      <c r="AA838" s="11"/>
      <c r="AB838" s="11"/>
    </row>
    <row r="839" spans="1:28" ht="14.25" customHeight="1">
      <c r="A839" s="38"/>
      <c r="B839" s="3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41"/>
      <c r="U839" s="11"/>
      <c r="V839" s="11"/>
      <c r="W839" s="11"/>
      <c r="X839" s="11"/>
      <c r="Y839" s="11"/>
      <c r="Z839" s="11"/>
      <c r="AA839" s="11"/>
      <c r="AB839" s="11"/>
    </row>
    <row r="840" spans="1:28" ht="14.25" customHeight="1">
      <c r="A840" s="38"/>
      <c r="B840" s="3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41"/>
      <c r="U840" s="11"/>
      <c r="V840" s="11"/>
      <c r="W840" s="11"/>
      <c r="X840" s="11"/>
      <c r="Y840" s="11"/>
      <c r="Z840" s="11"/>
      <c r="AA840" s="11"/>
      <c r="AB840" s="11"/>
    </row>
    <row r="841" spans="1:28" ht="14.25" customHeight="1">
      <c r="A841" s="38"/>
      <c r="B841" s="3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41"/>
      <c r="U841" s="11"/>
      <c r="V841" s="11"/>
      <c r="W841" s="11"/>
      <c r="X841" s="11"/>
      <c r="Y841" s="11"/>
      <c r="Z841" s="11"/>
      <c r="AA841" s="11"/>
      <c r="AB841" s="11"/>
    </row>
    <row r="842" spans="1:28" ht="14.25" customHeight="1">
      <c r="A842" s="38"/>
      <c r="B842" s="3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41"/>
      <c r="U842" s="11"/>
      <c r="V842" s="11"/>
      <c r="W842" s="11"/>
      <c r="X842" s="11"/>
      <c r="Y842" s="11"/>
      <c r="Z842" s="11"/>
      <c r="AA842" s="11"/>
      <c r="AB842" s="11"/>
    </row>
    <row r="843" spans="1:28" ht="14.25" customHeight="1">
      <c r="A843" s="38"/>
      <c r="B843" s="3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41"/>
      <c r="U843" s="11"/>
      <c r="V843" s="11"/>
      <c r="W843" s="11"/>
      <c r="X843" s="11"/>
      <c r="Y843" s="11"/>
      <c r="Z843" s="11"/>
      <c r="AA843" s="11"/>
      <c r="AB843" s="11"/>
    </row>
    <row r="844" spans="1:28" ht="14.25" customHeight="1">
      <c r="A844" s="38"/>
      <c r="B844" s="3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41"/>
      <c r="U844" s="11"/>
      <c r="V844" s="11"/>
      <c r="W844" s="11"/>
      <c r="X844" s="11"/>
      <c r="Y844" s="11"/>
      <c r="Z844" s="11"/>
      <c r="AA844" s="11"/>
      <c r="AB844" s="11"/>
    </row>
    <row r="845" spans="1:28" ht="14.25" customHeight="1">
      <c r="A845" s="38"/>
      <c r="B845" s="3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41"/>
      <c r="U845" s="11"/>
      <c r="V845" s="11"/>
      <c r="W845" s="11"/>
      <c r="X845" s="11"/>
      <c r="Y845" s="11"/>
      <c r="Z845" s="11"/>
      <c r="AA845" s="11"/>
      <c r="AB845" s="11"/>
    </row>
    <row r="846" spans="1:28" ht="14.25" customHeight="1">
      <c r="A846" s="38"/>
      <c r="B846" s="3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41"/>
      <c r="U846" s="11"/>
      <c r="V846" s="11"/>
      <c r="W846" s="11"/>
      <c r="X846" s="11"/>
      <c r="Y846" s="11"/>
      <c r="Z846" s="11"/>
      <c r="AA846" s="11"/>
      <c r="AB846" s="11"/>
    </row>
    <row r="847" spans="1:28" ht="14.25" customHeight="1">
      <c r="A847" s="38"/>
      <c r="B847" s="3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41"/>
      <c r="U847" s="11"/>
      <c r="V847" s="11"/>
      <c r="W847" s="11"/>
      <c r="X847" s="11"/>
      <c r="Y847" s="11"/>
      <c r="Z847" s="11"/>
      <c r="AA847" s="11"/>
      <c r="AB847" s="11"/>
    </row>
    <row r="848" spans="1:28" ht="14.25" customHeight="1">
      <c r="A848" s="38"/>
      <c r="B848" s="3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41"/>
      <c r="U848" s="11"/>
      <c r="V848" s="11"/>
      <c r="W848" s="11"/>
      <c r="X848" s="11"/>
      <c r="Y848" s="11"/>
      <c r="Z848" s="11"/>
      <c r="AA848" s="11"/>
      <c r="AB848" s="11"/>
    </row>
    <row r="849" spans="1:28" ht="14.25" customHeight="1">
      <c r="A849" s="38"/>
      <c r="B849" s="3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41"/>
      <c r="U849" s="11"/>
      <c r="V849" s="11"/>
      <c r="W849" s="11"/>
      <c r="X849" s="11"/>
      <c r="Y849" s="11"/>
      <c r="Z849" s="11"/>
      <c r="AA849" s="11"/>
      <c r="AB849" s="11"/>
    </row>
    <row r="850" spans="1:28" ht="14.25" customHeight="1">
      <c r="A850" s="38"/>
      <c r="B850" s="3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41"/>
      <c r="U850" s="11"/>
      <c r="V850" s="11"/>
      <c r="W850" s="11"/>
      <c r="X850" s="11"/>
      <c r="Y850" s="11"/>
      <c r="Z850" s="11"/>
      <c r="AA850" s="11"/>
      <c r="AB850" s="11"/>
    </row>
    <row r="851" spans="1:28" ht="14.25" customHeight="1">
      <c r="A851" s="38"/>
      <c r="B851" s="3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41"/>
      <c r="U851" s="11"/>
      <c r="V851" s="11"/>
      <c r="W851" s="11"/>
      <c r="X851" s="11"/>
      <c r="Y851" s="11"/>
      <c r="Z851" s="11"/>
      <c r="AA851" s="11"/>
      <c r="AB851" s="11"/>
    </row>
    <row r="852" spans="1:28" ht="14.25" customHeight="1">
      <c r="A852" s="38"/>
      <c r="B852" s="3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41"/>
      <c r="U852" s="11"/>
      <c r="V852" s="11"/>
      <c r="W852" s="11"/>
      <c r="X852" s="11"/>
      <c r="Y852" s="11"/>
      <c r="Z852" s="11"/>
      <c r="AA852" s="11"/>
      <c r="AB852" s="11"/>
    </row>
    <row r="853" spans="1:28" ht="14.25" customHeight="1">
      <c r="A853" s="38"/>
      <c r="B853" s="3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41"/>
      <c r="U853" s="11"/>
      <c r="V853" s="11"/>
      <c r="W853" s="11"/>
      <c r="X853" s="11"/>
      <c r="Y853" s="11"/>
      <c r="Z853" s="11"/>
      <c r="AA853" s="11"/>
      <c r="AB853" s="11"/>
    </row>
    <row r="854" spans="1:28" ht="14.25" customHeight="1">
      <c r="A854" s="38"/>
      <c r="B854" s="3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41"/>
      <c r="U854" s="11"/>
      <c r="V854" s="11"/>
      <c r="W854" s="11"/>
      <c r="X854" s="11"/>
      <c r="Y854" s="11"/>
      <c r="Z854" s="11"/>
      <c r="AA854" s="11"/>
      <c r="AB854" s="11"/>
    </row>
    <row r="855" spans="1:28" ht="14.25" customHeight="1">
      <c r="A855" s="38"/>
      <c r="B855" s="3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41"/>
      <c r="U855" s="11"/>
      <c r="V855" s="11"/>
      <c r="W855" s="11"/>
      <c r="X855" s="11"/>
      <c r="Y855" s="11"/>
      <c r="Z855" s="11"/>
      <c r="AA855" s="11"/>
      <c r="AB855" s="11"/>
    </row>
    <row r="856" spans="1:28" ht="14.25" customHeight="1">
      <c r="A856" s="38"/>
      <c r="B856" s="3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41"/>
      <c r="U856" s="11"/>
      <c r="V856" s="11"/>
      <c r="W856" s="11"/>
      <c r="X856" s="11"/>
      <c r="Y856" s="11"/>
      <c r="Z856" s="11"/>
      <c r="AA856" s="11"/>
      <c r="AB856" s="11"/>
    </row>
    <row r="857" spans="1:28" ht="14.25" customHeight="1">
      <c r="A857" s="38"/>
      <c r="B857" s="3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41"/>
      <c r="U857" s="11"/>
      <c r="V857" s="11"/>
      <c r="W857" s="11"/>
      <c r="X857" s="11"/>
      <c r="Y857" s="11"/>
      <c r="Z857" s="11"/>
      <c r="AA857" s="11"/>
      <c r="AB857" s="11"/>
    </row>
    <row r="858" spans="1:28" ht="14.25" customHeight="1">
      <c r="A858" s="38"/>
      <c r="B858" s="3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41"/>
      <c r="U858" s="11"/>
      <c r="V858" s="11"/>
      <c r="W858" s="11"/>
      <c r="X858" s="11"/>
      <c r="Y858" s="11"/>
      <c r="Z858" s="11"/>
      <c r="AA858" s="11"/>
      <c r="AB858" s="11"/>
    </row>
    <row r="859" spans="1:28" ht="14.25" customHeight="1">
      <c r="A859" s="38"/>
      <c r="B859" s="3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41"/>
      <c r="U859" s="11"/>
      <c r="V859" s="11"/>
      <c r="W859" s="11"/>
      <c r="X859" s="11"/>
      <c r="Y859" s="11"/>
      <c r="Z859" s="11"/>
      <c r="AA859" s="11"/>
      <c r="AB859" s="11"/>
    </row>
    <row r="860" spans="1:28" ht="14.25" customHeight="1">
      <c r="A860" s="38"/>
      <c r="B860" s="3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41"/>
      <c r="U860" s="11"/>
      <c r="V860" s="11"/>
      <c r="W860" s="11"/>
      <c r="X860" s="11"/>
      <c r="Y860" s="11"/>
      <c r="Z860" s="11"/>
      <c r="AA860" s="11"/>
      <c r="AB860" s="11"/>
    </row>
    <row r="861" spans="1:28" ht="14.25" customHeight="1">
      <c r="A861" s="38"/>
      <c r="B861" s="3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41"/>
      <c r="U861" s="11"/>
      <c r="V861" s="11"/>
      <c r="W861" s="11"/>
      <c r="X861" s="11"/>
      <c r="Y861" s="11"/>
      <c r="Z861" s="11"/>
      <c r="AA861" s="11"/>
      <c r="AB861" s="11"/>
    </row>
    <row r="862" spans="1:28" ht="14.25" customHeight="1">
      <c r="A862" s="38"/>
      <c r="B862" s="3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41"/>
      <c r="U862" s="11"/>
      <c r="V862" s="11"/>
      <c r="W862" s="11"/>
      <c r="X862" s="11"/>
      <c r="Y862" s="11"/>
      <c r="Z862" s="11"/>
      <c r="AA862" s="11"/>
      <c r="AB862" s="11"/>
    </row>
    <row r="863" spans="1:28" ht="14.25" customHeight="1">
      <c r="A863" s="38"/>
      <c r="B863" s="3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41"/>
      <c r="U863" s="11"/>
      <c r="V863" s="11"/>
      <c r="W863" s="11"/>
      <c r="X863" s="11"/>
      <c r="Y863" s="11"/>
      <c r="Z863" s="11"/>
      <c r="AA863" s="11"/>
      <c r="AB863" s="11"/>
    </row>
    <row r="864" spans="1:28" ht="14.25" customHeight="1">
      <c r="A864" s="38"/>
      <c r="B864" s="3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41"/>
      <c r="U864" s="11"/>
      <c r="V864" s="11"/>
      <c r="W864" s="11"/>
      <c r="X864" s="11"/>
      <c r="Y864" s="11"/>
      <c r="Z864" s="11"/>
      <c r="AA864" s="11"/>
      <c r="AB864" s="11"/>
    </row>
    <row r="865" spans="1:28" ht="14.25" customHeight="1">
      <c r="A865" s="38"/>
      <c r="B865" s="3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41"/>
      <c r="U865" s="11"/>
      <c r="V865" s="11"/>
      <c r="W865" s="11"/>
      <c r="X865" s="11"/>
      <c r="Y865" s="11"/>
      <c r="Z865" s="11"/>
      <c r="AA865" s="11"/>
      <c r="AB865" s="11"/>
    </row>
    <row r="866" spans="1:28" ht="14.25" customHeight="1">
      <c r="A866" s="38"/>
      <c r="B866" s="3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41"/>
      <c r="U866" s="11"/>
      <c r="V866" s="11"/>
      <c r="W866" s="11"/>
      <c r="X866" s="11"/>
      <c r="Y866" s="11"/>
      <c r="Z866" s="11"/>
      <c r="AA866" s="11"/>
      <c r="AB866" s="11"/>
    </row>
    <row r="867" spans="1:28" ht="14.25" customHeight="1">
      <c r="A867" s="38"/>
      <c r="B867" s="3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41"/>
      <c r="U867" s="11"/>
      <c r="V867" s="11"/>
      <c r="W867" s="11"/>
      <c r="X867" s="11"/>
      <c r="Y867" s="11"/>
      <c r="Z867" s="11"/>
      <c r="AA867" s="11"/>
      <c r="AB867" s="11"/>
    </row>
    <row r="868" spans="1:28" ht="14.25" customHeight="1">
      <c r="A868" s="38"/>
      <c r="B868" s="3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41"/>
      <c r="U868" s="11"/>
      <c r="V868" s="11"/>
      <c r="W868" s="11"/>
      <c r="X868" s="11"/>
      <c r="Y868" s="11"/>
      <c r="Z868" s="11"/>
      <c r="AA868" s="11"/>
      <c r="AB868" s="11"/>
    </row>
    <row r="869" spans="1:28" ht="14.25" customHeight="1">
      <c r="A869" s="38"/>
      <c r="B869" s="3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41"/>
      <c r="U869" s="11"/>
      <c r="V869" s="11"/>
      <c r="W869" s="11"/>
      <c r="X869" s="11"/>
      <c r="Y869" s="11"/>
      <c r="Z869" s="11"/>
      <c r="AA869" s="11"/>
      <c r="AB869" s="11"/>
    </row>
    <row r="870" spans="1:28" ht="14.25" customHeight="1">
      <c r="A870" s="38"/>
      <c r="B870" s="3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41"/>
      <c r="U870" s="11"/>
      <c r="V870" s="11"/>
      <c r="W870" s="11"/>
      <c r="X870" s="11"/>
      <c r="Y870" s="11"/>
      <c r="Z870" s="11"/>
      <c r="AA870" s="11"/>
      <c r="AB870" s="11"/>
    </row>
    <row r="871" spans="1:28" ht="14.25" customHeight="1">
      <c r="A871" s="38"/>
      <c r="B871" s="3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41"/>
      <c r="U871" s="11"/>
      <c r="V871" s="11"/>
      <c r="W871" s="11"/>
      <c r="X871" s="11"/>
      <c r="Y871" s="11"/>
      <c r="Z871" s="11"/>
      <c r="AA871" s="11"/>
      <c r="AB871" s="11"/>
    </row>
    <row r="872" spans="1:28" ht="14.25" customHeight="1">
      <c r="A872" s="38"/>
      <c r="B872" s="3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41"/>
      <c r="U872" s="11"/>
      <c r="V872" s="11"/>
      <c r="W872" s="11"/>
      <c r="X872" s="11"/>
      <c r="Y872" s="11"/>
      <c r="Z872" s="11"/>
      <c r="AA872" s="11"/>
      <c r="AB872" s="11"/>
    </row>
    <row r="873" spans="1:28" ht="14.25" customHeight="1">
      <c r="A873" s="38"/>
      <c r="B873" s="3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41"/>
      <c r="U873" s="11"/>
      <c r="V873" s="11"/>
      <c r="W873" s="11"/>
      <c r="X873" s="11"/>
      <c r="Y873" s="11"/>
      <c r="Z873" s="11"/>
      <c r="AA873" s="11"/>
      <c r="AB873" s="11"/>
    </row>
    <row r="874" spans="1:28" ht="14.25" customHeight="1">
      <c r="A874" s="38"/>
      <c r="B874" s="3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41"/>
      <c r="U874" s="11"/>
      <c r="V874" s="11"/>
      <c r="W874" s="11"/>
      <c r="X874" s="11"/>
      <c r="Y874" s="11"/>
      <c r="Z874" s="11"/>
      <c r="AA874" s="11"/>
      <c r="AB874" s="11"/>
    </row>
    <row r="875" spans="1:28" ht="14.25" customHeight="1">
      <c r="A875" s="38"/>
      <c r="B875" s="3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41"/>
      <c r="U875" s="11"/>
      <c r="V875" s="11"/>
      <c r="W875" s="11"/>
      <c r="X875" s="11"/>
      <c r="Y875" s="11"/>
      <c r="Z875" s="11"/>
      <c r="AA875" s="11"/>
      <c r="AB875" s="11"/>
    </row>
    <row r="876" spans="1:28" ht="14.25" customHeight="1">
      <c r="A876" s="38"/>
      <c r="B876" s="3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41"/>
      <c r="U876" s="11"/>
      <c r="V876" s="11"/>
      <c r="W876" s="11"/>
      <c r="X876" s="11"/>
      <c r="Y876" s="11"/>
      <c r="Z876" s="11"/>
      <c r="AA876" s="11"/>
      <c r="AB876" s="11"/>
    </row>
    <row r="877" spans="1:28" ht="14.25" customHeight="1">
      <c r="A877" s="38"/>
      <c r="B877" s="3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41"/>
      <c r="U877" s="11"/>
      <c r="V877" s="11"/>
      <c r="W877" s="11"/>
      <c r="X877" s="11"/>
      <c r="Y877" s="11"/>
      <c r="Z877" s="11"/>
      <c r="AA877" s="11"/>
      <c r="AB877" s="11"/>
    </row>
    <row r="878" spans="1:28" ht="14.25" customHeight="1">
      <c r="A878" s="38"/>
      <c r="B878" s="3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41"/>
      <c r="U878" s="11"/>
      <c r="V878" s="11"/>
      <c r="W878" s="11"/>
      <c r="X878" s="11"/>
      <c r="Y878" s="11"/>
      <c r="Z878" s="11"/>
      <c r="AA878" s="11"/>
      <c r="AB878" s="11"/>
    </row>
    <row r="879" spans="1:28" ht="14.25" customHeight="1">
      <c r="A879" s="38"/>
      <c r="B879" s="3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41"/>
      <c r="U879" s="11"/>
      <c r="V879" s="11"/>
      <c r="W879" s="11"/>
      <c r="X879" s="11"/>
      <c r="Y879" s="11"/>
      <c r="Z879" s="11"/>
      <c r="AA879" s="11"/>
      <c r="AB879" s="11"/>
    </row>
    <row r="880" spans="1:28" ht="14.25" customHeight="1">
      <c r="A880" s="38"/>
      <c r="B880" s="3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41"/>
      <c r="U880" s="11"/>
      <c r="V880" s="11"/>
      <c r="W880" s="11"/>
      <c r="X880" s="11"/>
      <c r="Y880" s="11"/>
      <c r="Z880" s="11"/>
      <c r="AA880" s="11"/>
      <c r="AB880" s="11"/>
    </row>
    <row r="881" spans="1:28" ht="14.25" customHeight="1">
      <c r="A881" s="38"/>
      <c r="B881" s="3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41"/>
      <c r="U881" s="11"/>
      <c r="V881" s="11"/>
      <c r="W881" s="11"/>
      <c r="X881" s="11"/>
      <c r="Y881" s="11"/>
      <c r="Z881" s="11"/>
      <c r="AA881" s="11"/>
      <c r="AB881" s="11"/>
    </row>
    <row r="882" spans="1:28" ht="14.25" customHeight="1">
      <c r="A882" s="38"/>
      <c r="B882" s="3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41"/>
      <c r="U882" s="11"/>
      <c r="V882" s="11"/>
      <c r="W882" s="11"/>
      <c r="X882" s="11"/>
      <c r="Y882" s="11"/>
      <c r="Z882" s="11"/>
      <c r="AA882" s="11"/>
      <c r="AB882" s="11"/>
    </row>
    <row r="883" spans="1:28" ht="14.25" customHeight="1">
      <c r="A883" s="38"/>
      <c r="B883" s="3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41"/>
      <c r="U883" s="11"/>
      <c r="V883" s="11"/>
      <c r="W883" s="11"/>
      <c r="X883" s="11"/>
      <c r="Y883" s="11"/>
      <c r="Z883" s="11"/>
      <c r="AA883" s="11"/>
      <c r="AB883" s="11"/>
    </row>
    <row r="884" spans="1:28" ht="14.25" customHeight="1">
      <c r="A884" s="38"/>
      <c r="B884" s="3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41"/>
      <c r="U884" s="11"/>
      <c r="V884" s="11"/>
      <c r="W884" s="11"/>
      <c r="X884" s="11"/>
      <c r="Y884" s="11"/>
      <c r="Z884" s="11"/>
      <c r="AA884" s="11"/>
      <c r="AB884" s="11"/>
    </row>
    <row r="885" spans="1:28" ht="14.25" customHeight="1">
      <c r="A885" s="38"/>
      <c r="B885" s="3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41"/>
      <c r="U885" s="11"/>
      <c r="V885" s="11"/>
      <c r="W885" s="11"/>
      <c r="X885" s="11"/>
      <c r="Y885" s="11"/>
      <c r="Z885" s="11"/>
      <c r="AA885" s="11"/>
      <c r="AB885" s="11"/>
    </row>
    <row r="886" spans="1:28" ht="14.25" customHeight="1">
      <c r="A886" s="38"/>
      <c r="B886" s="3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41"/>
      <c r="U886" s="11"/>
      <c r="V886" s="11"/>
      <c r="W886" s="11"/>
      <c r="X886" s="11"/>
      <c r="Y886" s="11"/>
      <c r="Z886" s="11"/>
      <c r="AA886" s="11"/>
      <c r="AB886" s="11"/>
    </row>
    <row r="887" spans="1:28" ht="14.25" customHeight="1">
      <c r="A887" s="38"/>
      <c r="B887" s="3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41"/>
      <c r="U887" s="11"/>
      <c r="V887" s="11"/>
      <c r="W887" s="11"/>
      <c r="X887" s="11"/>
      <c r="Y887" s="11"/>
      <c r="Z887" s="11"/>
      <c r="AA887" s="11"/>
      <c r="AB887" s="11"/>
    </row>
    <row r="888" spans="1:28" ht="14.25" customHeight="1">
      <c r="A888" s="38"/>
      <c r="B888" s="3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41"/>
      <c r="U888" s="11"/>
      <c r="V888" s="11"/>
      <c r="W888" s="11"/>
      <c r="X888" s="11"/>
      <c r="Y888" s="11"/>
      <c r="Z888" s="11"/>
      <c r="AA888" s="11"/>
      <c r="AB888" s="11"/>
    </row>
    <row r="889" spans="1:28" ht="14.25" customHeight="1">
      <c r="A889" s="38"/>
      <c r="B889" s="3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41"/>
      <c r="U889" s="11"/>
      <c r="V889" s="11"/>
      <c r="W889" s="11"/>
      <c r="X889" s="11"/>
      <c r="Y889" s="11"/>
      <c r="Z889" s="11"/>
      <c r="AA889" s="11"/>
      <c r="AB889" s="11"/>
    </row>
    <row r="890" spans="1:28" ht="14.25" customHeight="1">
      <c r="A890" s="38"/>
      <c r="B890" s="3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41"/>
      <c r="U890" s="11"/>
      <c r="V890" s="11"/>
      <c r="W890" s="11"/>
      <c r="X890" s="11"/>
      <c r="Y890" s="11"/>
      <c r="Z890" s="11"/>
      <c r="AA890" s="11"/>
      <c r="AB890" s="11"/>
    </row>
    <row r="891" spans="1:28" ht="14.25" customHeight="1">
      <c r="A891" s="38"/>
      <c r="B891" s="3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41"/>
      <c r="U891" s="11"/>
      <c r="V891" s="11"/>
      <c r="W891" s="11"/>
      <c r="X891" s="11"/>
      <c r="Y891" s="11"/>
      <c r="Z891" s="11"/>
      <c r="AA891" s="11"/>
      <c r="AB891" s="11"/>
    </row>
    <row r="892" spans="1:28" ht="14.25" customHeight="1">
      <c r="A892" s="38"/>
      <c r="B892" s="3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41"/>
      <c r="U892" s="11"/>
      <c r="V892" s="11"/>
      <c r="W892" s="11"/>
      <c r="X892" s="11"/>
      <c r="Y892" s="11"/>
      <c r="Z892" s="11"/>
      <c r="AA892" s="11"/>
      <c r="AB892" s="11"/>
    </row>
    <row r="893" spans="1:28" ht="14.25" customHeight="1">
      <c r="A893" s="38"/>
      <c r="B893" s="3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41"/>
      <c r="U893" s="11"/>
      <c r="V893" s="11"/>
      <c r="W893" s="11"/>
      <c r="X893" s="11"/>
      <c r="Y893" s="11"/>
      <c r="Z893" s="11"/>
      <c r="AA893" s="11"/>
      <c r="AB893" s="11"/>
    </row>
    <row r="894" spans="1:28" ht="14.25" customHeight="1">
      <c r="A894" s="38"/>
      <c r="B894" s="3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41"/>
      <c r="U894" s="11"/>
      <c r="V894" s="11"/>
      <c r="W894" s="11"/>
      <c r="X894" s="11"/>
      <c r="Y894" s="11"/>
      <c r="Z894" s="11"/>
      <c r="AA894" s="11"/>
      <c r="AB894" s="11"/>
    </row>
    <row r="895" spans="1:28" ht="14.25" customHeight="1">
      <c r="A895" s="38"/>
      <c r="B895" s="3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41"/>
      <c r="U895" s="11"/>
      <c r="V895" s="11"/>
      <c r="W895" s="11"/>
      <c r="X895" s="11"/>
      <c r="Y895" s="11"/>
      <c r="Z895" s="11"/>
      <c r="AA895" s="11"/>
      <c r="AB895" s="11"/>
    </row>
    <row r="896" spans="1:28" ht="14.25" customHeight="1">
      <c r="A896" s="38"/>
      <c r="B896" s="3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41"/>
      <c r="U896" s="11"/>
      <c r="V896" s="11"/>
      <c r="W896" s="11"/>
      <c r="X896" s="11"/>
      <c r="Y896" s="11"/>
      <c r="Z896" s="11"/>
      <c r="AA896" s="11"/>
      <c r="AB896" s="11"/>
    </row>
    <row r="897" spans="1:28" ht="14.25" customHeight="1">
      <c r="A897" s="38"/>
      <c r="B897" s="3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41"/>
      <c r="U897" s="11"/>
      <c r="V897" s="11"/>
      <c r="W897" s="11"/>
      <c r="X897" s="11"/>
      <c r="Y897" s="11"/>
      <c r="Z897" s="11"/>
      <c r="AA897" s="11"/>
      <c r="AB897" s="11"/>
    </row>
    <row r="898" spans="1:28" ht="14.25" customHeight="1">
      <c r="A898" s="38"/>
      <c r="B898" s="3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41"/>
      <c r="U898" s="11"/>
      <c r="V898" s="11"/>
      <c r="W898" s="11"/>
      <c r="X898" s="11"/>
      <c r="Y898" s="11"/>
      <c r="Z898" s="11"/>
      <c r="AA898" s="11"/>
      <c r="AB898" s="11"/>
    </row>
    <row r="899" spans="1:28" ht="14.25" customHeight="1">
      <c r="A899" s="38"/>
      <c r="B899" s="3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41"/>
      <c r="U899" s="11"/>
      <c r="V899" s="11"/>
      <c r="W899" s="11"/>
      <c r="X899" s="11"/>
      <c r="Y899" s="11"/>
      <c r="Z899" s="11"/>
      <c r="AA899" s="11"/>
      <c r="AB899" s="11"/>
    </row>
    <row r="900" spans="1:28" ht="14.25" customHeight="1">
      <c r="A900" s="38"/>
      <c r="B900" s="3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41"/>
      <c r="U900" s="11"/>
      <c r="V900" s="11"/>
      <c r="W900" s="11"/>
      <c r="X900" s="11"/>
      <c r="Y900" s="11"/>
      <c r="Z900" s="11"/>
      <c r="AA900" s="11"/>
      <c r="AB900" s="11"/>
    </row>
    <row r="901" spans="1:28" ht="14.25" customHeight="1">
      <c r="A901" s="38"/>
      <c r="B901" s="3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41"/>
      <c r="U901" s="11"/>
      <c r="V901" s="11"/>
      <c r="W901" s="11"/>
      <c r="X901" s="11"/>
      <c r="Y901" s="11"/>
      <c r="Z901" s="11"/>
      <c r="AA901" s="11"/>
      <c r="AB901" s="11"/>
    </row>
    <row r="902" spans="1:28" ht="14.25" customHeight="1">
      <c r="A902" s="38"/>
      <c r="B902" s="3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41"/>
      <c r="U902" s="11"/>
      <c r="V902" s="11"/>
      <c r="W902" s="11"/>
      <c r="X902" s="11"/>
      <c r="Y902" s="11"/>
      <c r="Z902" s="11"/>
      <c r="AA902" s="11"/>
      <c r="AB902" s="11"/>
    </row>
    <row r="903" spans="1:28" ht="14.25" customHeight="1">
      <c r="A903" s="38"/>
      <c r="B903" s="3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41"/>
      <c r="U903" s="11"/>
      <c r="V903" s="11"/>
      <c r="W903" s="11"/>
      <c r="X903" s="11"/>
      <c r="Y903" s="11"/>
      <c r="Z903" s="11"/>
      <c r="AA903" s="11"/>
      <c r="AB903" s="11"/>
    </row>
    <row r="904" spans="1:28" ht="14.25" customHeight="1">
      <c r="A904" s="38"/>
      <c r="B904" s="3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41"/>
      <c r="U904" s="11"/>
      <c r="V904" s="11"/>
      <c r="W904" s="11"/>
      <c r="X904" s="11"/>
      <c r="Y904" s="11"/>
      <c r="Z904" s="11"/>
      <c r="AA904" s="11"/>
      <c r="AB904" s="11"/>
    </row>
    <row r="905" spans="1:28" ht="14.25" customHeight="1">
      <c r="A905" s="38"/>
      <c r="B905" s="3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41"/>
      <c r="U905" s="11"/>
      <c r="V905" s="11"/>
      <c r="W905" s="11"/>
      <c r="X905" s="11"/>
      <c r="Y905" s="11"/>
      <c r="Z905" s="11"/>
      <c r="AA905" s="11"/>
      <c r="AB905" s="11"/>
    </row>
    <row r="906" spans="1:28" ht="14.25" customHeight="1">
      <c r="A906" s="38"/>
      <c r="B906" s="3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41"/>
      <c r="U906" s="11"/>
      <c r="V906" s="11"/>
      <c r="W906" s="11"/>
      <c r="X906" s="11"/>
      <c r="Y906" s="11"/>
      <c r="Z906" s="11"/>
      <c r="AA906" s="11"/>
      <c r="AB906" s="11"/>
    </row>
    <row r="907" spans="1:28" ht="14.25" customHeight="1">
      <c r="A907" s="38"/>
      <c r="B907" s="3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41"/>
      <c r="U907" s="11"/>
      <c r="V907" s="11"/>
      <c r="W907" s="11"/>
      <c r="X907" s="11"/>
      <c r="Y907" s="11"/>
      <c r="Z907" s="11"/>
      <c r="AA907" s="11"/>
      <c r="AB907" s="11"/>
    </row>
    <row r="908" spans="1:28" ht="14.25" customHeight="1">
      <c r="A908" s="38"/>
      <c r="B908" s="3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41"/>
      <c r="U908" s="11"/>
      <c r="V908" s="11"/>
      <c r="W908" s="11"/>
      <c r="X908" s="11"/>
      <c r="Y908" s="11"/>
      <c r="Z908" s="11"/>
      <c r="AA908" s="11"/>
      <c r="AB908" s="11"/>
    </row>
    <row r="909" spans="1:28" ht="14.25" customHeight="1">
      <c r="A909" s="38"/>
      <c r="B909" s="3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41"/>
      <c r="U909" s="11"/>
      <c r="V909" s="11"/>
      <c r="W909" s="11"/>
      <c r="X909" s="11"/>
      <c r="Y909" s="11"/>
      <c r="Z909" s="11"/>
      <c r="AA909" s="11"/>
      <c r="AB909" s="11"/>
    </row>
    <row r="910" spans="1:28" ht="14.25" customHeight="1">
      <c r="A910" s="38"/>
      <c r="B910" s="3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41"/>
      <c r="U910" s="11"/>
      <c r="V910" s="11"/>
      <c r="W910" s="11"/>
      <c r="X910" s="11"/>
      <c r="Y910" s="11"/>
      <c r="Z910" s="11"/>
      <c r="AA910" s="11"/>
      <c r="AB910" s="11"/>
    </row>
    <row r="911" spans="1:28" ht="14.25" customHeight="1">
      <c r="A911" s="38"/>
      <c r="B911" s="3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41"/>
      <c r="U911" s="11"/>
      <c r="V911" s="11"/>
      <c r="W911" s="11"/>
      <c r="X911" s="11"/>
      <c r="Y911" s="11"/>
      <c r="Z911" s="11"/>
      <c r="AA911" s="11"/>
      <c r="AB911" s="11"/>
    </row>
    <row r="912" spans="1:28" ht="14.25" customHeight="1">
      <c r="A912" s="38"/>
      <c r="B912" s="3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41"/>
      <c r="U912" s="11"/>
      <c r="V912" s="11"/>
      <c r="W912" s="11"/>
      <c r="X912" s="11"/>
      <c r="Y912" s="11"/>
      <c r="Z912" s="11"/>
      <c r="AA912" s="11"/>
      <c r="AB912" s="11"/>
    </row>
    <row r="913" spans="1:28" ht="14.25" customHeight="1">
      <c r="A913" s="38"/>
      <c r="B913" s="3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41"/>
      <c r="U913" s="11"/>
      <c r="V913" s="11"/>
      <c r="W913" s="11"/>
      <c r="X913" s="11"/>
      <c r="Y913" s="11"/>
      <c r="Z913" s="11"/>
      <c r="AA913" s="11"/>
      <c r="AB913" s="11"/>
    </row>
    <row r="914" spans="1:28" ht="14.25" customHeight="1">
      <c r="A914" s="38"/>
      <c r="B914" s="3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41"/>
      <c r="U914" s="11"/>
      <c r="V914" s="11"/>
      <c r="W914" s="11"/>
      <c r="X914" s="11"/>
      <c r="Y914" s="11"/>
      <c r="Z914" s="11"/>
      <c r="AA914" s="11"/>
      <c r="AB914" s="11"/>
    </row>
    <row r="915" spans="1:28" ht="14.25" customHeight="1">
      <c r="A915" s="38"/>
      <c r="B915" s="3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41"/>
      <c r="U915" s="11"/>
      <c r="V915" s="11"/>
      <c r="W915" s="11"/>
      <c r="X915" s="11"/>
      <c r="Y915" s="11"/>
      <c r="Z915" s="11"/>
      <c r="AA915" s="11"/>
      <c r="AB915" s="11"/>
    </row>
    <row r="916" spans="1:28" ht="14.25" customHeight="1">
      <c r="A916" s="38"/>
      <c r="B916" s="3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41"/>
      <c r="U916" s="11"/>
      <c r="V916" s="11"/>
      <c r="W916" s="11"/>
      <c r="X916" s="11"/>
      <c r="Y916" s="11"/>
      <c r="Z916" s="11"/>
      <c r="AA916" s="11"/>
      <c r="AB916" s="11"/>
    </row>
    <row r="917" spans="1:28" ht="14.25" customHeight="1">
      <c r="A917" s="38"/>
      <c r="B917" s="3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41"/>
      <c r="U917" s="11"/>
      <c r="V917" s="11"/>
      <c r="W917" s="11"/>
      <c r="X917" s="11"/>
      <c r="Y917" s="11"/>
      <c r="Z917" s="11"/>
      <c r="AA917" s="11"/>
      <c r="AB917" s="11"/>
    </row>
    <row r="918" spans="1:28" ht="14.25" customHeight="1">
      <c r="A918" s="38"/>
      <c r="B918" s="3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41"/>
      <c r="U918" s="11"/>
      <c r="V918" s="11"/>
      <c r="W918" s="11"/>
      <c r="X918" s="11"/>
      <c r="Y918" s="11"/>
      <c r="Z918" s="11"/>
      <c r="AA918" s="11"/>
      <c r="AB918" s="11"/>
    </row>
    <row r="919" spans="1:28" ht="14.25" customHeight="1">
      <c r="A919" s="38"/>
      <c r="B919" s="3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41"/>
      <c r="U919" s="11"/>
      <c r="V919" s="11"/>
      <c r="W919" s="11"/>
      <c r="X919" s="11"/>
      <c r="Y919" s="11"/>
      <c r="Z919" s="11"/>
      <c r="AA919" s="11"/>
      <c r="AB919" s="11"/>
    </row>
    <row r="920" spans="1:28" ht="14.25" customHeight="1">
      <c r="A920" s="38"/>
      <c r="B920" s="3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41"/>
      <c r="U920" s="11"/>
      <c r="V920" s="11"/>
      <c r="W920" s="11"/>
      <c r="X920" s="11"/>
      <c r="Y920" s="11"/>
      <c r="Z920" s="11"/>
      <c r="AA920" s="11"/>
      <c r="AB920" s="11"/>
    </row>
    <row r="921" spans="1:28" ht="14.25" customHeight="1">
      <c r="A921" s="38"/>
      <c r="B921" s="3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41"/>
      <c r="U921" s="11"/>
      <c r="V921" s="11"/>
      <c r="W921" s="11"/>
      <c r="X921" s="11"/>
      <c r="Y921" s="11"/>
      <c r="Z921" s="11"/>
      <c r="AA921" s="11"/>
      <c r="AB921" s="11"/>
    </row>
    <row r="922" spans="1:28" ht="14.25" customHeight="1">
      <c r="A922" s="38"/>
      <c r="B922" s="3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41"/>
      <c r="U922" s="11"/>
      <c r="V922" s="11"/>
      <c r="W922" s="11"/>
      <c r="X922" s="11"/>
      <c r="Y922" s="11"/>
      <c r="Z922" s="11"/>
      <c r="AA922" s="11"/>
      <c r="AB922" s="11"/>
    </row>
    <row r="923" spans="1:28" ht="14.25" customHeight="1">
      <c r="A923" s="38"/>
      <c r="B923" s="3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41"/>
      <c r="U923" s="11"/>
      <c r="V923" s="11"/>
      <c r="W923" s="11"/>
      <c r="X923" s="11"/>
      <c r="Y923" s="11"/>
      <c r="Z923" s="11"/>
      <c r="AA923" s="11"/>
      <c r="AB923" s="11"/>
    </row>
    <row r="924" spans="1:28" ht="14.25" customHeight="1">
      <c r="A924" s="38"/>
      <c r="B924" s="3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41"/>
      <c r="U924" s="11"/>
      <c r="V924" s="11"/>
      <c r="W924" s="11"/>
      <c r="X924" s="11"/>
      <c r="Y924" s="11"/>
      <c r="Z924" s="11"/>
      <c r="AA924" s="11"/>
      <c r="AB924" s="11"/>
    </row>
    <row r="925" spans="1:28" ht="14.25" customHeight="1">
      <c r="A925" s="38"/>
      <c r="B925" s="3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41"/>
      <c r="U925" s="11"/>
      <c r="V925" s="11"/>
      <c r="W925" s="11"/>
      <c r="X925" s="11"/>
      <c r="Y925" s="11"/>
      <c r="Z925" s="11"/>
      <c r="AA925" s="11"/>
      <c r="AB925" s="11"/>
    </row>
    <row r="926" spans="1:28" ht="14.25" customHeight="1">
      <c r="A926" s="38"/>
      <c r="B926" s="3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41"/>
      <c r="U926" s="11"/>
      <c r="V926" s="11"/>
      <c r="W926" s="11"/>
      <c r="X926" s="11"/>
      <c r="Y926" s="11"/>
      <c r="Z926" s="11"/>
      <c r="AA926" s="11"/>
      <c r="AB926" s="11"/>
    </row>
    <row r="927" spans="1:28" ht="14.25" customHeight="1">
      <c r="A927" s="38"/>
      <c r="B927" s="3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41"/>
      <c r="U927" s="11"/>
      <c r="V927" s="11"/>
      <c r="W927" s="11"/>
      <c r="X927" s="11"/>
      <c r="Y927" s="11"/>
      <c r="Z927" s="11"/>
      <c r="AA927" s="11"/>
      <c r="AB927" s="11"/>
    </row>
    <row r="928" spans="1:28" ht="14.25" customHeight="1">
      <c r="A928" s="38"/>
      <c r="B928" s="3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41"/>
      <c r="U928" s="11"/>
      <c r="V928" s="11"/>
      <c r="W928" s="11"/>
      <c r="X928" s="11"/>
      <c r="Y928" s="11"/>
      <c r="Z928" s="11"/>
      <c r="AA928" s="11"/>
      <c r="AB928" s="11"/>
    </row>
    <row r="929" spans="1:28" ht="14.25" customHeight="1">
      <c r="A929" s="38"/>
      <c r="B929" s="3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41"/>
      <c r="U929" s="11"/>
      <c r="V929" s="11"/>
      <c r="W929" s="11"/>
      <c r="X929" s="11"/>
      <c r="Y929" s="11"/>
      <c r="Z929" s="11"/>
      <c r="AA929" s="11"/>
      <c r="AB929" s="11"/>
    </row>
    <row r="930" spans="1:28" ht="14.25" customHeight="1">
      <c r="A930" s="38"/>
      <c r="B930" s="3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41"/>
      <c r="U930" s="11"/>
      <c r="V930" s="11"/>
      <c r="W930" s="11"/>
      <c r="X930" s="11"/>
      <c r="Y930" s="11"/>
      <c r="Z930" s="11"/>
      <c r="AA930" s="11"/>
      <c r="AB930" s="11"/>
    </row>
    <row r="931" spans="1:28" ht="14.25" customHeight="1">
      <c r="A931" s="38"/>
      <c r="B931" s="3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41"/>
      <c r="U931" s="11"/>
      <c r="V931" s="11"/>
      <c r="W931" s="11"/>
      <c r="X931" s="11"/>
      <c r="Y931" s="11"/>
      <c r="Z931" s="11"/>
      <c r="AA931" s="11"/>
      <c r="AB931" s="11"/>
    </row>
    <row r="932" spans="1:28" ht="14.25" customHeight="1">
      <c r="A932" s="38"/>
      <c r="B932" s="3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41"/>
      <c r="U932" s="11"/>
      <c r="V932" s="11"/>
      <c r="W932" s="11"/>
      <c r="X932" s="11"/>
      <c r="Y932" s="11"/>
      <c r="Z932" s="11"/>
      <c r="AA932" s="11"/>
      <c r="AB932" s="11"/>
    </row>
    <row r="933" spans="1:28" ht="14.25" customHeight="1">
      <c r="A933" s="38"/>
      <c r="B933" s="3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41"/>
      <c r="U933" s="11"/>
      <c r="V933" s="11"/>
      <c r="W933" s="11"/>
      <c r="X933" s="11"/>
      <c r="Y933" s="11"/>
      <c r="Z933" s="11"/>
      <c r="AA933" s="11"/>
      <c r="AB933" s="11"/>
    </row>
    <row r="934" spans="1:28" ht="14.25" customHeight="1">
      <c r="A934" s="38"/>
      <c r="B934" s="3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41"/>
      <c r="U934" s="11"/>
      <c r="V934" s="11"/>
      <c r="W934" s="11"/>
      <c r="X934" s="11"/>
      <c r="Y934" s="11"/>
      <c r="Z934" s="11"/>
      <c r="AA934" s="11"/>
      <c r="AB934" s="11"/>
    </row>
    <row r="935" spans="1:28" ht="14.25" customHeight="1">
      <c r="A935" s="38"/>
      <c r="B935" s="3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41"/>
      <c r="U935" s="11"/>
      <c r="V935" s="11"/>
      <c r="W935" s="11"/>
      <c r="X935" s="11"/>
      <c r="Y935" s="11"/>
      <c r="Z935" s="11"/>
      <c r="AA935" s="11"/>
      <c r="AB935" s="11"/>
    </row>
    <row r="936" spans="1:28" ht="14.25" customHeight="1">
      <c r="A936" s="38"/>
      <c r="B936" s="3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41"/>
      <c r="U936" s="11"/>
      <c r="V936" s="11"/>
      <c r="W936" s="11"/>
      <c r="X936" s="11"/>
      <c r="Y936" s="11"/>
      <c r="Z936" s="11"/>
      <c r="AA936" s="11"/>
      <c r="AB936" s="11"/>
    </row>
    <row r="937" spans="1:28" ht="14.25" customHeight="1">
      <c r="A937" s="38"/>
      <c r="B937" s="3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41"/>
      <c r="U937" s="11"/>
      <c r="V937" s="11"/>
      <c r="W937" s="11"/>
      <c r="X937" s="11"/>
      <c r="Y937" s="11"/>
      <c r="Z937" s="11"/>
      <c r="AA937" s="11"/>
      <c r="AB937" s="11"/>
    </row>
    <row r="938" spans="1:28" ht="14.25" customHeight="1">
      <c r="A938" s="38"/>
      <c r="B938" s="3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41"/>
      <c r="U938" s="11"/>
      <c r="V938" s="11"/>
      <c r="W938" s="11"/>
      <c r="X938" s="11"/>
      <c r="Y938" s="11"/>
      <c r="Z938" s="11"/>
      <c r="AA938" s="11"/>
      <c r="AB938" s="11"/>
    </row>
    <row r="939" spans="1:28" ht="14.25" customHeight="1">
      <c r="A939" s="38"/>
      <c r="B939" s="3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41"/>
      <c r="U939" s="11"/>
      <c r="V939" s="11"/>
      <c r="W939" s="11"/>
      <c r="X939" s="11"/>
      <c r="Y939" s="11"/>
      <c r="Z939" s="11"/>
      <c r="AA939" s="11"/>
      <c r="AB939" s="11"/>
    </row>
    <row r="940" spans="1:28" ht="14.25" customHeight="1">
      <c r="A940" s="38"/>
      <c r="B940" s="3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41"/>
      <c r="U940" s="11"/>
      <c r="V940" s="11"/>
      <c r="W940" s="11"/>
      <c r="X940" s="11"/>
      <c r="Y940" s="11"/>
      <c r="Z940" s="11"/>
      <c r="AA940" s="11"/>
      <c r="AB940" s="11"/>
    </row>
    <row r="941" spans="1:28" ht="14.25" customHeight="1">
      <c r="A941" s="38"/>
      <c r="B941" s="3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41"/>
      <c r="U941" s="11"/>
      <c r="V941" s="11"/>
      <c r="W941" s="11"/>
      <c r="X941" s="11"/>
      <c r="Y941" s="11"/>
      <c r="Z941" s="11"/>
      <c r="AA941" s="11"/>
      <c r="AB941" s="11"/>
    </row>
    <row r="942" spans="1:28" ht="14.25" customHeight="1">
      <c r="A942" s="38"/>
      <c r="B942" s="3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41"/>
      <c r="U942" s="11"/>
      <c r="V942" s="11"/>
      <c r="W942" s="11"/>
      <c r="X942" s="11"/>
      <c r="Y942" s="11"/>
      <c r="Z942" s="11"/>
      <c r="AA942" s="11"/>
      <c r="AB942" s="11"/>
    </row>
    <row r="943" spans="1:28" ht="14.25" customHeight="1">
      <c r="A943" s="38"/>
      <c r="B943" s="3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41"/>
      <c r="U943" s="11"/>
      <c r="V943" s="11"/>
      <c r="W943" s="11"/>
      <c r="X943" s="11"/>
      <c r="Y943" s="11"/>
      <c r="Z943" s="11"/>
      <c r="AA943" s="11"/>
      <c r="AB943" s="11"/>
    </row>
    <row r="944" spans="1:28" ht="14.25" customHeight="1">
      <c r="A944" s="38"/>
      <c r="B944" s="3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41"/>
      <c r="U944" s="11"/>
      <c r="V944" s="11"/>
      <c r="W944" s="11"/>
      <c r="X944" s="11"/>
      <c r="Y944" s="11"/>
      <c r="Z944" s="11"/>
      <c r="AA944" s="11"/>
      <c r="AB944" s="11"/>
    </row>
    <row r="945" spans="1:28" ht="14.25" customHeight="1">
      <c r="A945" s="38"/>
      <c r="B945" s="3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41"/>
      <c r="U945" s="11"/>
      <c r="V945" s="11"/>
      <c r="W945" s="11"/>
      <c r="X945" s="11"/>
      <c r="Y945" s="11"/>
      <c r="Z945" s="11"/>
      <c r="AA945" s="11"/>
      <c r="AB945" s="11"/>
    </row>
    <row r="946" spans="1:28" ht="14.25" customHeight="1">
      <c r="A946" s="38"/>
      <c r="B946" s="3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41"/>
      <c r="U946" s="11"/>
      <c r="V946" s="11"/>
      <c r="W946" s="11"/>
      <c r="X946" s="11"/>
      <c r="Y946" s="11"/>
      <c r="Z946" s="11"/>
      <c r="AA946" s="11"/>
      <c r="AB946" s="11"/>
    </row>
    <row r="947" spans="1:28" ht="14.25" customHeight="1">
      <c r="A947" s="38"/>
      <c r="B947" s="3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41"/>
      <c r="U947" s="11"/>
      <c r="V947" s="11"/>
      <c r="W947" s="11"/>
      <c r="X947" s="11"/>
      <c r="Y947" s="11"/>
      <c r="Z947" s="11"/>
      <c r="AA947" s="11"/>
      <c r="AB947" s="11"/>
    </row>
    <row r="948" spans="1:28" ht="14.25" customHeight="1">
      <c r="A948" s="38"/>
      <c r="B948" s="3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41"/>
      <c r="U948" s="11"/>
      <c r="V948" s="11"/>
      <c r="W948" s="11"/>
      <c r="X948" s="11"/>
      <c r="Y948" s="11"/>
      <c r="Z948" s="11"/>
      <c r="AA948" s="11"/>
      <c r="AB948" s="11"/>
    </row>
    <row r="949" spans="1:28" ht="14.25" customHeight="1">
      <c r="A949" s="38"/>
      <c r="B949" s="3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41"/>
      <c r="U949" s="11"/>
      <c r="V949" s="11"/>
      <c r="W949" s="11"/>
      <c r="X949" s="11"/>
      <c r="Y949" s="11"/>
      <c r="Z949" s="11"/>
      <c r="AA949" s="11"/>
      <c r="AB949" s="11"/>
    </row>
    <row r="950" spans="1:28" ht="14.25" customHeight="1">
      <c r="A950" s="38"/>
      <c r="B950" s="3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41"/>
      <c r="U950" s="11"/>
      <c r="V950" s="11"/>
      <c r="W950" s="11"/>
      <c r="X950" s="11"/>
      <c r="Y950" s="11"/>
      <c r="Z950" s="11"/>
      <c r="AA950" s="11"/>
      <c r="AB950" s="11"/>
    </row>
    <row r="951" spans="1:28" ht="14.25" customHeight="1">
      <c r="A951" s="38"/>
      <c r="B951" s="3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41"/>
      <c r="U951" s="11"/>
      <c r="V951" s="11"/>
      <c r="W951" s="11"/>
      <c r="X951" s="11"/>
      <c r="Y951" s="11"/>
      <c r="Z951" s="11"/>
      <c r="AA951" s="11"/>
      <c r="AB951" s="11"/>
    </row>
    <row r="952" spans="1:28" ht="14.25" customHeight="1">
      <c r="A952" s="38"/>
      <c r="B952" s="3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41"/>
      <c r="U952" s="11"/>
      <c r="V952" s="11"/>
      <c r="W952" s="11"/>
      <c r="X952" s="11"/>
      <c r="Y952" s="11"/>
      <c r="Z952" s="11"/>
      <c r="AA952" s="11"/>
      <c r="AB952" s="11"/>
    </row>
    <row r="953" spans="1:28" ht="14.25" customHeight="1">
      <c r="A953" s="38"/>
      <c r="B953" s="3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41"/>
      <c r="U953" s="11"/>
      <c r="V953" s="11"/>
      <c r="W953" s="11"/>
      <c r="X953" s="11"/>
      <c r="Y953" s="11"/>
      <c r="Z953" s="11"/>
      <c r="AA953" s="11"/>
      <c r="AB953" s="11"/>
    </row>
    <row r="954" spans="1:28" ht="14.25" customHeight="1">
      <c r="A954" s="38"/>
      <c r="B954" s="3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41"/>
      <c r="U954" s="11"/>
      <c r="V954" s="11"/>
      <c r="W954" s="11"/>
      <c r="X954" s="11"/>
      <c r="Y954" s="11"/>
      <c r="Z954" s="11"/>
      <c r="AA954" s="11"/>
      <c r="AB954" s="11"/>
    </row>
    <row r="955" spans="1:28" ht="14.25" customHeight="1">
      <c r="A955" s="38"/>
      <c r="B955" s="3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41"/>
      <c r="U955" s="11"/>
      <c r="V955" s="11"/>
      <c r="W955" s="11"/>
      <c r="X955" s="11"/>
      <c r="Y955" s="11"/>
      <c r="Z955" s="11"/>
      <c r="AA955" s="11"/>
      <c r="AB955" s="11"/>
    </row>
    <row r="956" spans="1:28" ht="14.25" customHeight="1">
      <c r="A956" s="38"/>
      <c r="B956" s="3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41"/>
      <c r="U956" s="11"/>
      <c r="V956" s="11"/>
      <c r="W956" s="11"/>
      <c r="X956" s="11"/>
      <c r="Y956" s="11"/>
      <c r="Z956" s="11"/>
      <c r="AA956" s="11"/>
      <c r="AB956" s="11"/>
    </row>
    <row r="957" spans="1:28" ht="14.25" customHeight="1">
      <c r="A957" s="38"/>
      <c r="B957" s="3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41"/>
      <c r="U957" s="11"/>
      <c r="V957" s="11"/>
      <c r="W957" s="11"/>
      <c r="X957" s="11"/>
      <c r="Y957" s="11"/>
      <c r="Z957" s="11"/>
      <c r="AA957" s="11"/>
      <c r="AB957" s="11"/>
    </row>
    <row r="958" spans="1:28" ht="14.25" customHeight="1">
      <c r="A958" s="38"/>
      <c r="B958" s="3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41"/>
      <c r="U958" s="11"/>
      <c r="V958" s="11"/>
      <c r="W958" s="11"/>
      <c r="X958" s="11"/>
      <c r="Y958" s="11"/>
      <c r="Z958" s="11"/>
      <c r="AA958" s="11"/>
      <c r="AB958" s="11"/>
    </row>
    <row r="959" spans="1:28" ht="14.25" customHeight="1">
      <c r="A959" s="38"/>
      <c r="B959" s="3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41"/>
      <c r="U959" s="11"/>
      <c r="V959" s="11"/>
      <c r="W959" s="11"/>
      <c r="X959" s="11"/>
      <c r="Y959" s="11"/>
      <c r="Z959" s="11"/>
      <c r="AA959" s="11"/>
      <c r="AB959" s="11"/>
    </row>
    <row r="960" spans="1:28" ht="14.25" customHeight="1">
      <c r="A960" s="38"/>
      <c r="B960" s="3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41"/>
      <c r="U960" s="11"/>
      <c r="V960" s="11"/>
      <c r="W960" s="11"/>
      <c r="X960" s="11"/>
      <c r="Y960" s="11"/>
      <c r="Z960" s="11"/>
      <c r="AA960" s="11"/>
      <c r="AB960" s="11"/>
    </row>
    <row r="961" spans="1:28" ht="14.25" customHeight="1">
      <c r="A961" s="38"/>
      <c r="B961" s="3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41"/>
      <c r="U961" s="11"/>
      <c r="V961" s="11"/>
      <c r="W961" s="11"/>
      <c r="X961" s="11"/>
      <c r="Y961" s="11"/>
      <c r="Z961" s="11"/>
      <c r="AA961" s="11"/>
      <c r="AB961" s="11"/>
    </row>
    <row r="962" spans="1:28" ht="14.25" customHeight="1">
      <c r="A962" s="38"/>
      <c r="B962" s="3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41"/>
      <c r="U962" s="11"/>
      <c r="V962" s="11"/>
      <c r="W962" s="11"/>
      <c r="X962" s="11"/>
      <c r="Y962" s="11"/>
      <c r="Z962" s="11"/>
      <c r="AA962" s="11"/>
      <c r="AB962" s="11"/>
    </row>
    <row r="963" spans="1:28" ht="14.25" customHeight="1">
      <c r="A963" s="38"/>
      <c r="B963" s="3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41"/>
      <c r="U963" s="11"/>
      <c r="V963" s="11"/>
      <c r="W963" s="11"/>
      <c r="X963" s="11"/>
      <c r="Y963" s="11"/>
      <c r="Z963" s="11"/>
      <c r="AA963" s="11"/>
      <c r="AB963" s="11"/>
    </row>
    <row r="964" spans="1:28" ht="14.25" customHeight="1">
      <c r="A964" s="38"/>
      <c r="B964" s="3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41"/>
      <c r="U964" s="11"/>
      <c r="V964" s="11"/>
      <c r="W964" s="11"/>
      <c r="X964" s="11"/>
      <c r="Y964" s="11"/>
      <c r="Z964" s="11"/>
      <c r="AA964" s="11"/>
      <c r="AB964" s="11"/>
    </row>
    <row r="965" spans="1:28" ht="14.25" customHeight="1">
      <c r="A965" s="38"/>
      <c r="B965" s="3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41"/>
      <c r="U965" s="11"/>
      <c r="V965" s="11"/>
      <c r="W965" s="11"/>
      <c r="X965" s="11"/>
      <c r="Y965" s="11"/>
      <c r="Z965" s="11"/>
      <c r="AA965" s="11"/>
      <c r="AB965" s="11"/>
    </row>
    <row r="966" spans="1:28" ht="14.25" customHeight="1">
      <c r="A966" s="38"/>
      <c r="B966" s="3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41"/>
      <c r="U966" s="11"/>
      <c r="V966" s="11"/>
      <c r="W966" s="11"/>
      <c r="X966" s="11"/>
      <c r="Y966" s="11"/>
      <c r="Z966" s="11"/>
      <c r="AA966" s="11"/>
      <c r="AB966" s="11"/>
    </row>
    <row r="967" spans="1:28" ht="14.25" customHeight="1">
      <c r="A967" s="38"/>
      <c r="B967" s="3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41"/>
      <c r="U967" s="11"/>
      <c r="V967" s="11"/>
      <c r="W967" s="11"/>
      <c r="X967" s="11"/>
      <c r="Y967" s="11"/>
      <c r="Z967" s="11"/>
      <c r="AA967" s="11"/>
      <c r="AB967" s="11"/>
    </row>
    <row r="968" spans="1:28" ht="14.25" customHeight="1">
      <c r="A968" s="38"/>
      <c r="B968" s="3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41"/>
      <c r="U968" s="11"/>
      <c r="V968" s="11"/>
      <c r="W968" s="11"/>
      <c r="X968" s="11"/>
      <c r="Y968" s="11"/>
      <c r="Z968" s="11"/>
      <c r="AA968" s="11"/>
      <c r="AB968" s="11"/>
    </row>
    <row r="969" spans="1:28" ht="14.25" customHeight="1">
      <c r="A969" s="38"/>
      <c r="B969" s="3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41"/>
      <c r="U969" s="11"/>
      <c r="V969" s="11"/>
      <c r="W969" s="11"/>
      <c r="X969" s="11"/>
      <c r="Y969" s="11"/>
      <c r="Z969" s="11"/>
      <c r="AA969" s="11"/>
      <c r="AB969" s="11"/>
    </row>
    <row r="970" spans="1:28" ht="14.25" customHeight="1">
      <c r="A970" s="38"/>
      <c r="B970" s="3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41"/>
      <c r="U970" s="11"/>
      <c r="V970" s="11"/>
      <c r="W970" s="11"/>
      <c r="X970" s="11"/>
      <c r="Y970" s="11"/>
      <c r="Z970" s="11"/>
      <c r="AA970" s="11"/>
      <c r="AB970" s="11"/>
    </row>
    <row r="971" spans="1:28" ht="14.25" customHeight="1">
      <c r="A971" s="38"/>
      <c r="B971" s="3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41"/>
      <c r="U971" s="11"/>
      <c r="V971" s="11"/>
      <c r="W971" s="11"/>
      <c r="X971" s="11"/>
      <c r="Y971" s="11"/>
      <c r="Z971" s="11"/>
      <c r="AA971" s="11"/>
      <c r="AB971" s="11"/>
    </row>
    <row r="972" spans="1:28" ht="14.25" customHeight="1">
      <c r="A972" s="38"/>
      <c r="B972" s="3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41"/>
      <c r="U972" s="11"/>
      <c r="V972" s="11"/>
      <c r="W972" s="11"/>
      <c r="X972" s="11"/>
      <c r="Y972" s="11"/>
      <c r="Z972" s="11"/>
      <c r="AA972" s="11"/>
      <c r="AB972" s="11"/>
    </row>
    <row r="973" spans="1:28" ht="14.25" customHeight="1">
      <c r="A973" s="38"/>
      <c r="B973" s="3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41"/>
      <c r="U973" s="11"/>
      <c r="V973" s="11"/>
      <c r="W973" s="11"/>
      <c r="X973" s="11"/>
      <c r="Y973" s="11"/>
      <c r="Z973" s="11"/>
      <c r="AA973" s="11"/>
      <c r="AB973" s="11"/>
    </row>
    <row r="974" spans="1:28" ht="14.25" customHeight="1">
      <c r="A974" s="38"/>
      <c r="B974" s="3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41"/>
      <c r="U974" s="11"/>
      <c r="V974" s="11"/>
      <c r="W974" s="11"/>
      <c r="X974" s="11"/>
      <c r="Y974" s="11"/>
      <c r="Z974" s="11"/>
      <c r="AA974" s="11"/>
      <c r="AB974" s="11"/>
    </row>
    <row r="975" spans="1:28" ht="14.25" customHeight="1">
      <c r="A975" s="38"/>
      <c r="B975" s="3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41"/>
      <c r="U975" s="11"/>
      <c r="V975" s="11"/>
      <c r="W975" s="11"/>
      <c r="X975" s="11"/>
      <c r="Y975" s="11"/>
      <c r="Z975" s="11"/>
      <c r="AA975" s="11"/>
      <c r="AB975" s="11"/>
    </row>
    <row r="976" spans="1:28" ht="14.25" customHeight="1">
      <c r="A976" s="38"/>
      <c r="B976" s="3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41"/>
      <c r="U976" s="11"/>
      <c r="V976" s="11"/>
      <c r="W976" s="11"/>
      <c r="X976" s="11"/>
      <c r="Y976" s="11"/>
      <c r="Z976" s="11"/>
      <c r="AA976" s="11"/>
      <c r="AB976" s="11"/>
    </row>
    <row r="977" spans="1:28" ht="14.25" customHeight="1">
      <c r="A977" s="38"/>
      <c r="B977" s="3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41"/>
      <c r="U977" s="11"/>
      <c r="V977" s="11"/>
      <c r="W977" s="11"/>
      <c r="X977" s="11"/>
      <c r="Y977" s="11"/>
      <c r="Z977" s="11"/>
      <c r="AA977" s="11"/>
      <c r="AB977" s="11"/>
    </row>
    <row r="978" spans="1:28" ht="14.25" customHeight="1">
      <c r="A978" s="38"/>
      <c r="B978" s="3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41"/>
      <c r="U978" s="11"/>
      <c r="V978" s="11"/>
      <c r="W978" s="11"/>
      <c r="X978" s="11"/>
      <c r="Y978" s="11"/>
      <c r="Z978" s="11"/>
      <c r="AA978" s="11"/>
      <c r="AB978" s="11"/>
    </row>
    <row r="979" spans="1:28" ht="14.25" customHeight="1">
      <c r="A979" s="38"/>
      <c r="B979" s="3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41"/>
      <c r="U979" s="11"/>
      <c r="V979" s="11"/>
      <c r="W979" s="11"/>
      <c r="X979" s="11"/>
      <c r="Y979" s="11"/>
      <c r="Z979" s="11"/>
      <c r="AA979" s="11"/>
      <c r="AB979" s="11"/>
    </row>
    <row r="980" spans="1:28" ht="14.25" customHeight="1">
      <c r="A980" s="38"/>
      <c r="B980" s="3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41"/>
      <c r="U980" s="11"/>
      <c r="V980" s="11"/>
      <c r="W980" s="11"/>
      <c r="X980" s="11"/>
      <c r="Y980" s="11"/>
      <c r="Z980" s="11"/>
      <c r="AA980" s="11"/>
      <c r="AB980" s="11"/>
    </row>
    <row r="981" spans="1:28" ht="14.25" customHeight="1">
      <c r="A981" s="38"/>
      <c r="B981" s="3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41"/>
      <c r="U981" s="11"/>
      <c r="V981" s="11"/>
      <c r="W981" s="11"/>
      <c r="X981" s="11"/>
      <c r="Y981" s="11"/>
      <c r="Z981" s="11"/>
      <c r="AA981" s="11"/>
      <c r="AB981" s="11"/>
    </row>
    <row r="982" spans="1:28" ht="14.25" customHeight="1">
      <c r="A982" s="38"/>
      <c r="B982" s="3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41"/>
      <c r="U982" s="11"/>
      <c r="V982" s="11"/>
      <c r="W982" s="11"/>
      <c r="X982" s="11"/>
      <c r="Y982" s="11"/>
      <c r="Z982" s="11"/>
      <c r="AA982" s="11"/>
      <c r="AB982" s="11"/>
    </row>
    <row r="983" spans="1:28" ht="14.25" customHeight="1">
      <c r="A983" s="38"/>
      <c r="B983" s="3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41"/>
      <c r="U983" s="11"/>
      <c r="V983" s="11"/>
      <c r="W983" s="11"/>
      <c r="X983" s="11"/>
      <c r="Y983" s="11"/>
      <c r="Z983" s="11"/>
      <c r="AA983" s="11"/>
      <c r="AB983" s="11"/>
    </row>
    <row r="984" spans="1:28" ht="14.25" customHeight="1">
      <c r="A984" s="38"/>
      <c r="B984" s="3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41"/>
      <c r="U984" s="11"/>
      <c r="V984" s="11"/>
      <c r="W984" s="11"/>
      <c r="X984" s="11"/>
      <c r="Y984" s="11"/>
      <c r="Z984" s="11"/>
      <c r="AA984" s="11"/>
      <c r="AB984" s="11"/>
    </row>
    <row r="985" spans="1:28" ht="14.25" customHeight="1">
      <c r="A985" s="38"/>
      <c r="B985" s="3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41"/>
      <c r="U985" s="11"/>
      <c r="V985" s="11"/>
      <c r="W985" s="11"/>
      <c r="X985" s="11"/>
      <c r="Y985" s="11"/>
      <c r="Z985" s="11"/>
      <c r="AA985" s="11"/>
      <c r="AB985" s="11"/>
    </row>
    <row r="986" spans="1:28" ht="14.25" customHeight="1">
      <c r="A986" s="38"/>
      <c r="B986" s="3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41"/>
      <c r="U986" s="11"/>
      <c r="V986" s="11"/>
      <c r="W986" s="11"/>
      <c r="X986" s="11"/>
      <c r="Y986" s="11"/>
      <c r="Z986" s="11"/>
      <c r="AA986" s="11"/>
      <c r="AB986" s="11"/>
    </row>
    <row r="987" spans="1:28" ht="14.25" customHeight="1">
      <c r="A987" s="38"/>
      <c r="B987" s="3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41"/>
      <c r="U987" s="11"/>
      <c r="V987" s="11"/>
      <c r="W987" s="11"/>
      <c r="X987" s="11"/>
      <c r="Y987" s="11"/>
      <c r="Z987" s="11"/>
      <c r="AA987" s="11"/>
      <c r="AB987" s="11"/>
    </row>
    <row r="988" spans="1:28" ht="14.25" customHeight="1">
      <c r="A988" s="38"/>
      <c r="B988" s="3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41"/>
      <c r="U988" s="11"/>
      <c r="V988" s="11"/>
      <c r="W988" s="11"/>
      <c r="X988" s="11"/>
      <c r="Y988" s="11"/>
      <c r="Z988" s="11"/>
      <c r="AA988" s="11"/>
      <c r="AB988" s="11"/>
    </row>
    <row r="989" spans="1:28" ht="14.25" customHeight="1">
      <c r="A989" s="38"/>
      <c r="B989" s="3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41"/>
      <c r="U989" s="11"/>
      <c r="V989" s="11"/>
      <c r="W989" s="11"/>
      <c r="X989" s="11"/>
      <c r="Y989" s="11"/>
      <c r="Z989" s="11"/>
      <c r="AA989" s="11"/>
      <c r="AB989" s="11"/>
    </row>
    <row r="990" spans="1:28" ht="14.25" customHeight="1">
      <c r="A990" s="38"/>
      <c r="B990" s="3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41"/>
      <c r="U990" s="11"/>
      <c r="V990" s="11"/>
      <c r="W990" s="11"/>
      <c r="X990" s="11"/>
      <c r="Y990" s="11"/>
      <c r="Z990" s="11"/>
      <c r="AA990" s="11"/>
      <c r="AB990" s="11"/>
    </row>
    <row r="991" spans="1:28" ht="14.25" customHeight="1">
      <c r="A991" s="38"/>
      <c r="B991" s="3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41"/>
      <c r="U991" s="11"/>
      <c r="V991" s="11"/>
      <c r="W991" s="11"/>
      <c r="X991" s="11"/>
      <c r="Y991" s="11"/>
      <c r="Z991" s="11"/>
      <c r="AA991" s="11"/>
      <c r="AB991" s="11"/>
    </row>
    <row r="992" spans="1:28" ht="14.25" customHeight="1">
      <c r="A992" s="38"/>
      <c r="B992" s="3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41"/>
      <c r="U992" s="11"/>
      <c r="V992" s="11"/>
      <c r="W992" s="11"/>
      <c r="X992" s="11"/>
      <c r="Y992" s="11"/>
      <c r="Z992" s="11"/>
      <c r="AA992" s="11"/>
      <c r="AB992" s="11"/>
    </row>
    <row r="993" spans="1:28" ht="14.25" customHeight="1">
      <c r="A993" s="38"/>
      <c r="B993" s="3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41"/>
      <c r="U993" s="11"/>
      <c r="V993" s="11"/>
      <c r="W993" s="11"/>
      <c r="X993" s="11"/>
      <c r="Y993" s="11"/>
      <c r="Z993" s="11"/>
      <c r="AA993" s="11"/>
      <c r="AB993" s="11"/>
    </row>
    <row r="994" spans="1:28" ht="14.25" customHeight="1">
      <c r="A994" s="38"/>
      <c r="B994" s="3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41"/>
      <c r="U994" s="11"/>
      <c r="V994" s="11"/>
      <c r="W994" s="11"/>
      <c r="X994" s="11"/>
      <c r="Y994" s="11"/>
      <c r="Z994" s="11"/>
      <c r="AA994" s="11"/>
      <c r="AB994" s="11"/>
    </row>
    <row r="995" spans="1:28" ht="14.25" customHeight="1">
      <c r="A995" s="38"/>
      <c r="B995" s="3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41"/>
      <c r="U995" s="11"/>
      <c r="V995" s="11"/>
      <c r="W995" s="11"/>
      <c r="X995" s="11"/>
      <c r="Y995" s="11"/>
      <c r="Z995" s="11"/>
      <c r="AA995" s="11"/>
      <c r="AB995" s="11"/>
    </row>
    <row r="996" spans="1:28" ht="14.25" customHeight="1">
      <c r="A996" s="38"/>
      <c r="B996" s="3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41"/>
      <c r="U996" s="11"/>
      <c r="V996" s="11"/>
      <c r="W996" s="11"/>
      <c r="X996" s="11"/>
      <c r="Y996" s="11"/>
      <c r="Z996" s="11"/>
      <c r="AA996" s="11"/>
      <c r="AB996" s="11"/>
    </row>
    <row r="997" spans="1:28" ht="14.25" customHeight="1">
      <c r="A997" s="38"/>
      <c r="B997" s="3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41"/>
      <c r="U997" s="11"/>
      <c r="V997" s="11"/>
      <c r="W997" s="11"/>
      <c r="X997" s="11"/>
      <c r="Y997" s="11"/>
      <c r="Z997" s="11"/>
      <c r="AA997" s="11"/>
      <c r="AB997" s="11"/>
    </row>
    <row r="998" spans="1:28" ht="14.25" customHeight="1">
      <c r="A998" s="38"/>
      <c r="B998" s="3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41"/>
      <c r="U998" s="11"/>
      <c r="V998" s="11"/>
      <c r="W998" s="11"/>
      <c r="X998" s="11"/>
      <c r="Y998" s="11"/>
      <c r="Z998" s="11"/>
      <c r="AA998" s="11"/>
      <c r="AB998" s="11"/>
    </row>
    <row r="999" spans="1:28" ht="14.25" customHeight="1">
      <c r="A999" s="38"/>
      <c r="B999" s="3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41"/>
      <c r="U999" s="11"/>
      <c r="V999" s="11"/>
      <c r="W999" s="11"/>
      <c r="X999" s="11"/>
      <c r="Y999" s="11"/>
      <c r="Z999" s="11"/>
      <c r="AA999" s="11"/>
      <c r="AB999" s="11"/>
    </row>
    <row r="1000" spans="1:28">
      <c r="A1000" s="38"/>
      <c r="B1000" s="3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FAD2-D7D6-4361-9C86-43A06AC1E761}">
  <dimension ref="A1:L60"/>
  <sheetViews>
    <sheetView topLeftCell="A31" zoomScaleNormal="100" workbookViewId="0">
      <selection activeCell="E2" sqref="E2"/>
    </sheetView>
  </sheetViews>
  <sheetFormatPr baseColWidth="10" defaultColWidth="8.83203125" defaultRowHeight="15"/>
  <cols>
    <col min="1" max="1" width="3.6640625" style="12" bestFit="1" customWidth="1"/>
    <col min="2" max="2" width="19" style="95" bestFit="1" customWidth="1"/>
    <col min="3" max="3" width="9.83203125" style="94" bestFit="1" customWidth="1"/>
    <col min="4" max="4" width="8.33203125" style="94" bestFit="1" customWidth="1"/>
    <col min="5" max="5" width="19" style="157" bestFit="1" customWidth="1"/>
    <col min="6" max="6" width="20.33203125" style="157" bestFit="1" customWidth="1"/>
    <col min="7" max="7" width="20.33203125" style="93" bestFit="1" customWidth="1"/>
    <col min="8" max="8" width="8.83203125" style="12" customWidth="1"/>
    <col min="9" max="9" width="8.83203125" style="12"/>
    <col min="10" max="10" width="7.1640625" style="12" bestFit="1" customWidth="1"/>
    <col min="11" max="11" width="9.83203125" style="12" customWidth="1"/>
    <col min="12" max="12" width="17.83203125" style="12" customWidth="1"/>
    <col min="13" max="16384" width="8.83203125" style="12"/>
  </cols>
  <sheetData>
    <row r="1" spans="1:12" s="188" customFormat="1" ht="49" thickBot="1">
      <c r="A1" s="183" t="s">
        <v>20</v>
      </c>
      <c r="B1" s="184" t="s">
        <v>1</v>
      </c>
      <c r="C1" s="185" t="s">
        <v>94</v>
      </c>
      <c r="D1" s="185" t="s">
        <v>197</v>
      </c>
      <c r="E1" s="187" t="s">
        <v>195</v>
      </c>
      <c r="F1" s="187" t="s">
        <v>137</v>
      </c>
      <c r="G1" s="186" t="s">
        <v>81</v>
      </c>
      <c r="H1" s="185" t="s">
        <v>9</v>
      </c>
      <c r="J1" s="228" t="s">
        <v>219</v>
      </c>
      <c r="K1" s="229"/>
      <c r="L1" s="230"/>
    </row>
    <row r="2" spans="1:12" ht="16" thickBot="1">
      <c r="A2" s="52">
        <v>1</v>
      </c>
      <c r="B2" s="53" t="s">
        <v>21</v>
      </c>
      <c r="C2" s="13">
        <v>7289191.0349999992</v>
      </c>
      <c r="D2" s="13" t="str">
        <f>IF(C2&lt;100000,"Small",IF(C2&lt;1000000,"Medium","Large"))</f>
        <v>Large</v>
      </c>
      <c r="E2" s="196">
        <f>L3</f>
        <v>147636.26490038747</v>
      </c>
      <c r="F2" s="157">
        <f>Variables!$E$12</f>
        <v>0</v>
      </c>
      <c r="I2" s="12" t="s">
        <v>203</v>
      </c>
      <c r="J2" s="191" t="s">
        <v>218</v>
      </c>
      <c r="K2" s="189" t="s">
        <v>192</v>
      </c>
      <c r="L2" s="190" t="s">
        <v>217</v>
      </c>
    </row>
    <row r="3" spans="1:12">
      <c r="A3" s="52">
        <v>2</v>
      </c>
      <c r="B3" s="53" t="s">
        <v>22</v>
      </c>
      <c r="C3" s="13">
        <v>2407914.9499999997</v>
      </c>
      <c r="D3" s="13" t="str">
        <f t="shared" ref="D3:D60" si="0">IF(C3&lt;100000,"Small",IF(C3&lt;1000000,"Medium","Large"))</f>
        <v>Large</v>
      </c>
      <c r="E3" s="157">
        <f>AVERAGE(F3:F4)</f>
        <v>97831.088854333517</v>
      </c>
      <c r="F3" s="157">
        <f>G3/Variables!$C$25/100</f>
        <v>194495.58057417042</v>
      </c>
      <c r="G3" s="93">
        <f>160000000/0.0024</f>
        <v>66666666666.666672</v>
      </c>
      <c r="H3" s="91" t="s">
        <v>80</v>
      </c>
      <c r="I3" s="93" t="s">
        <v>203</v>
      </c>
      <c r="J3" s="192" t="s">
        <v>202</v>
      </c>
      <c r="K3" s="94">
        <v>4</v>
      </c>
      <c r="L3" s="194">
        <f>AVERAGE(E3,E5,E7)</f>
        <v>147636.26490038747</v>
      </c>
    </row>
    <row r="4" spans="1:12">
      <c r="A4" s="52"/>
      <c r="B4" s="53"/>
      <c r="C4" s="13"/>
      <c r="D4" s="13"/>
      <c r="F4" s="157">
        <f>G4/Variables!$C$25/100</f>
        <v>1166.5971344966115</v>
      </c>
      <c r="G4" s="93">
        <f>399.871*10^6</f>
        <v>399871000</v>
      </c>
      <c r="H4" s="178" t="s">
        <v>168</v>
      </c>
      <c r="I4" s="12" t="s">
        <v>203</v>
      </c>
      <c r="J4" s="192" t="s">
        <v>201</v>
      </c>
      <c r="K4" s="94">
        <v>25</v>
      </c>
      <c r="L4" s="194">
        <f>AVERAGE(E8:E11,E15,E19,E22,E24,E32,E49)</f>
        <v>106264.06350823946</v>
      </c>
    </row>
    <row r="5" spans="1:12" ht="16" thickBot="1">
      <c r="A5" s="52">
        <v>3</v>
      </c>
      <c r="B5" s="53" t="s">
        <v>23</v>
      </c>
      <c r="C5" s="13">
        <v>1850212.0349999999</v>
      </c>
      <c r="D5" s="13" t="str">
        <f t="shared" si="0"/>
        <v>Large</v>
      </c>
      <c r="E5" s="157">
        <f>AVERAGE(F5:F6)</f>
        <v>82508.672071698849</v>
      </c>
      <c r="F5" s="157">
        <f>G5/Variables!$C$25/100</f>
        <v>116697.34834450224</v>
      </c>
      <c r="G5" s="93">
        <f>40000*10^6</f>
        <v>40000000000</v>
      </c>
      <c r="H5" s="178" t="s">
        <v>191</v>
      </c>
      <c r="I5" s="12" t="s">
        <v>203</v>
      </c>
      <c r="J5" s="193" t="s">
        <v>200</v>
      </c>
      <c r="K5" s="182">
        <v>18</v>
      </c>
      <c r="L5" s="195">
        <f>AVERAGE(E57,E59)</f>
        <v>67524.852942023048</v>
      </c>
    </row>
    <row r="6" spans="1:12">
      <c r="A6" s="52"/>
      <c r="B6" s="53"/>
      <c r="C6" s="13"/>
      <c r="D6" s="13"/>
      <c r="F6" s="157">
        <f>G6/Variables!$C$25/100</f>
        <v>48319.995798895463</v>
      </c>
      <c r="G6" s="93">
        <f>53000000/0.0032</f>
        <v>16562500000</v>
      </c>
      <c r="H6" s="178" t="s">
        <v>190</v>
      </c>
      <c r="I6" s="12" t="s">
        <v>203</v>
      </c>
      <c r="J6" s="94"/>
      <c r="K6" s="94"/>
      <c r="L6" s="179"/>
    </row>
    <row r="7" spans="1:12">
      <c r="A7" s="52">
        <v>4</v>
      </c>
      <c r="B7" s="53" t="s">
        <v>24</v>
      </c>
      <c r="C7" s="13">
        <v>1136904.5449999999</v>
      </c>
      <c r="D7" s="13" t="str">
        <f t="shared" si="0"/>
        <v>Large</v>
      </c>
      <c r="E7" s="157">
        <f>F7</f>
        <v>262569.03377513005</v>
      </c>
      <c r="F7" s="157">
        <f>G7/Variables!$C$25/100</f>
        <v>262569.03377513005</v>
      </c>
      <c r="G7" s="93">
        <f>90000000000</f>
        <v>90000000000</v>
      </c>
      <c r="H7" s="178" t="s">
        <v>169</v>
      </c>
      <c r="I7" s="12" t="s">
        <v>203</v>
      </c>
      <c r="J7" s="96"/>
      <c r="K7" s="180"/>
      <c r="L7" s="180"/>
    </row>
    <row r="8" spans="1:12">
      <c r="A8" s="52">
        <v>5</v>
      </c>
      <c r="B8" s="53" t="s">
        <v>25</v>
      </c>
      <c r="C8" s="13">
        <v>536787.82499999995</v>
      </c>
      <c r="D8" s="13" t="str">
        <f t="shared" si="0"/>
        <v>Medium</v>
      </c>
      <c r="E8" s="157">
        <f>F8</f>
        <v>35009.204503350673</v>
      </c>
      <c r="F8" s="157">
        <f>G8/Variables!$C$25/100</f>
        <v>35009.204503350673</v>
      </c>
      <c r="G8" s="93">
        <f>12000000000</f>
        <v>12000000000</v>
      </c>
      <c r="H8" s="178" t="s">
        <v>187</v>
      </c>
      <c r="I8" s="12" t="s">
        <v>203</v>
      </c>
      <c r="J8" s="181"/>
      <c r="K8" s="96"/>
      <c r="L8" s="177"/>
    </row>
    <row r="9" spans="1:12">
      <c r="A9" s="52">
        <v>6</v>
      </c>
      <c r="B9" s="53" t="s">
        <v>26</v>
      </c>
      <c r="C9" s="13">
        <v>901265.19</v>
      </c>
      <c r="D9" s="13" t="str">
        <f t="shared" si="0"/>
        <v>Medium</v>
      </c>
      <c r="E9" s="157">
        <f t="shared" ref="E9:E10" si="1">F9</f>
        <v>116697.34834450224</v>
      </c>
      <c r="F9" s="157">
        <f>G9/Variables!$C$25/100</f>
        <v>116697.34834450224</v>
      </c>
      <c r="G9" s="93">
        <v>40000000000</v>
      </c>
      <c r="H9" s="178" t="s">
        <v>170</v>
      </c>
      <c r="I9" s="12" t="s">
        <v>204</v>
      </c>
      <c r="J9" s="96"/>
      <c r="K9" s="96"/>
      <c r="L9" s="96"/>
    </row>
    <row r="10" spans="1:12">
      <c r="A10" s="52">
        <v>7</v>
      </c>
      <c r="B10" s="53" t="s">
        <v>27</v>
      </c>
      <c r="C10" s="13">
        <v>638855.21</v>
      </c>
      <c r="D10" s="13" t="str">
        <f t="shared" si="0"/>
        <v>Medium</v>
      </c>
      <c r="E10" s="157">
        <f t="shared" si="1"/>
        <v>388991.16114834079</v>
      </c>
      <c r="F10" s="157">
        <f>G10/Variables!$C$25/100</f>
        <v>388991.16114834079</v>
      </c>
      <c r="G10" s="93">
        <f>200000000/0.0015</f>
        <v>133333333333.33333</v>
      </c>
      <c r="H10" s="178" t="s">
        <v>183</v>
      </c>
      <c r="I10" s="12" t="s">
        <v>203</v>
      </c>
      <c r="J10" s="97"/>
      <c r="K10" s="96"/>
      <c r="L10" s="96"/>
    </row>
    <row r="11" spans="1:12">
      <c r="A11" s="52">
        <v>8</v>
      </c>
      <c r="B11" s="53" t="s">
        <v>28</v>
      </c>
      <c r="C11" s="13">
        <v>415815.05</v>
      </c>
      <c r="D11" s="13" t="str">
        <f t="shared" si="0"/>
        <v>Medium</v>
      </c>
      <c r="E11" s="157">
        <f>AVERAGE(F11:F14)</f>
        <v>150613.7419565586</v>
      </c>
      <c r="F11" s="157">
        <f>G11/Variables!$C$25/100</f>
        <v>103609.79525913749</v>
      </c>
      <c r="G11" s="93">
        <f>380000000/0.0107</f>
        <v>35514018691.588783</v>
      </c>
      <c r="H11" s="178" t="s">
        <v>184</v>
      </c>
      <c r="I11" s="12" t="s">
        <v>203</v>
      </c>
      <c r="J11" s="98"/>
      <c r="K11" s="96"/>
      <c r="L11" s="96"/>
    </row>
    <row r="12" spans="1:12">
      <c r="A12" s="52"/>
      <c r="B12" s="53"/>
      <c r="C12" s="13"/>
      <c r="D12" s="13"/>
      <c r="F12" s="157">
        <f>G12/Variables!$C$25/100</f>
        <v>204220.35960287892</v>
      </c>
      <c r="G12" s="93">
        <f>602560000/0.008608</f>
        <v>70000000000</v>
      </c>
      <c r="H12" s="178" t="s">
        <v>185</v>
      </c>
      <c r="I12" s="12" t="s">
        <v>203</v>
      </c>
      <c r="J12" s="98"/>
      <c r="K12" s="96"/>
      <c r="L12" s="96"/>
    </row>
    <row r="13" spans="1:12">
      <c r="A13" s="52"/>
      <c r="B13" s="53"/>
      <c r="C13" s="13"/>
      <c r="D13" s="13"/>
      <c r="F13" s="157">
        <f>G13/Variables!$C$25/100</f>
        <v>127916.81598667934</v>
      </c>
      <c r="G13" s="93">
        <f>550000000/0.012544</f>
        <v>43845663265.306122</v>
      </c>
      <c r="H13" s="178" t="s">
        <v>186</v>
      </c>
      <c r="I13" s="12" t="s">
        <v>203</v>
      </c>
      <c r="J13" s="98"/>
      <c r="K13" s="96"/>
      <c r="L13" s="96"/>
    </row>
    <row r="14" spans="1:12">
      <c r="A14" s="52"/>
      <c r="B14" s="53"/>
      <c r="C14" s="13"/>
      <c r="D14" s="13"/>
      <c r="F14" s="157">
        <f>G14/Variables!$C$25/100</f>
        <v>166707.99697753869</v>
      </c>
      <c r="G14" s="93">
        <f>57142000000</f>
        <v>57142000000</v>
      </c>
      <c r="H14" s="158" t="s">
        <v>193</v>
      </c>
      <c r="I14" s="12" t="s">
        <v>203</v>
      </c>
      <c r="J14" s="98"/>
      <c r="K14" s="96"/>
      <c r="L14" s="96"/>
    </row>
    <row r="15" spans="1:12">
      <c r="A15" s="52">
        <v>9</v>
      </c>
      <c r="B15" s="53" t="s">
        <v>29</v>
      </c>
      <c r="C15" s="13">
        <v>487050.79499999993</v>
      </c>
      <c r="D15" s="13" t="str">
        <f t="shared" si="0"/>
        <v>Medium</v>
      </c>
      <c r="E15" s="157">
        <f>AVERAGE(F15:F17)</f>
        <v>30870.243745406406</v>
      </c>
      <c r="F15" s="157">
        <f>G15/Variables!$C$25/100</f>
        <v>16410.564610945628</v>
      </c>
      <c r="G15" s="93">
        <f>450000000/0.08</f>
        <v>5625000000</v>
      </c>
      <c r="H15" s="178" t="s">
        <v>176</v>
      </c>
      <c r="I15" s="12" t="s">
        <v>203</v>
      </c>
    </row>
    <row r="16" spans="1:12">
      <c r="A16" s="52"/>
      <c r="B16" s="53"/>
      <c r="C16" s="13"/>
      <c r="D16" s="13"/>
      <c r="F16" s="157">
        <f>G16/Variables!$C$25/100</f>
        <v>17851.492453022467</v>
      </c>
      <c r="G16" s="93">
        <f>250000000/0.040857</f>
        <v>6118902513.645153</v>
      </c>
      <c r="H16" s="178" t="s">
        <v>177</v>
      </c>
      <c r="I16" s="12" t="s">
        <v>203</v>
      </c>
    </row>
    <row r="17" spans="1:9">
      <c r="A17" s="52"/>
      <c r="B17" s="53"/>
      <c r="C17" s="13"/>
      <c r="D17" s="13"/>
      <c r="F17" s="157">
        <f>G17/Variables!$C$25/100</f>
        <v>58348.674172251121</v>
      </c>
      <c r="G17" s="93">
        <f>1494000000/0.0747</f>
        <v>20000000000</v>
      </c>
      <c r="H17" s="178" t="s">
        <v>178</v>
      </c>
      <c r="I17" s="12" t="s">
        <v>203</v>
      </c>
    </row>
    <row r="18" spans="1:9">
      <c r="A18" s="52">
        <v>10</v>
      </c>
      <c r="B18" s="53" t="s">
        <v>30</v>
      </c>
      <c r="C18" s="13">
        <v>508196.29</v>
      </c>
      <c r="D18" s="13" t="str">
        <f t="shared" si="0"/>
        <v>Medium</v>
      </c>
      <c r="E18" s="196">
        <f>$L$4</f>
        <v>106264.06350823946</v>
      </c>
      <c r="H18" s="178"/>
      <c r="I18" s="12" t="s">
        <v>203</v>
      </c>
    </row>
    <row r="19" spans="1:9">
      <c r="A19" s="52">
        <v>11</v>
      </c>
      <c r="B19" s="53" t="s">
        <v>31</v>
      </c>
      <c r="C19" s="13">
        <v>357610.88999999996</v>
      </c>
      <c r="D19" s="13" t="str">
        <f t="shared" si="0"/>
        <v>Medium</v>
      </c>
      <c r="E19" s="157">
        <f>AVERAGE(F19:F21)</f>
        <v>83492.346266214605</v>
      </c>
      <c r="F19" s="157">
        <f>G19/Variables!$C$25/100</f>
        <v>92129.485535133354</v>
      </c>
      <c r="G19" s="93">
        <f>30000000/0.00095</f>
        <v>31578947368.421051</v>
      </c>
      <c r="H19" s="178" t="s">
        <v>180</v>
      </c>
      <c r="I19" s="12" t="s">
        <v>203</v>
      </c>
    </row>
    <row r="20" spans="1:9">
      <c r="A20" s="52"/>
      <c r="B20" s="53"/>
      <c r="C20" s="13"/>
      <c r="D20" s="13"/>
      <c r="F20" s="157">
        <f>G20/Variables!$C$25/100</f>
        <v>145871.68543062781</v>
      </c>
      <c r="G20" s="93">
        <f>30000000/0.0006</f>
        <v>50000000000.000008</v>
      </c>
      <c r="H20" s="178" t="s">
        <v>181</v>
      </c>
      <c r="I20" s="12" t="s">
        <v>203</v>
      </c>
    </row>
    <row r="21" spans="1:9">
      <c r="A21" s="52"/>
      <c r="B21" s="53"/>
      <c r="C21" s="13"/>
      <c r="D21" s="13"/>
      <c r="F21" s="157">
        <f>G21/Variables!$C$25/100</f>
        <v>12475.867832882643</v>
      </c>
      <c r="G21" s="93">
        <f>65000000/0.0152</f>
        <v>4276315789.4736843</v>
      </c>
      <c r="H21" s="178" t="s">
        <v>182</v>
      </c>
      <c r="I21" s="12" t="s">
        <v>203</v>
      </c>
    </row>
    <row r="22" spans="1:9">
      <c r="A22" s="52">
        <v>12</v>
      </c>
      <c r="B22" s="53" t="s">
        <v>32</v>
      </c>
      <c r="C22" s="13">
        <v>406442.54</v>
      </c>
      <c r="D22" s="13" t="str">
        <f t="shared" si="0"/>
        <v>Medium</v>
      </c>
      <c r="E22" s="157">
        <f>AVERAGE(F22:F23)</f>
        <v>46131.92051743604</v>
      </c>
      <c r="F22" s="157">
        <f>G22/Variables!$C$25/100</f>
        <v>45584.901697071182</v>
      </c>
      <c r="G22" s="93">
        <f>200000000/0.0128</f>
        <v>15625000000</v>
      </c>
      <c r="H22" s="178" t="s">
        <v>173</v>
      </c>
      <c r="I22" s="12" t="s">
        <v>203</v>
      </c>
    </row>
    <row r="23" spans="1:9">
      <c r="A23" s="52"/>
      <c r="B23" s="53"/>
      <c r="C23" s="13"/>
      <c r="D23" s="13"/>
      <c r="F23" s="157">
        <f>G23/Variables!$C$25/100</f>
        <v>46678.939337800897</v>
      </c>
      <c r="G23" s="93">
        <f>160000000/0.01</f>
        <v>16000000000</v>
      </c>
      <c r="H23" s="178" t="s">
        <v>174</v>
      </c>
      <c r="I23" s="12" t="s">
        <v>203</v>
      </c>
    </row>
    <row r="24" spans="1:9">
      <c r="A24" s="52">
        <v>13</v>
      </c>
      <c r="B24" s="53" t="s">
        <v>33</v>
      </c>
      <c r="C24" s="13">
        <v>457980.17999999993</v>
      </c>
      <c r="D24" s="13" t="str">
        <f t="shared" si="0"/>
        <v>Medium</v>
      </c>
      <c r="E24" s="157">
        <f>AVERAGE(F24:F25)</f>
        <v>16674.425234301183</v>
      </c>
      <c r="F24" s="157">
        <f>G24/Variables!$C$25/100</f>
        <v>6.7509416017294539</v>
      </c>
      <c r="G24" s="93">
        <f>10^6*2.314</f>
        <v>2314000</v>
      </c>
      <c r="H24" s="91" t="s">
        <v>80</v>
      </c>
      <c r="I24" s="12" t="s">
        <v>203</v>
      </c>
    </row>
    <row r="25" spans="1:9">
      <c r="A25" s="52"/>
      <c r="B25" s="53"/>
      <c r="C25" s="13"/>
      <c r="D25" s="13"/>
      <c r="F25" s="157">
        <f>G25/Variables!$C$25/100</f>
        <v>33342.099527000639</v>
      </c>
      <c r="G25" s="93">
        <f>800000000/0.07</f>
        <v>11428571428.571428</v>
      </c>
      <c r="H25" s="178" t="s">
        <v>179</v>
      </c>
      <c r="I25" s="12" t="s">
        <v>203</v>
      </c>
    </row>
    <row r="26" spans="1:9">
      <c r="A26" s="52">
        <v>14</v>
      </c>
      <c r="B26" s="53" t="s">
        <v>34</v>
      </c>
      <c r="C26" s="13">
        <v>319243.88999999996</v>
      </c>
      <c r="D26" s="13" t="str">
        <f t="shared" si="0"/>
        <v>Medium</v>
      </c>
      <c r="E26" s="196">
        <f>$L$4</f>
        <v>106264.06350823946</v>
      </c>
      <c r="H26" s="178"/>
      <c r="I26" s="12" t="s">
        <v>203</v>
      </c>
    </row>
    <row r="27" spans="1:9">
      <c r="A27" s="52">
        <v>15</v>
      </c>
      <c r="B27" s="53" t="s">
        <v>35</v>
      </c>
      <c r="C27" s="13">
        <v>279775.61499999999</v>
      </c>
      <c r="D27" s="13" t="str">
        <f t="shared" si="0"/>
        <v>Medium</v>
      </c>
      <c r="E27" s="196">
        <f t="shared" ref="E27:E31" si="2">$L$4</f>
        <v>106264.06350823946</v>
      </c>
      <c r="H27" s="178"/>
      <c r="I27" s="12" t="s">
        <v>203</v>
      </c>
    </row>
    <row r="28" spans="1:9">
      <c r="A28" s="52">
        <v>16</v>
      </c>
      <c r="B28" s="53" t="s">
        <v>36</v>
      </c>
      <c r="C28" s="13">
        <v>466239.23499999993</v>
      </c>
      <c r="D28" s="13" t="str">
        <f t="shared" si="0"/>
        <v>Medium</v>
      </c>
      <c r="E28" s="196">
        <f t="shared" si="2"/>
        <v>106264.06350823946</v>
      </c>
      <c r="F28" s="157">
        <f>G28/Variables!$C$25/100</f>
        <v>0</v>
      </c>
      <c r="H28" s="92"/>
      <c r="I28" s="12" t="s">
        <v>203</v>
      </c>
    </row>
    <row r="29" spans="1:9">
      <c r="A29" s="52">
        <v>17</v>
      </c>
      <c r="B29" s="53" t="s">
        <v>37</v>
      </c>
      <c r="C29" s="13">
        <v>440228.84499999997</v>
      </c>
      <c r="D29" s="13" t="str">
        <f t="shared" si="0"/>
        <v>Medium</v>
      </c>
      <c r="E29" s="196">
        <f t="shared" si="2"/>
        <v>106264.06350823946</v>
      </c>
      <c r="F29" s="157">
        <f>G29/Variables!$C$25/100</f>
        <v>0</v>
      </c>
      <c r="H29" s="92"/>
      <c r="I29" s="12" t="s">
        <v>203</v>
      </c>
    </row>
    <row r="30" spans="1:9">
      <c r="A30" s="52">
        <v>18</v>
      </c>
      <c r="B30" s="53" t="s">
        <v>38</v>
      </c>
      <c r="C30" s="13">
        <v>278741.32999999996</v>
      </c>
      <c r="D30" s="13" t="str">
        <f t="shared" si="0"/>
        <v>Medium</v>
      </c>
      <c r="E30" s="196">
        <f t="shared" si="2"/>
        <v>106264.06350823946</v>
      </c>
      <c r="F30" s="157">
        <f>G30/Variables!$C$25/100</f>
        <v>0</v>
      </c>
      <c r="H30" s="92"/>
      <c r="I30" s="12" t="s">
        <v>203</v>
      </c>
    </row>
    <row r="31" spans="1:9">
      <c r="A31" s="52">
        <v>19</v>
      </c>
      <c r="B31" s="53" t="s">
        <v>39</v>
      </c>
      <c r="C31" s="13">
        <v>281429.05</v>
      </c>
      <c r="D31" s="13" t="str">
        <f t="shared" si="0"/>
        <v>Medium</v>
      </c>
      <c r="E31" s="196">
        <f t="shared" si="2"/>
        <v>106264.06350823946</v>
      </c>
      <c r="F31" s="157">
        <f>G31/Variables!$C$25/100</f>
        <v>0</v>
      </c>
      <c r="H31" s="92"/>
      <c r="I31" s="12" t="s">
        <v>203</v>
      </c>
    </row>
    <row r="32" spans="1:9">
      <c r="A32" s="52">
        <v>20</v>
      </c>
      <c r="B32" s="53" t="s">
        <v>40</v>
      </c>
      <c r="C32" s="13">
        <v>170510.86499999999</v>
      </c>
      <c r="D32" s="13" t="str">
        <f t="shared" si="0"/>
        <v>Medium</v>
      </c>
      <c r="E32" s="157">
        <f>F32</f>
        <v>175046.02251675338</v>
      </c>
      <c r="F32" s="157">
        <f>G32/Variables!$C$25/100</f>
        <v>175046.02251675338</v>
      </c>
      <c r="G32" s="93">
        <f>150000000/0.0025</f>
        <v>60000000000</v>
      </c>
      <c r="H32" s="178" t="s">
        <v>171</v>
      </c>
      <c r="I32" s="12" t="s">
        <v>203</v>
      </c>
    </row>
    <row r="33" spans="1:9">
      <c r="A33" s="52">
        <v>21</v>
      </c>
      <c r="B33" s="53" t="s">
        <v>41</v>
      </c>
      <c r="C33" s="13">
        <v>180236.59499999997</v>
      </c>
      <c r="D33" s="13" t="str">
        <f t="shared" si="0"/>
        <v>Medium</v>
      </c>
      <c r="E33" s="196">
        <f>$L$4</f>
        <v>106264.06350823946</v>
      </c>
      <c r="F33" s="157">
        <f>G33/Variables!$C$25/100</f>
        <v>0</v>
      </c>
      <c r="H33" s="92"/>
      <c r="I33" s="12" t="s">
        <v>203</v>
      </c>
    </row>
    <row r="34" spans="1:9">
      <c r="A34" s="52">
        <v>22</v>
      </c>
      <c r="B34" s="53" t="s">
        <v>42</v>
      </c>
      <c r="C34" s="13">
        <v>159140.83499999999</v>
      </c>
      <c r="D34" s="13" t="str">
        <f t="shared" si="0"/>
        <v>Medium</v>
      </c>
      <c r="E34" s="196">
        <f t="shared" ref="E34:E37" si="3">$L$4</f>
        <v>106264.06350823946</v>
      </c>
      <c r="F34" s="157">
        <f>G34/Variables!$C$25/100</f>
        <v>0</v>
      </c>
      <c r="H34" s="92"/>
      <c r="I34" s="12" t="s">
        <v>203</v>
      </c>
    </row>
    <row r="35" spans="1:9">
      <c r="A35" s="52">
        <v>23</v>
      </c>
      <c r="B35" s="53" t="s">
        <v>43</v>
      </c>
      <c r="C35" s="13">
        <v>122489.18499999998</v>
      </c>
      <c r="D35" s="13" t="str">
        <f t="shared" si="0"/>
        <v>Medium</v>
      </c>
      <c r="E35" s="196">
        <f t="shared" si="3"/>
        <v>106264.06350823946</v>
      </c>
      <c r="F35" s="157">
        <f>G35/Variables!$C$25/100</f>
        <v>0</v>
      </c>
      <c r="H35" s="92"/>
      <c r="I35" s="12" t="s">
        <v>203</v>
      </c>
    </row>
    <row r="36" spans="1:9">
      <c r="A36" s="52">
        <v>24</v>
      </c>
      <c r="B36" s="53" t="s">
        <v>44</v>
      </c>
      <c r="C36" s="13">
        <v>76871.024999999994</v>
      </c>
      <c r="D36" s="13" t="str">
        <f t="shared" si="0"/>
        <v>Small</v>
      </c>
      <c r="E36" s="196">
        <f>$L$5</f>
        <v>67524.852942023048</v>
      </c>
      <c r="F36" s="157">
        <f>G36/Variables!$C$25/100</f>
        <v>0</v>
      </c>
      <c r="H36" s="92"/>
      <c r="I36" s="12" t="s">
        <v>203</v>
      </c>
    </row>
    <row r="37" spans="1:9">
      <c r="A37" s="52">
        <v>25</v>
      </c>
      <c r="B37" s="53" t="s">
        <v>45</v>
      </c>
      <c r="C37" s="13">
        <v>159296.12999999998</v>
      </c>
      <c r="D37" s="13" t="str">
        <f t="shared" si="0"/>
        <v>Medium</v>
      </c>
      <c r="E37" s="196">
        <f t="shared" si="3"/>
        <v>106264.06350823946</v>
      </c>
      <c r="F37" s="157">
        <f>G37/Variables!$C$25/100</f>
        <v>0</v>
      </c>
      <c r="H37" s="92"/>
      <c r="I37" s="12" t="s">
        <v>203</v>
      </c>
    </row>
    <row r="38" spans="1:9">
      <c r="A38" s="52">
        <v>26</v>
      </c>
      <c r="B38" s="53" t="s">
        <v>46</v>
      </c>
      <c r="C38" s="13">
        <v>43486.659999999996</v>
      </c>
      <c r="D38" s="13" t="str">
        <f t="shared" si="0"/>
        <v>Small</v>
      </c>
      <c r="E38" s="196">
        <f>$L$5</f>
        <v>67524.852942023048</v>
      </c>
      <c r="F38" s="157">
        <f>G38/Variables!$C$25/100</f>
        <v>0</v>
      </c>
      <c r="H38" s="92"/>
      <c r="I38" s="12" t="s">
        <v>203</v>
      </c>
    </row>
    <row r="39" spans="1:9">
      <c r="A39" s="52">
        <v>27</v>
      </c>
      <c r="B39" s="53" t="s">
        <v>47</v>
      </c>
      <c r="C39" s="13">
        <v>8155.5249999999996</v>
      </c>
      <c r="D39" s="13" t="str">
        <f t="shared" si="0"/>
        <v>Small</v>
      </c>
      <c r="E39" s="196">
        <f t="shared" ref="E39:E44" si="4">$L$5</f>
        <v>67524.852942023048</v>
      </c>
      <c r="F39" s="157">
        <f>G39/Variables!$C$25/100</f>
        <v>0</v>
      </c>
      <c r="H39" s="92"/>
      <c r="I39" s="12" t="s">
        <v>203</v>
      </c>
    </row>
    <row r="40" spans="1:9">
      <c r="A40" s="52">
        <v>28</v>
      </c>
      <c r="B40" s="53" t="s">
        <v>48</v>
      </c>
      <c r="C40" s="13">
        <v>48807.289999999994</v>
      </c>
      <c r="D40" s="13" t="str">
        <f t="shared" si="0"/>
        <v>Small</v>
      </c>
      <c r="E40" s="196">
        <f t="shared" si="4"/>
        <v>67524.852942023048</v>
      </c>
      <c r="F40" s="157">
        <f>G40/Variables!$C$25/100</f>
        <v>0</v>
      </c>
      <c r="H40" s="92"/>
      <c r="I40" s="12" t="s">
        <v>203</v>
      </c>
    </row>
    <row r="41" spans="1:9">
      <c r="A41" s="52">
        <v>29</v>
      </c>
      <c r="B41" s="53" t="s">
        <v>49</v>
      </c>
      <c r="C41" s="13">
        <v>49148.329999999994</v>
      </c>
      <c r="D41" s="13" t="str">
        <f t="shared" si="0"/>
        <v>Small</v>
      </c>
      <c r="E41" s="196">
        <f t="shared" si="4"/>
        <v>67524.852942023048</v>
      </c>
      <c r="F41" s="157">
        <f>G41/Variables!$C$25/100</f>
        <v>0</v>
      </c>
      <c r="H41" s="92"/>
      <c r="I41" s="12" t="s">
        <v>203</v>
      </c>
    </row>
    <row r="42" spans="1:9">
      <c r="A42" s="52">
        <v>30</v>
      </c>
      <c r="B42" s="53" t="s">
        <v>50</v>
      </c>
      <c r="C42" s="13">
        <v>20084.82</v>
      </c>
      <c r="D42" s="13" t="str">
        <f t="shared" si="0"/>
        <v>Small</v>
      </c>
      <c r="E42" s="196">
        <f t="shared" si="4"/>
        <v>67524.852942023048</v>
      </c>
      <c r="F42" s="157">
        <f>G42/Variables!$C$25/100</f>
        <v>0</v>
      </c>
      <c r="H42" s="92"/>
      <c r="I42" s="12" t="s">
        <v>203</v>
      </c>
    </row>
    <row r="43" spans="1:9">
      <c r="A43" s="52">
        <v>31</v>
      </c>
      <c r="B43" s="53" t="s">
        <v>51</v>
      </c>
      <c r="C43" s="13">
        <v>30555.559999999998</v>
      </c>
      <c r="D43" s="13" t="str">
        <f t="shared" si="0"/>
        <v>Small</v>
      </c>
      <c r="E43" s="196">
        <f t="shared" si="4"/>
        <v>67524.852942023048</v>
      </c>
      <c r="F43" s="157">
        <f>G43/Variables!$C$25/100</f>
        <v>0</v>
      </c>
      <c r="H43" s="92"/>
      <c r="I43" s="12" t="s">
        <v>203</v>
      </c>
    </row>
    <row r="44" spans="1:9">
      <c r="A44" s="52">
        <v>32</v>
      </c>
      <c r="B44" s="53" t="s">
        <v>52</v>
      </c>
      <c r="C44" s="13">
        <v>28124.634999999998</v>
      </c>
      <c r="D44" s="13" t="str">
        <f t="shared" si="0"/>
        <v>Small</v>
      </c>
      <c r="E44" s="196">
        <f t="shared" si="4"/>
        <v>67524.852942023048</v>
      </c>
      <c r="F44" s="157">
        <f>G44/Variables!$C$25/100</f>
        <v>0</v>
      </c>
      <c r="H44" s="92"/>
      <c r="I44" s="12" t="s">
        <v>203</v>
      </c>
    </row>
    <row r="45" spans="1:9">
      <c r="A45" s="52">
        <v>33</v>
      </c>
      <c r="B45" s="53" t="s">
        <v>53</v>
      </c>
      <c r="C45" s="13">
        <v>120585.04499999998</v>
      </c>
      <c r="D45" s="13" t="str">
        <f t="shared" si="0"/>
        <v>Medium</v>
      </c>
      <c r="E45" s="196">
        <f t="shared" ref="E45:E48" si="5">$L$4</f>
        <v>106264.06350823946</v>
      </c>
      <c r="F45" s="12"/>
      <c r="G45" s="12"/>
      <c r="H45" s="12" t="s">
        <v>194</v>
      </c>
      <c r="I45" s="12" t="s">
        <v>203</v>
      </c>
    </row>
    <row r="46" spans="1:9">
      <c r="A46" s="52">
        <v>34</v>
      </c>
      <c r="B46" s="53" t="s">
        <v>54</v>
      </c>
      <c r="C46" s="13">
        <v>107099.75499999999</v>
      </c>
      <c r="D46" s="13" t="str">
        <f t="shared" si="0"/>
        <v>Medium</v>
      </c>
      <c r="E46" s="196">
        <f t="shared" si="5"/>
        <v>106264.06350823946</v>
      </c>
      <c r="F46" s="157">
        <f>G46/Variables!$C$25/100</f>
        <v>0</v>
      </c>
      <c r="H46" s="92"/>
      <c r="I46" s="12" t="s">
        <v>203</v>
      </c>
    </row>
    <row r="47" spans="1:9">
      <c r="A47" s="52">
        <v>35</v>
      </c>
      <c r="B47" s="53" t="s">
        <v>55</v>
      </c>
      <c r="C47" s="13">
        <v>489129.51499999996</v>
      </c>
      <c r="D47" s="13" t="str">
        <f t="shared" si="0"/>
        <v>Medium</v>
      </c>
      <c r="E47" s="196">
        <f t="shared" si="5"/>
        <v>106264.06350823946</v>
      </c>
      <c r="H47" s="92" t="s">
        <v>167</v>
      </c>
      <c r="I47" s="12" t="s">
        <v>203</v>
      </c>
    </row>
    <row r="48" spans="1:9">
      <c r="A48" s="52">
        <v>36</v>
      </c>
      <c r="B48" s="53" t="s">
        <v>56</v>
      </c>
      <c r="C48" s="13">
        <v>262321.67499999999</v>
      </c>
      <c r="D48" s="13" t="str">
        <f t="shared" si="0"/>
        <v>Medium</v>
      </c>
      <c r="E48" s="196">
        <f t="shared" si="5"/>
        <v>106264.06350823946</v>
      </c>
      <c r="H48" s="178"/>
      <c r="I48" s="12" t="s">
        <v>203</v>
      </c>
    </row>
    <row r="49" spans="1:9">
      <c r="A49" s="52">
        <v>37</v>
      </c>
      <c r="B49" s="53" t="s">
        <v>57</v>
      </c>
      <c r="C49" s="13">
        <v>122268.93</v>
      </c>
      <c r="D49" s="13" t="str">
        <f t="shared" si="0"/>
        <v>Medium</v>
      </c>
      <c r="E49" s="157">
        <f>F49</f>
        <v>19114.220849530542</v>
      </c>
      <c r="F49" s="157">
        <f>G49/Variables!$C$25/100</f>
        <v>19114.220849530542</v>
      </c>
      <c r="G49" s="93">
        <f>38000000/0.0058</f>
        <v>6551724137.931035</v>
      </c>
      <c r="H49" s="178" t="s">
        <v>172</v>
      </c>
      <c r="I49" s="12" t="s">
        <v>203</v>
      </c>
    </row>
    <row r="50" spans="1:9">
      <c r="A50" s="52">
        <v>38</v>
      </c>
      <c r="B50" s="53" t="s">
        <v>58</v>
      </c>
      <c r="C50" s="13">
        <v>60487.909999999996</v>
      </c>
      <c r="D50" s="13" t="str">
        <f t="shared" si="0"/>
        <v>Small</v>
      </c>
      <c r="E50" s="196">
        <f t="shared" ref="E50:E56" si="6">$L$5</f>
        <v>67524.852942023048</v>
      </c>
      <c r="F50" s="157">
        <f>G50/Variables!$C$25/100</f>
        <v>0</v>
      </c>
      <c r="H50" s="92"/>
      <c r="I50" s="12" t="s">
        <v>203</v>
      </c>
    </row>
    <row r="51" spans="1:9">
      <c r="A51" s="52">
        <v>39</v>
      </c>
      <c r="B51" s="53" t="s">
        <v>59</v>
      </c>
      <c r="C51" s="13">
        <v>68124.76999999999</v>
      </c>
      <c r="D51" s="13" t="str">
        <f t="shared" si="0"/>
        <v>Small</v>
      </c>
      <c r="E51" s="196">
        <f t="shared" si="6"/>
        <v>67524.852942023048</v>
      </c>
      <c r="F51" s="157">
        <f>G51/Variables!$C$25/100</f>
        <v>0</v>
      </c>
      <c r="H51" s="92"/>
      <c r="I51" s="12" t="s">
        <v>203</v>
      </c>
    </row>
    <row r="52" spans="1:9">
      <c r="A52" s="52">
        <v>40</v>
      </c>
      <c r="B52" s="53" t="s">
        <v>60</v>
      </c>
      <c r="C52" s="13">
        <v>93867.199999999997</v>
      </c>
      <c r="D52" s="13" t="str">
        <f t="shared" si="0"/>
        <v>Small</v>
      </c>
      <c r="E52" s="196">
        <f t="shared" si="6"/>
        <v>67524.852942023048</v>
      </c>
      <c r="F52" s="157">
        <f>G52/Variables!$C$25/100</f>
        <v>0</v>
      </c>
      <c r="H52" s="92"/>
      <c r="I52" s="12" t="s">
        <v>203</v>
      </c>
    </row>
    <row r="53" spans="1:9">
      <c r="A53" s="52">
        <v>41</v>
      </c>
      <c r="B53" s="53" t="s">
        <v>61</v>
      </c>
      <c r="C53" s="13">
        <v>53105.814999999995</v>
      </c>
      <c r="D53" s="13" t="str">
        <f t="shared" si="0"/>
        <v>Small</v>
      </c>
      <c r="E53" s="196">
        <f t="shared" si="6"/>
        <v>67524.852942023048</v>
      </c>
      <c r="F53" s="157">
        <f>G53/Variables!$C$25/100</f>
        <v>0</v>
      </c>
      <c r="H53" s="92"/>
      <c r="I53" s="12" t="s">
        <v>203</v>
      </c>
    </row>
    <row r="54" spans="1:9">
      <c r="A54" s="52">
        <v>42</v>
      </c>
      <c r="B54" s="53" t="s">
        <v>62</v>
      </c>
      <c r="C54" s="13">
        <v>46203.814999999995</v>
      </c>
      <c r="D54" s="13" t="str">
        <f t="shared" si="0"/>
        <v>Small</v>
      </c>
      <c r="E54" s="196">
        <f t="shared" si="6"/>
        <v>67524.852942023048</v>
      </c>
      <c r="F54" s="157">
        <f>G54/Variables!$C$25/100</f>
        <v>0</v>
      </c>
      <c r="H54" s="92"/>
      <c r="I54" s="12" t="s">
        <v>203</v>
      </c>
    </row>
    <row r="55" spans="1:9">
      <c r="A55" s="52">
        <v>43</v>
      </c>
      <c r="B55" s="53" t="s">
        <v>63</v>
      </c>
      <c r="C55" s="13">
        <v>24397.554999999997</v>
      </c>
      <c r="D55" s="13" t="str">
        <f t="shared" si="0"/>
        <v>Small</v>
      </c>
      <c r="E55" s="196">
        <f t="shared" si="6"/>
        <v>67524.852942023048</v>
      </c>
      <c r="F55" s="157">
        <f>G55/Variables!$C$25/100</f>
        <v>0</v>
      </c>
      <c r="H55" s="92"/>
      <c r="I55" s="12" t="s">
        <v>203</v>
      </c>
    </row>
    <row r="56" spans="1:9">
      <c r="A56" s="52">
        <v>44</v>
      </c>
      <c r="B56" s="51" t="s">
        <v>108</v>
      </c>
      <c r="C56" s="13">
        <v>67305.664999999994</v>
      </c>
      <c r="D56" s="13" t="str">
        <f t="shared" si="0"/>
        <v>Small</v>
      </c>
      <c r="E56" s="196">
        <f t="shared" si="6"/>
        <v>67524.852942023048</v>
      </c>
      <c r="F56" s="157">
        <f>G56/Variables!$C$25/100</f>
        <v>0</v>
      </c>
      <c r="H56" s="92"/>
      <c r="I56" s="12" t="s">
        <v>203</v>
      </c>
    </row>
    <row r="57" spans="1:9">
      <c r="A57" s="52">
        <v>45</v>
      </c>
      <c r="B57" s="53" t="s">
        <v>64</v>
      </c>
      <c r="C57" s="13">
        <v>23970.239999999998</v>
      </c>
      <c r="D57" s="13" t="str">
        <f t="shared" si="0"/>
        <v>Small</v>
      </c>
      <c r="E57" s="157">
        <f>AVERAGE(F57:F58)</f>
        <v>51731.080638081177</v>
      </c>
      <c r="F57" s="157">
        <f>G57/Variables!$C$25/100</f>
        <v>48030.920812523786</v>
      </c>
      <c r="G57" s="93">
        <f>135000000/0.0082</f>
        <v>16463414634.146339</v>
      </c>
      <c r="H57" s="178" t="s">
        <v>188</v>
      </c>
      <c r="I57" s="12" t="s">
        <v>203</v>
      </c>
    </row>
    <row r="58" spans="1:9">
      <c r="A58" s="52"/>
      <c r="B58" s="53"/>
      <c r="C58" s="13"/>
      <c r="D58" s="13"/>
      <c r="F58" s="157">
        <f>G58/Variables!$C$25/100</f>
        <v>55431.240463638569</v>
      </c>
      <c r="G58" s="93">
        <f>570000000/0.03</f>
        <v>19000000000</v>
      </c>
      <c r="H58" s="178" t="s">
        <v>189</v>
      </c>
      <c r="I58" s="12" t="s">
        <v>203</v>
      </c>
    </row>
    <row r="59" spans="1:9">
      <c r="A59" s="52">
        <v>46</v>
      </c>
      <c r="B59" s="53" t="s">
        <v>65</v>
      </c>
      <c r="C59" s="13">
        <v>30635.744999999995</v>
      </c>
      <c r="D59" s="13" t="str">
        <f t="shared" si="0"/>
        <v>Small</v>
      </c>
      <c r="E59" s="157">
        <f t="shared" ref="E59" si="7">F59</f>
        <v>83318.625245964911</v>
      </c>
      <c r="F59" s="157">
        <f>G59/Variables!$C$25/100</f>
        <v>83318.625245964911</v>
      </c>
      <c r="G59" s="93">
        <f>65000000/0.002276</f>
        <v>28558875219.683659</v>
      </c>
      <c r="H59" s="178" t="s">
        <v>175</v>
      </c>
      <c r="I59" s="12" t="s">
        <v>203</v>
      </c>
    </row>
    <row r="60" spans="1:9" ht="16" thickBot="1">
      <c r="A60" s="54">
        <v>47</v>
      </c>
      <c r="B60" s="51" t="s">
        <v>107</v>
      </c>
      <c r="C60" s="13">
        <v>68472.914999999994</v>
      </c>
      <c r="D60" s="13" t="str">
        <f t="shared" si="0"/>
        <v>Small</v>
      </c>
      <c r="E60" s="196">
        <f t="shared" ref="E60" si="8">$L$5</f>
        <v>67524.852942023048</v>
      </c>
      <c r="F60" s="157">
        <f>G60/Variables!$C$25/100</f>
        <v>0</v>
      </c>
      <c r="H60" s="92"/>
      <c r="I60" s="12" t="s">
        <v>203</v>
      </c>
    </row>
  </sheetData>
  <mergeCells count="1">
    <mergeCell ref="J1:L1"/>
  </mergeCells>
  <hyperlinks>
    <hyperlink ref="H7" r:id="rId1" xr:uid="{B20216BA-848A-4C7E-9861-5C5E11675CC5}"/>
    <hyperlink ref="H9" r:id="rId2" xr:uid="{BBC72AE6-6F61-4F88-929F-DBE0448D16F1}"/>
    <hyperlink ref="H32" r:id="rId3" xr:uid="{27EC85A6-94C9-419D-A538-3698DF704A33}"/>
    <hyperlink ref="H49" r:id="rId4" xr:uid="{A76F5DF5-C696-43A9-9277-BD8C0C8D4B8A}"/>
    <hyperlink ref="H22" r:id="rId5" xr:uid="{578270E0-46EB-4586-B634-12D7242EF182}"/>
    <hyperlink ref="H23" r:id="rId6" xr:uid="{AC9B7AB5-A3D4-48AD-B464-21C3B57DC138}"/>
    <hyperlink ref="H59" r:id="rId7" xr:uid="{96AD3E2B-1448-410A-AA6B-E2190E690528}"/>
    <hyperlink ref="H15" r:id="rId8" xr:uid="{9E41D3DF-8F75-4F84-854C-6D02CC2413EE}"/>
    <hyperlink ref="H16" r:id="rId9" xr:uid="{08231F70-E011-4FC9-ADA0-9C98DA2500AE}"/>
    <hyperlink ref="H17" r:id="rId10" xr:uid="{B7AC3243-9C0E-4A68-9758-6A212B83F721}"/>
    <hyperlink ref="H25" r:id="rId11" xr:uid="{2143004D-3BCB-4FEE-9320-B128BB15DE8B}"/>
    <hyperlink ref="H19" r:id="rId12" xr:uid="{E7308920-2AA2-401C-A393-D65B1A69C2CD}"/>
    <hyperlink ref="H20" r:id="rId13" xr:uid="{4CCA22B5-65CF-40EB-A7ED-7B91F1C752B8}"/>
    <hyperlink ref="H21" r:id="rId14" xr:uid="{7831217B-EC7F-47FC-BAE7-09FFACFC3B69}"/>
    <hyperlink ref="H10" r:id="rId15" xr:uid="{6B9B6815-5300-446E-8CEB-E585238E024A}"/>
    <hyperlink ref="H11" r:id="rId16" xr:uid="{0394A997-CAC1-471A-BDF1-6AFD77D513DD}"/>
    <hyperlink ref="H12" r:id="rId17" xr:uid="{197955E9-E4AD-48A5-89FD-87A62B9B092B}"/>
    <hyperlink ref="H13" r:id="rId18" xr:uid="{78A933D3-911D-4B6D-9804-87EC6522C415}"/>
    <hyperlink ref="H8" r:id="rId19" xr:uid="{E1760A77-7F6D-4B90-B491-F45DA912E17D}"/>
    <hyperlink ref="H57" r:id="rId20" xr:uid="{C5A624B6-166E-43C5-9B1B-D7AE0F46188D}"/>
    <hyperlink ref="H58" r:id="rId21" xr:uid="{9311BFE2-511A-4BB2-86BA-048B2936849B}"/>
    <hyperlink ref="H4" r:id="rId22" xr:uid="{EAC0CD82-DEB0-4921-96BE-84489EB22AE6}"/>
    <hyperlink ref="H5" r:id="rId23" xr:uid="{4C893AB6-761E-488C-98AF-90BA9A5383AC}"/>
    <hyperlink ref="H6" r:id="rId24" xr:uid="{9D09E01B-865B-4186-A0F6-BAFD2C3A1480}"/>
  </hyperlinks>
  <pageMargins left="0.7" right="0.7" top="0.75" bottom="0.75" header="0.3" footer="0.3"/>
  <pageSetup orientation="portrait" r:id="rId2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DC58-04E6-4308-92FD-9090BA9B46F9}">
  <dimension ref="A1:L49"/>
  <sheetViews>
    <sheetView workbookViewId="0">
      <selection activeCell="E6" sqref="E6"/>
    </sheetView>
  </sheetViews>
  <sheetFormatPr baseColWidth="10" defaultColWidth="8.83203125" defaultRowHeight="16"/>
  <cols>
    <col min="1" max="1" width="3.33203125" bestFit="1" customWidth="1"/>
    <col min="2" max="2" width="18.5" bestFit="1" customWidth="1"/>
    <col min="3" max="5" width="18.5" customWidth="1"/>
    <col min="6" max="6" width="14.1640625" style="3" bestFit="1" customWidth="1"/>
    <col min="7" max="7" width="5.1640625" bestFit="1" customWidth="1"/>
    <col min="8" max="8" width="20.1640625" customWidth="1"/>
    <col min="11" max="11" width="16.33203125" customWidth="1"/>
    <col min="12" max="12" width="13.83203125" customWidth="1"/>
  </cols>
  <sheetData>
    <row r="1" spans="1:12" ht="69" thickBot="1">
      <c r="A1" s="19" t="s">
        <v>20</v>
      </c>
      <c r="B1" s="20" t="s">
        <v>1</v>
      </c>
      <c r="C1" s="174" t="s">
        <v>213</v>
      </c>
      <c r="D1" s="174" t="s">
        <v>197</v>
      </c>
      <c r="E1" s="173" t="s">
        <v>206</v>
      </c>
      <c r="F1" s="160" t="s">
        <v>205</v>
      </c>
      <c r="G1" s="21" t="s">
        <v>0</v>
      </c>
      <c r="H1" s="172" t="s">
        <v>209</v>
      </c>
      <c r="J1" s="168" t="s">
        <v>0</v>
      </c>
      <c r="K1" s="164" t="s">
        <v>207</v>
      </c>
      <c r="L1" s="165" t="s">
        <v>208</v>
      </c>
    </row>
    <row r="2" spans="1:12">
      <c r="A2" s="10">
        <v>1</v>
      </c>
      <c r="B2" s="22" t="s">
        <v>21</v>
      </c>
      <c r="C2" s="22">
        <f>VLOOKUP(B2,Population!$B$2:$D$48,3,FALSE)</f>
        <v>7289191.0349999992</v>
      </c>
      <c r="D2" s="22" t="str">
        <f>IF(C2&lt;100000,"Small",IF(C2&lt;1000000,"Medium","Large"))</f>
        <v>Large</v>
      </c>
      <c r="E2" s="161">
        <f>F2</f>
        <v>317.8</v>
      </c>
      <c r="F2" s="15">
        <f>317.8</f>
        <v>317.8</v>
      </c>
      <c r="G2" s="16">
        <v>2019</v>
      </c>
      <c r="H2" s="16" t="s">
        <v>11</v>
      </c>
      <c r="J2" s="169">
        <v>2014</v>
      </c>
      <c r="K2" s="18">
        <v>12887.599</v>
      </c>
      <c r="L2" s="166">
        <f>1647.41-419.73*LN(K2)+29.43*LN(K2)^2</f>
        <v>311.0536589652811</v>
      </c>
    </row>
    <row r="3" spans="1:12">
      <c r="A3" s="10">
        <v>2</v>
      </c>
      <c r="B3" s="22" t="s">
        <v>22</v>
      </c>
      <c r="C3" s="22">
        <f>VLOOKUP(B3,Population!$B$2:$D$48,3,FALSE)</f>
        <v>2407914.9499999997</v>
      </c>
      <c r="D3" s="22" t="str">
        <f t="shared" ref="D3:D48" si="0">IF(C3&lt;100000,"Small",IF(C3&lt;1000000,"Medium","Large"))</f>
        <v>Large</v>
      </c>
      <c r="E3" s="161">
        <f>F3</f>
        <v>142.4</v>
      </c>
      <c r="F3" s="15">
        <f>142.4</f>
        <v>142.4</v>
      </c>
      <c r="G3" s="16">
        <v>2019</v>
      </c>
      <c r="H3" s="16" t="s">
        <v>11</v>
      </c>
      <c r="J3" s="169">
        <v>2016</v>
      </c>
      <c r="K3" s="18">
        <v>13207.468000000001</v>
      </c>
      <c r="L3" s="166">
        <f>1647.41-419.73*LN(K3)+29.43*LN(K3)^2</f>
        <v>314.43806438472166</v>
      </c>
    </row>
    <row r="4" spans="1:12" ht="17" thickBot="1">
      <c r="A4" s="10">
        <v>3</v>
      </c>
      <c r="B4" s="22" t="s">
        <v>23</v>
      </c>
      <c r="C4" s="22">
        <f>VLOOKUP(B4,Population!$B$2:$D$48,3,FALSE)</f>
        <v>1850212.0349999999</v>
      </c>
      <c r="D4" s="22" t="str">
        <f t="shared" si="0"/>
        <v>Large</v>
      </c>
      <c r="E4" s="161">
        <f>($L$4/$L$3)*F4</f>
        <v>105.88316888735589</v>
      </c>
      <c r="F4" s="15">
        <f>0.27*365</f>
        <v>98.550000000000011</v>
      </c>
      <c r="G4" s="16">
        <v>2016</v>
      </c>
      <c r="H4" s="25" t="s">
        <v>106</v>
      </c>
      <c r="J4" s="170">
        <v>2019</v>
      </c>
      <c r="K4" s="171">
        <f>'Cost Calculation'!G4</f>
        <v>15545.345840954085</v>
      </c>
      <c r="L4" s="167">
        <f>1647.41-419.73*LN(K4)+29.43*LN(K4)^2</f>
        <v>337.83560300213867</v>
      </c>
    </row>
    <row r="5" spans="1:12">
      <c r="A5" s="10">
        <v>4</v>
      </c>
      <c r="B5" s="22" t="s">
        <v>24</v>
      </c>
      <c r="C5" s="22">
        <f>VLOOKUP(B5,Population!$B$2:$D$48,3,FALSE)</f>
        <v>1136904.5449999999</v>
      </c>
      <c r="D5" s="22" t="str">
        <f t="shared" si="0"/>
        <v>Large</v>
      </c>
      <c r="E5" s="161">
        <f>($L$4/$L$3)*F5</f>
        <v>364.70869283422587</v>
      </c>
      <c r="F5" s="24">
        <f>0.93*365</f>
        <v>339.45000000000005</v>
      </c>
      <c r="G5" s="16">
        <v>2016</v>
      </c>
      <c r="H5" s="25" t="s">
        <v>106</v>
      </c>
    </row>
    <row r="6" spans="1:12">
      <c r="A6" s="10">
        <v>5</v>
      </c>
      <c r="B6" s="22" t="s">
        <v>25</v>
      </c>
      <c r="C6" s="22">
        <f>VLOOKUP(B6,Population!$B$2:$D$48,3,FALSE)</f>
        <v>536787.82499999995</v>
      </c>
      <c r="D6" s="22" t="str">
        <f t="shared" si="0"/>
        <v>Medium</v>
      </c>
      <c r="E6" s="162">
        <v>139.06651036916537</v>
      </c>
      <c r="F6" s="17">
        <v>0</v>
      </c>
      <c r="G6" s="16"/>
      <c r="H6" s="16"/>
    </row>
    <row r="7" spans="1:12">
      <c r="A7" s="10">
        <v>6</v>
      </c>
      <c r="B7" s="22" t="s">
        <v>26</v>
      </c>
      <c r="C7" s="22">
        <f>VLOOKUP(B7,Population!$B$2:$D$48,3,FALSE)</f>
        <v>901265.19</v>
      </c>
      <c r="D7" s="22" t="str">
        <f t="shared" si="0"/>
        <v>Medium</v>
      </c>
      <c r="E7" s="162">
        <v>139.06651036916537</v>
      </c>
      <c r="F7" s="17">
        <v>0</v>
      </c>
      <c r="G7" s="16"/>
      <c r="H7" s="16"/>
    </row>
    <row r="8" spans="1:12">
      <c r="A8" s="10">
        <v>7</v>
      </c>
      <c r="B8" s="22" t="s">
        <v>27</v>
      </c>
      <c r="C8" s="22">
        <f>VLOOKUP(B8,Population!$B$2:$D$48,3,FALSE)</f>
        <v>638855.21</v>
      </c>
      <c r="D8" s="22" t="str">
        <f t="shared" si="0"/>
        <v>Medium</v>
      </c>
      <c r="E8" s="162">
        <v>139.06651036916537</v>
      </c>
      <c r="F8" s="17">
        <v>0</v>
      </c>
      <c r="G8" s="16"/>
      <c r="H8" s="16"/>
    </row>
    <row r="9" spans="1:12">
      <c r="A9" s="10">
        <v>8</v>
      </c>
      <c r="B9" s="22" t="s">
        <v>28</v>
      </c>
      <c r="C9" s="22">
        <f>VLOOKUP(B9,Population!$B$2:$D$48,3,FALSE)</f>
        <v>415815.05</v>
      </c>
      <c r="D9" s="22" t="str">
        <f t="shared" si="0"/>
        <v>Medium</v>
      </c>
      <c r="E9" s="162">
        <v>139.06651036916537</v>
      </c>
      <c r="F9" s="17">
        <v>0</v>
      </c>
      <c r="G9" s="16"/>
      <c r="H9" s="16"/>
      <c r="J9" t="s">
        <v>197</v>
      </c>
      <c r="K9" t="s">
        <v>214</v>
      </c>
    </row>
    <row r="10" spans="1:12">
      <c r="A10" s="10">
        <v>9</v>
      </c>
      <c r="B10" s="22" t="s">
        <v>29</v>
      </c>
      <c r="C10" s="22">
        <f>VLOOKUP(B10,Population!$B$2:$D$48,3,FALSE)</f>
        <v>487050.79499999993</v>
      </c>
      <c r="D10" s="22" t="str">
        <f t="shared" si="0"/>
        <v>Medium</v>
      </c>
      <c r="E10" s="162">
        <v>139.06651036916537</v>
      </c>
      <c r="F10" s="17">
        <v>0</v>
      </c>
      <c r="G10" s="16"/>
      <c r="H10" s="16"/>
      <c r="J10" t="s">
        <v>202</v>
      </c>
      <c r="K10" s="102">
        <f>SUMPRODUCT((D2:D48="Large")*(F2:F48&gt;0)*C2:C48*E2:E48)/SUMIFS(C2:C48,D2:D48,"Large",F2:F48,"&gt;0")</f>
        <v>257.79564075841836</v>
      </c>
    </row>
    <row r="11" spans="1:12">
      <c r="A11" s="10">
        <v>10</v>
      </c>
      <c r="B11" s="22" t="s">
        <v>30</v>
      </c>
      <c r="C11" s="22">
        <f>VLOOKUP(B11,Population!$B$2:$D$48,3,FALSE)</f>
        <v>508196.29</v>
      </c>
      <c r="D11" s="22" t="str">
        <f t="shared" si="0"/>
        <v>Medium</v>
      </c>
      <c r="E11" s="162">
        <v>139.06651036916537</v>
      </c>
      <c r="F11" s="17">
        <v>0</v>
      </c>
      <c r="G11" s="16"/>
      <c r="H11" s="16"/>
      <c r="J11" t="s">
        <v>201</v>
      </c>
      <c r="K11" s="102">
        <f>SUMPRODUCT((D2:D48="Medium")*(F2:F48&gt;0)*C2:C48*E2:E48)/SUMIFS(C2:C48,D2:D48,"Medium",F2:F48,"&gt;0")</f>
        <v>139.06651036916537</v>
      </c>
    </row>
    <row r="12" spans="1:12">
      <c r="A12" s="10">
        <v>11</v>
      </c>
      <c r="B12" s="22" t="s">
        <v>31</v>
      </c>
      <c r="C12" s="22">
        <f>VLOOKUP(B12,Population!$B$2:$D$48,3,FALSE)</f>
        <v>357610.88999999996</v>
      </c>
      <c r="D12" s="22" t="str">
        <f t="shared" si="0"/>
        <v>Medium</v>
      </c>
      <c r="E12" s="162">
        <v>139.06651036916537</v>
      </c>
      <c r="F12" s="17">
        <v>0</v>
      </c>
      <c r="G12" s="16"/>
      <c r="H12" s="16"/>
      <c r="J12" t="s">
        <v>200</v>
      </c>
      <c r="K12" s="102">
        <f>SUMPRODUCT((D2:D48="Small")*(F2:F48&gt;0)*C2:C48*E2:E48)/SUMIFS(C2:C48,D2:D48,"Small",F2:F48,"&gt;0")</f>
        <v>152.87183278182917</v>
      </c>
    </row>
    <row r="13" spans="1:12">
      <c r="A13" s="10">
        <v>12</v>
      </c>
      <c r="B13" s="22" t="s">
        <v>32</v>
      </c>
      <c r="C13" s="22">
        <f>VLOOKUP(B13,Population!$B$2:$D$48,3,FALSE)</f>
        <v>406442.54</v>
      </c>
      <c r="D13" s="22" t="str">
        <f t="shared" si="0"/>
        <v>Medium</v>
      </c>
      <c r="E13" s="162">
        <v>139.06651036916537</v>
      </c>
      <c r="F13" s="17">
        <v>0</v>
      </c>
      <c r="G13" s="16"/>
      <c r="H13" s="16"/>
    </row>
    <row r="14" spans="1:12">
      <c r="A14" s="10">
        <v>13</v>
      </c>
      <c r="B14" s="22" t="s">
        <v>33</v>
      </c>
      <c r="C14" s="22">
        <f>VLOOKUP(B14,Population!$B$2:$D$48,3,FALSE)</f>
        <v>457980.17999999993</v>
      </c>
      <c r="D14" s="22" t="str">
        <f t="shared" si="0"/>
        <v>Medium</v>
      </c>
      <c r="E14" s="162">
        <v>139.06651036916537</v>
      </c>
      <c r="F14" s="17">
        <v>0</v>
      </c>
      <c r="G14" s="16"/>
      <c r="H14" s="16"/>
    </row>
    <row r="15" spans="1:12">
      <c r="A15" s="10">
        <v>14</v>
      </c>
      <c r="B15" s="22" t="s">
        <v>34</v>
      </c>
      <c r="C15" s="22">
        <f>VLOOKUP(B15,Population!$B$2:$D$48,3,FALSE)</f>
        <v>319243.88999999996</v>
      </c>
      <c r="D15" s="22" t="str">
        <f t="shared" si="0"/>
        <v>Medium</v>
      </c>
      <c r="E15" s="162">
        <v>139.06651036916537</v>
      </c>
      <c r="F15" s="17">
        <v>0</v>
      </c>
      <c r="G15" s="16"/>
      <c r="H15" s="16"/>
    </row>
    <row r="16" spans="1:12">
      <c r="A16" s="10">
        <v>15</v>
      </c>
      <c r="B16" s="22" t="s">
        <v>35</v>
      </c>
      <c r="C16" s="22">
        <f>VLOOKUP(B16,Population!$B$2:$D$48,3,FALSE)</f>
        <v>279775.61499999999</v>
      </c>
      <c r="D16" s="22" t="str">
        <f t="shared" si="0"/>
        <v>Medium</v>
      </c>
      <c r="E16" s="161">
        <f>($L$4/$L$2)*F16</f>
        <v>86.182092142538806</v>
      </c>
      <c r="F16" s="15">
        <f>6.6125*12</f>
        <v>79.349999999999994</v>
      </c>
      <c r="G16" s="16">
        <v>2014</v>
      </c>
      <c r="H16" s="23" t="s">
        <v>79</v>
      </c>
      <c r="K16" s="102"/>
    </row>
    <row r="17" spans="1:8">
      <c r="A17" s="10">
        <v>16</v>
      </c>
      <c r="B17" s="22" t="s">
        <v>36</v>
      </c>
      <c r="C17" s="22">
        <f>VLOOKUP(B17,Population!$B$2:$D$48,3,FALSE)</f>
        <v>466239.23499999993</v>
      </c>
      <c r="D17" s="22" t="str">
        <f t="shared" si="0"/>
        <v>Medium</v>
      </c>
      <c r="E17" s="162">
        <v>139.06651036916537</v>
      </c>
      <c r="F17" s="17">
        <v>0</v>
      </c>
      <c r="G17" s="16"/>
      <c r="H17" s="16"/>
    </row>
    <row r="18" spans="1:8">
      <c r="A18" s="10">
        <v>17</v>
      </c>
      <c r="B18" s="22" t="s">
        <v>37</v>
      </c>
      <c r="C18" s="22">
        <f>VLOOKUP(B18,Population!$B$2:$D$48,3,FALSE)</f>
        <v>440228.84499999997</v>
      </c>
      <c r="D18" s="22" t="str">
        <f t="shared" si="0"/>
        <v>Medium</v>
      </c>
      <c r="E18" s="162">
        <v>139.06651036916537</v>
      </c>
      <c r="F18" s="17">
        <v>0</v>
      </c>
      <c r="G18" s="16"/>
      <c r="H18" s="16"/>
    </row>
    <row r="19" spans="1:8">
      <c r="A19" s="10">
        <v>18</v>
      </c>
      <c r="B19" s="22" t="s">
        <v>38</v>
      </c>
      <c r="C19" s="22">
        <f>VLOOKUP(B19,Population!$B$2:$D$48,3,FALSE)</f>
        <v>278741.32999999996</v>
      </c>
      <c r="D19" s="22" t="str">
        <f t="shared" si="0"/>
        <v>Medium</v>
      </c>
      <c r="E19" s="162">
        <v>139.06651036916537</v>
      </c>
      <c r="F19" s="17">
        <v>0</v>
      </c>
      <c r="G19" s="16"/>
      <c r="H19" s="16"/>
    </row>
    <row r="20" spans="1:8">
      <c r="A20" s="10">
        <v>19</v>
      </c>
      <c r="B20" s="22" t="s">
        <v>39</v>
      </c>
      <c r="C20" s="22">
        <f>VLOOKUP(B20,Population!$B$2:$D$48,3,FALSE)</f>
        <v>281429.05</v>
      </c>
      <c r="D20" s="22" t="str">
        <f t="shared" si="0"/>
        <v>Medium</v>
      </c>
      <c r="E20" s="162">
        <v>139.06651036916537</v>
      </c>
      <c r="F20" s="17">
        <v>0</v>
      </c>
      <c r="G20" s="16"/>
      <c r="H20" s="16"/>
    </row>
    <row r="21" spans="1:8">
      <c r="A21" s="10">
        <v>20</v>
      </c>
      <c r="B21" s="22" t="s">
        <v>40</v>
      </c>
      <c r="C21" s="22">
        <f>VLOOKUP(B21,Population!$B$2:$D$48,3,FALSE)</f>
        <v>170510.86499999999</v>
      </c>
      <c r="D21" s="22" t="str">
        <f t="shared" si="0"/>
        <v>Medium</v>
      </c>
      <c r="E21" s="162">
        <v>139.06651036916537</v>
      </c>
      <c r="F21" s="17">
        <v>0</v>
      </c>
      <c r="G21" s="16"/>
      <c r="H21" s="16"/>
    </row>
    <row r="22" spans="1:8">
      <c r="A22" s="10">
        <v>21</v>
      </c>
      <c r="B22" s="22" t="s">
        <v>41</v>
      </c>
      <c r="C22" s="22">
        <f>VLOOKUP(B22,Population!$B$2:$D$48,3,FALSE)</f>
        <v>180236.59499999997</v>
      </c>
      <c r="D22" s="22" t="str">
        <f t="shared" si="0"/>
        <v>Medium</v>
      </c>
      <c r="E22" s="162">
        <v>139.06651036916537</v>
      </c>
      <c r="F22" s="17">
        <v>0</v>
      </c>
      <c r="G22" s="16"/>
      <c r="H22" s="16"/>
    </row>
    <row r="23" spans="1:8">
      <c r="A23" s="10">
        <v>22</v>
      </c>
      <c r="B23" s="22" t="s">
        <v>42</v>
      </c>
      <c r="C23" s="22">
        <f>VLOOKUP(B23,Population!$B$2:$D$48,3,FALSE)</f>
        <v>159140.83499999999</v>
      </c>
      <c r="D23" s="22" t="str">
        <f t="shared" si="0"/>
        <v>Medium</v>
      </c>
      <c r="E23" s="161">
        <f>($L$4/$L$2)*F23</f>
        <v>105.13454970885643</v>
      </c>
      <c r="F23" s="24">
        <v>96.8</v>
      </c>
      <c r="G23" s="16">
        <v>2014</v>
      </c>
      <c r="H23" s="16"/>
    </row>
    <row r="24" spans="1:8">
      <c r="A24" s="10">
        <v>23</v>
      </c>
      <c r="B24" s="22" t="s">
        <v>43</v>
      </c>
      <c r="C24" s="22">
        <f>VLOOKUP(B24,Population!$B$2:$D$48,3,FALSE)</f>
        <v>122489.18499999998</v>
      </c>
      <c r="D24" s="22" t="str">
        <f t="shared" si="0"/>
        <v>Medium</v>
      </c>
      <c r="E24" s="161">
        <f>($L$4/$L$2)*F24</f>
        <v>103.17956841261736</v>
      </c>
      <c r="F24" s="24">
        <v>95</v>
      </c>
      <c r="G24" s="16">
        <v>2014</v>
      </c>
      <c r="H24" s="16"/>
    </row>
    <row r="25" spans="1:8">
      <c r="A25" s="10">
        <v>24</v>
      </c>
      <c r="B25" s="22" t="s">
        <v>44</v>
      </c>
      <c r="C25" s="22">
        <f>VLOOKUP(B25,Population!$B$2:$D$48,3,FALSE)</f>
        <v>76871.024999999994</v>
      </c>
      <c r="D25" s="22" t="str">
        <f t="shared" si="0"/>
        <v>Small</v>
      </c>
      <c r="E25" s="161">
        <f>($L$4/$L$3)*F25</f>
        <v>104.54015558335594</v>
      </c>
      <c r="F25" s="24">
        <v>97.3</v>
      </c>
      <c r="G25" s="16">
        <v>2016</v>
      </c>
      <c r="H25" s="16"/>
    </row>
    <row r="26" spans="1:8">
      <c r="A26" s="10">
        <v>25</v>
      </c>
      <c r="B26" s="22" t="s">
        <v>45</v>
      </c>
      <c r="C26" s="22">
        <f>VLOOKUP(B26,Population!$B$2:$D$48,3,FALSE)</f>
        <v>159296.12999999998</v>
      </c>
      <c r="D26" s="22" t="str">
        <f t="shared" si="0"/>
        <v>Medium</v>
      </c>
      <c r="E26" s="161">
        <f>($L$4/$L$3)*F26</f>
        <v>104.21783239039596</v>
      </c>
      <c r="F26" s="24">
        <v>97</v>
      </c>
      <c r="G26" s="16">
        <v>2016</v>
      </c>
      <c r="H26" s="16"/>
    </row>
    <row r="27" spans="1:8">
      <c r="A27" s="10">
        <v>26</v>
      </c>
      <c r="B27" s="22" t="s">
        <v>46</v>
      </c>
      <c r="C27" s="22">
        <f>VLOOKUP(B27,Population!$B$2:$D$48,3,FALSE)</f>
        <v>43486.659999999996</v>
      </c>
      <c r="D27" s="22" t="str">
        <f t="shared" si="0"/>
        <v>Small</v>
      </c>
      <c r="E27" s="161">
        <f>($L$4/$L$3)*F27</f>
        <v>105.29224303359591</v>
      </c>
      <c r="F27" s="24">
        <v>98</v>
      </c>
      <c r="G27" s="16">
        <v>2016</v>
      </c>
      <c r="H27" s="16"/>
    </row>
    <row r="28" spans="1:8">
      <c r="A28" s="10">
        <v>27</v>
      </c>
      <c r="B28" s="22" t="s">
        <v>47</v>
      </c>
      <c r="C28" s="22">
        <f>VLOOKUP(B28,Population!$B$2:$D$48,3,FALSE)</f>
        <v>8155.5249999999996</v>
      </c>
      <c r="D28" s="22" t="str">
        <f t="shared" si="0"/>
        <v>Small</v>
      </c>
      <c r="E28" s="161">
        <f>($L$4/$L$2)*F28</f>
        <v>104.26566913275018</v>
      </c>
      <c r="F28" s="24">
        <v>96</v>
      </c>
      <c r="G28" s="16">
        <v>2014</v>
      </c>
      <c r="H28" s="16"/>
    </row>
    <row r="29" spans="1:8">
      <c r="A29" s="10">
        <v>28</v>
      </c>
      <c r="B29" s="22" t="s">
        <v>48</v>
      </c>
      <c r="C29" s="22">
        <f>VLOOKUP(B29,Population!$B$2:$D$48,3,FALSE)</f>
        <v>48807.289999999994</v>
      </c>
      <c r="D29" s="22" t="str">
        <f t="shared" si="0"/>
        <v>Small</v>
      </c>
      <c r="E29" s="162">
        <v>152.87183278182917</v>
      </c>
      <c r="F29" s="17">
        <v>0</v>
      </c>
      <c r="G29" s="16"/>
      <c r="H29" s="16"/>
    </row>
    <row r="30" spans="1:8">
      <c r="A30" s="10">
        <v>29</v>
      </c>
      <c r="B30" s="22" t="s">
        <v>49</v>
      </c>
      <c r="C30" s="22">
        <f>VLOOKUP(B30,Population!$B$2:$D$48,3,FALSE)</f>
        <v>49148.329999999994</v>
      </c>
      <c r="D30" s="22" t="str">
        <f t="shared" si="0"/>
        <v>Small</v>
      </c>
      <c r="E30" s="162">
        <v>152.87183278182917</v>
      </c>
      <c r="F30" s="17">
        <v>0</v>
      </c>
      <c r="G30" s="16"/>
      <c r="H30" s="16"/>
    </row>
    <row r="31" spans="1:8">
      <c r="A31" s="10">
        <v>30</v>
      </c>
      <c r="B31" s="22" t="s">
        <v>50</v>
      </c>
      <c r="C31" s="22">
        <f>VLOOKUP(B31,Population!$B$2:$D$48,3,FALSE)</f>
        <v>20084.82</v>
      </c>
      <c r="D31" s="22" t="str">
        <f t="shared" si="0"/>
        <v>Small</v>
      </c>
      <c r="E31" s="162">
        <v>152.87183278182917</v>
      </c>
      <c r="F31" s="17">
        <v>0</v>
      </c>
      <c r="G31" s="16"/>
      <c r="H31" s="16"/>
    </row>
    <row r="32" spans="1:8">
      <c r="A32" s="10">
        <v>31</v>
      </c>
      <c r="B32" s="22" t="s">
        <v>51</v>
      </c>
      <c r="C32" s="22">
        <f>VLOOKUP(B32,Population!$B$2:$D$48,3,FALSE)</f>
        <v>30555.559999999998</v>
      </c>
      <c r="D32" s="22" t="str">
        <f t="shared" si="0"/>
        <v>Small</v>
      </c>
      <c r="E32" s="162">
        <v>152.87183278182917</v>
      </c>
      <c r="F32" s="17">
        <v>0</v>
      </c>
      <c r="G32" s="16"/>
      <c r="H32" s="16"/>
    </row>
    <row r="33" spans="1:8">
      <c r="A33" s="10">
        <v>32</v>
      </c>
      <c r="B33" s="22" t="s">
        <v>52</v>
      </c>
      <c r="C33" s="22">
        <f>VLOOKUP(B33,Population!$B$2:$D$48,3,FALSE)</f>
        <v>28124.634999999998</v>
      </c>
      <c r="D33" s="22" t="str">
        <f t="shared" si="0"/>
        <v>Small</v>
      </c>
      <c r="E33" s="162">
        <v>152.87183278182917</v>
      </c>
      <c r="F33" s="17">
        <v>0</v>
      </c>
      <c r="G33" s="16"/>
      <c r="H33" s="16"/>
    </row>
    <row r="34" spans="1:8">
      <c r="A34" s="10">
        <v>33</v>
      </c>
      <c r="B34" s="22" t="s">
        <v>53</v>
      </c>
      <c r="C34" s="22">
        <f>VLOOKUP(B34,Population!$B$2:$D$48,3,FALSE)</f>
        <v>120585.04499999998</v>
      </c>
      <c r="D34" s="22" t="str">
        <f t="shared" si="0"/>
        <v>Medium</v>
      </c>
      <c r="E34" s="161">
        <f>($L$4/$L$3)*F34</f>
        <v>200.00154123167223</v>
      </c>
      <c r="F34" s="24">
        <f>0.51*365</f>
        <v>186.15</v>
      </c>
      <c r="G34" s="16">
        <v>2016</v>
      </c>
      <c r="H34" s="16"/>
    </row>
    <row r="35" spans="1:8">
      <c r="A35" s="10">
        <v>34</v>
      </c>
      <c r="B35" s="22" t="s">
        <v>54</v>
      </c>
      <c r="C35" s="22">
        <f>VLOOKUP(B35,Population!$B$2:$D$48,3,FALSE)</f>
        <v>107099.75499999999</v>
      </c>
      <c r="D35" s="22" t="str">
        <f t="shared" si="0"/>
        <v>Medium</v>
      </c>
      <c r="E35" s="162">
        <v>139.06651036916537</v>
      </c>
      <c r="F35" s="17">
        <v>0</v>
      </c>
      <c r="G35" s="16"/>
      <c r="H35" s="16"/>
    </row>
    <row r="36" spans="1:8">
      <c r="A36" s="10">
        <v>35</v>
      </c>
      <c r="B36" s="22" t="s">
        <v>55</v>
      </c>
      <c r="C36" s="22">
        <f>VLOOKUP(B36,Population!$B$2:$D$48,3,FALSE)</f>
        <v>489129.51499999996</v>
      </c>
      <c r="D36" s="22" t="str">
        <f t="shared" si="0"/>
        <v>Medium</v>
      </c>
      <c r="E36" s="162">
        <v>139.06651036916537</v>
      </c>
      <c r="F36" s="17">
        <v>0</v>
      </c>
      <c r="G36" s="16"/>
      <c r="H36" s="16"/>
    </row>
    <row r="37" spans="1:8">
      <c r="A37" s="10">
        <v>36</v>
      </c>
      <c r="B37" s="22" t="s">
        <v>56</v>
      </c>
      <c r="C37" s="22">
        <f>VLOOKUP(B37,Population!$B$2:$D$48,3,FALSE)</f>
        <v>262321.67499999999</v>
      </c>
      <c r="D37" s="22" t="str">
        <f t="shared" si="0"/>
        <v>Medium</v>
      </c>
      <c r="E37" s="161">
        <f>($L$4/$L$2)*F37</f>
        <v>225.96325482363201</v>
      </c>
      <c r="F37" s="24">
        <f>0.57*365</f>
        <v>208.04999999999998</v>
      </c>
      <c r="G37" s="16">
        <v>2014</v>
      </c>
      <c r="H37" s="16"/>
    </row>
    <row r="38" spans="1:8">
      <c r="A38" s="10">
        <v>37</v>
      </c>
      <c r="B38" s="22" t="s">
        <v>57</v>
      </c>
      <c r="C38" s="22">
        <f>VLOOKUP(B38,Population!$B$2:$D$48,3,FALSE)</f>
        <v>122268.93</v>
      </c>
      <c r="D38" s="22" t="str">
        <f t="shared" si="0"/>
        <v>Medium</v>
      </c>
      <c r="E38" s="162">
        <v>139.06651036916537</v>
      </c>
      <c r="F38" s="17">
        <v>0</v>
      </c>
      <c r="G38" s="16"/>
      <c r="H38" s="16"/>
    </row>
    <row r="39" spans="1:8">
      <c r="A39" s="10">
        <v>38</v>
      </c>
      <c r="B39" s="22" t="s">
        <v>58</v>
      </c>
      <c r="C39" s="22">
        <f>VLOOKUP(B39,Population!$B$2:$D$48,3,FALSE)</f>
        <v>37180.140301499989</v>
      </c>
      <c r="D39" s="22" t="str">
        <f t="shared" si="0"/>
        <v>Small</v>
      </c>
      <c r="E39" s="161">
        <f>($L$4/$L$2)*F39</f>
        <v>305.24860739332746</v>
      </c>
      <c r="F39" s="24">
        <f>365*0.77</f>
        <v>281.05</v>
      </c>
      <c r="G39" s="16">
        <v>2014</v>
      </c>
      <c r="H39" s="16"/>
    </row>
    <row r="40" spans="1:8">
      <c r="A40" s="10">
        <v>39</v>
      </c>
      <c r="B40" s="22" t="s">
        <v>59</v>
      </c>
      <c r="C40" s="22">
        <f>VLOOKUP(B40,Population!$B$2:$D$48,3,FALSE)</f>
        <v>68124.76999999999</v>
      </c>
      <c r="D40" s="22" t="str">
        <f t="shared" si="0"/>
        <v>Small</v>
      </c>
      <c r="E40" s="162">
        <v>152.87183278182917</v>
      </c>
      <c r="F40" s="17">
        <v>0</v>
      </c>
      <c r="G40" s="16"/>
      <c r="H40" s="16"/>
    </row>
    <row r="41" spans="1:8">
      <c r="A41" s="10">
        <v>40</v>
      </c>
      <c r="B41" s="22" t="s">
        <v>60</v>
      </c>
      <c r="C41" s="22">
        <f>VLOOKUP(B41,Population!$B$2:$D$48,3,FALSE)</f>
        <v>3174.6795464999987</v>
      </c>
      <c r="D41" s="22" t="str">
        <f t="shared" si="0"/>
        <v>Small</v>
      </c>
      <c r="E41" s="161">
        <f>($L$4/$L$2)*F41</f>
        <v>158.5707051393909</v>
      </c>
      <c r="F41" s="24">
        <f>365*0.4</f>
        <v>146</v>
      </c>
      <c r="G41" s="16">
        <v>2014</v>
      </c>
      <c r="H41" s="16"/>
    </row>
    <row r="42" spans="1:8">
      <c r="A42" s="10">
        <v>41</v>
      </c>
      <c r="B42" s="22" t="s">
        <v>61</v>
      </c>
      <c r="C42" s="22">
        <f>VLOOKUP(B42,Population!$B$2:$D$48,3,FALSE)</f>
        <v>53105.814999999995</v>
      </c>
      <c r="D42" s="22" t="str">
        <f t="shared" si="0"/>
        <v>Small</v>
      </c>
      <c r="E42" s="162">
        <v>152.87183278182917</v>
      </c>
      <c r="F42" s="17">
        <v>0</v>
      </c>
      <c r="G42" s="16"/>
      <c r="H42" s="16"/>
    </row>
    <row r="43" spans="1:8">
      <c r="A43" s="10">
        <v>42</v>
      </c>
      <c r="B43" s="22" t="s">
        <v>62</v>
      </c>
      <c r="C43" s="22">
        <f>VLOOKUP(B43,Population!$B$2:$D$48,3,FALSE)</f>
        <v>46203.814999999995</v>
      </c>
      <c r="D43" s="22" t="str">
        <f t="shared" si="0"/>
        <v>Small</v>
      </c>
      <c r="E43" s="162">
        <v>152.87183278182917</v>
      </c>
      <c r="F43" s="17">
        <v>0</v>
      </c>
      <c r="G43" s="16"/>
      <c r="H43" s="16"/>
    </row>
    <row r="44" spans="1:8">
      <c r="A44" s="10">
        <v>43</v>
      </c>
      <c r="B44" s="22" t="s">
        <v>63</v>
      </c>
      <c r="C44" s="22">
        <f>VLOOKUP(B44,Population!$B$2:$D$48,3,FALSE)</f>
        <v>24397.554999999997</v>
      </c>
      <c r="D44" s="22" t="str">
        <f t="shared" si="0"/>
        <v>Small</v>
      </c>
      <c r="E44" s="162">
        <v>152.87183278182917</v>
      </c>
      <c r="F44" s="17">
        <v>0</v>
      </c>
      <c r="G44" s="16"/>
      <c r="H44" s="16"/>
    </row>
    <row r="45" spans="1:8">
      <c r="A45" s="10">
        <v>44</v>
      </c>
      <c r="B45" s="55" t="s">
        <v>108</v>
      </c>
      <c r="C45" s="22">
        <f>VLOOKUP(B45,Population!$B$2:$D$48,3,FALSE)</f>
        <v>67305.664999999994</v>
      </c>
      <c r="D45" s="22" t="str">
        <f t="shared" si="0"/>
        <v>Small</v>
      </c>
      <c r="E45" s="162">
        <v>152.87183278182917</v>
      </c>
      <c r="F45" s="17">
        <v>0</v>
      </c>
      <c r="G45" s="16"/>
      <c r="H45" s="16"/>
    </row>
    <row r="46" spans="1:8">
      <c r="A46" s="10">
        <v>45</v>
      </c>
      <c r="B46" s="22" t="s">
        <v>64</v>
      </c>
      <c r="C46" s="22">
        <f>VLOOKUP(B46,Population!$B$2:$D$48,3,FALSE)</f>
        <v>23970.239999999998</v>
      </c>
      <c r="D46" s="22" t="str">
        <f t="shared" si="0"/>
        <v>Small</v>
      </c>
      <c r="E46" s="162">
        <v>152.87183278182917</v>
      </c>
      <c r="F46" s="17">
        <v>0</v>
      </c>
      <c r="G46" s="16"/>
      <c r="H46" s="16"/>
    </row>
    <row r="47" spans="1:8">
      <c r="A47" s="10">
        <v>46</v>
      </c>
      <c r="B47" s="22" t="s">
        <v>65</v>
      </c>
      <c r="C47" s="22">
        <f>VLOOKUP(B47,Population!$B$2:$D$48,3,FALSE)</f>
        <v>30635.744999999995</v>
      </c>
      <c r="D47" s="22" t="str">
        <f t="shared" si="0"/>
        <v>Small</v>
      </c>
      <c r="E47" s="161">
        <f>($L$4/$L$3)*F47</f>
        <v>169.10482594304042</v>
      </c>
      <c r="F47" s="24">
        <f>(1000*5400)/(34309)</f>
        <v>157.39310385030166</v>
      </c>
      <c r="G47" s="16">
        <v>2016</v>
      </c>
      <c r="H47" s="163" t="s">
        <v>210</v>
      </c>
    </row>
    <row r="48" spans="1:8">
      <c r="A48" s="14">
        <v>47</v>
      </c>
      <c r="B48" s="50" t="s">
        <v>107</v>
      </c>
      <c r="C48" s="22">
        <f>VLOOKUP(B48,Population!$B$2:$D$48,3,FALSE)</f>
        <v>68472.914999999994</v>
      </c>
      <c r="D48" s="22" t="str">
        <f t="shared" si="0"/>
        <v>Small</v>
      </c>
      <c r="E48" s="162">
        <v>152.87183278182917</v>
      </c>
      <c r="F48" s="17">
        <v>0</v>
      </c>
      <c r="G48" s="16"/>
      <c r="H48" s="16"/>
    </row>
    <row r="49" spans="1:6">
      <c r="A49" s="1"/>
      <c r="B49" s="1"/>
      <c r="C49" s="1"/>
      <c r="D49" s="1"/>
      <c r="E49" s="1"/>
      <c r="F49" s="18"/>
    </row>
  </sheetData>
  <hyperlinks>
    <hyperlink ref="H16" r:id="rId1" xr:uid="{D119A1B0-C862-4018-94B7-1E70B27DE813}"/>
  </hyperlinks>
  <pageMargins left="0.7" right="0.7" top="0.75" bottom="0.75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B20E7-E206-4605-AF0D-B4A6EE87391D}">
  <dimension ref="A1:F48"/>
  <sheetViews>
    <sheetView workbookViewId="0">
      <selection activeCell="C3" sqref="C3"/>
    </sheetView>
  </sheetViews>
  <sheetFormatPr baseColWidth="10" defaultColWidth="8.83203125" defaultRowHeight="16"/>
  <cols>
    <col min="1" max="1" width="3.33203125" style="1" bestFit="1" customWidth="1"/>
    <col min="2" max="2" width="18.5" style="2" bestFit="1" customWidth="1"/>
    <col min="3" max="3" width="11.1640625" style="1" customWidth="1"/>
    <col min="4" max="4" width="7" bestFit="1" customWidth="1"/>
    <col min="5" max="5" width="17" customWidth="1"/>
    <col min="6" max="6" width="24.33203125" customWidth="1"/>
  </cols>
  <sheetData>
    <row r="1" spans="1:6" ht="48">
      <c r="A1" s="58" t="s">
        <v>20</v>
      </c>
      <c r="B1" s="59" t="s">
        <v>1</v>
      </c>
      <c r="C1" s="200" t="s">
        <v>222</v>
      </c>
      <c r="D1" s="60" t="s">
        <v>96</v>
      </c>
      <c r="E1" s="61" t="s">
        <v>105</v>
      </c>
      <c r="F1" s="62" t="s">
        <v>103</v>
      </c>
    </row>
    <row r="2" spans="1:6">
      <c r="A2" s="10">
        <v>1</v>
      </c>
      <c r="B2" s="57" t="s">
        <v>21</v>
      </c>
      <c r="C2" s="197">
        <v>0</v>
      </c>
      <c r="D2" s="56">
        <v>1</v>
      </c>
      <c r="E2" s="56" t="s">
        <v>102</v>
      </c>
      <c r="F2" s="56"/>
    </row>
    <row r="3" spans="1:6">
      <c r="A3" s="10">
        <v>2</v>
      </c>
      <c r="B3" s="57" t="s">
        <v>22</v>
      </c>
      <c r="C3" s="197">
        <v>0</v>
      </c>
      <c r="D3" s="56">
        <v>1</v>
      </c>
      <c r="E3" s="56"/>
      <c r="F3" s="56"/>
    </row>
    <row r="4" spans="1:6">
      <c r="A4" s="10">
        <v>3</v>
      </c>
      <c r="B4" s="57" t="s">
        <v>23</v>
      </c>
      <c r="C4" s="197">
        <v>0</v>
      </c>
      <c r="D4" s="56">
        <v>1</v>
      </c>
      <c r="E4" s="56"/>
      <c r="F4" s="56"/>
    </row>
    <row r="5" spans="1:6">
      <c r="A5" s="10">
        <v>4</v>
      </c>
      <c r="B5" s="57" t="s">
        <v>24</v>
      </c>
      <c r="C5" s="197">
        <v>0</v>
      </c>
      <c r="D5" s="56">
        <v>1</v>
      </c>
      <c r="E5" s="56" t="s">
        <v>104</v>
      </c>
      <c r="F5" s="56"/>
    </row>
    <row r="6" spans="1:6">
      <c r="A6" s="10">
        <v>5</v>
      </c>
      <c r="B6" s="57" t="s">
        <v>25</v>
      </c>
      <c r="C6" s="197">
        <v>0</v>
      </c>
      <c r="D6" s="197">
        <v>0</v>
      </c>
      <c r="E6" s="197" t="s">
        <v>221</v>
      </c>
      <c r="F6" s="197" t="s">
        <v>220</v>
      </c>
    </row>
    <row r="7" spans="1:6">
      <c r="A7" s="10">
        <v>6</v>
      </c>
      <c r="B7" s="57" t="s">
        <v>26</v>
      </c>
      <c r="C7" s="197">
        <v>0</v>
      </c>
      <c r="D7" s="197">
        <v>0</v>
      </c>
      <c r="E7" s="197" t="s">
        <v>221</v>
      </c>
      <c r="F7" s="197" t="s">
        <v>220</v>
      </c>
    </row>
    <row r="8" spans="1:6">
      <c r="A8" s="10">
        <v>7</v>
      </c>
      <c r="B8" s="57" t="s">
        <v>27</v>
      </c>
      <c r="C8" s="197">
        <v>0</v>
      </c>
      <c r="D8" s="197">
        <v>0</v>
      </c>
      <c r="E8" s="197" t="s">
        <v>221</v>
      </c>
      <c r="F8" s="197" t="s">
        <v>220</v>
      </c>
    </row>
    <row r="9" spans="1:6">
      <c r="A9" s="10">
        <v>8</v>
      </c>
      <c r="B9" s="57" t="s">
        <v>28</v>
      </c>
      <c r="C9" s="197">
        <v>0</v>
      </c>
      <c r="D9" s="197">
        <v>0</v>
      </c>
      <c r="E9" s="197" t="s">
        <v>221</v>
      </c>
      <c r="F9" s="197" t="s">
        <v>220</v>
      </c>
    </row>
    <row r="10" spans="1:6">
      <c r="A10" s="10">
        <v>9</v>
      </c>
      <c r="B10" s="57" t="s">
        <v>29</v>
      </c>
      <c r="C10" s="197">
        <v>0</v>
      </c>
      <c r="D10" s="197">
        <v>0</v>
      </c>
      <c r="E10" s="197" t="s">
        <v>221</v>
      </c>
      <c r="F10" s="197" t="s">
        <v>220</v>
      </c>
    </row>
    <row r="11" spans="1:6">
      <c r="A11" s="10">
        <v>10</v>
      </c>
      <c r="B11" s="57" t="s">
        <v>30</v>
      </c>
      <c r="C11" s="197">
        <v>0</v>
      </c>
      <c r="D11" s="197">
        <v>0</v>
      </c>
      <c r="E11" s="197" t="s">
        <v>221</v>
      </c>
      <c r="F11" s="197" t="s">
        <v>220</v>
      </c>
    </row>
    <row r="12" spans="1:6">
      <c r="A12" s="10">
        <v>11</v>
      </c>
      <c r="B12" s="57" t="s">
        <v>31</v>
      </c>
      <c r="C12" s="197">
        <v>0</v>
      </c>
      <c r="D12" s="197">
        <v>0</v>
      </c>
      <c r="E12" s="197" t="s">
        <v>221</v>
      </c>
      <c r="F12" s="197" t="s">
        <v>220</v>
      </c>
    </row>
    <row r="13" spans="1:6">
      <c r="A13" s="10">
        <v>12</v>
      </c>
      <c r="B13" s="57" t="s">
        <v>32</v>
      </c>
      <c r="C13" s="197">
        <v>0</v>
      </c>
      <c r="D13" s="197">
        <v>0</v>
      </c>
      <c r="E13" s="197" t="s">
        <v>221</v>
      </c>
      <c r="F13" s="197" t="s">
        <v>220</v>
      </c>
    </row>
    <row r="14" spans="1:6">
      <c r="A14" s="10">
        <v>13</v>
      </c>
      <c r="B14" s="57" t="s">
        <v>33</v>
      </c>
      <c r="C14" s="197">
        <v>0</v>
      </c>
      <c r="D14" s="197">
        <v>0</v>
      </c>
      <c r="E14" s="197" t="s">
        <v>221</v>
      </c>
      <c r="F14" s="197" t="s">
        <v>220</v>
      </c>
    </row>
    <row r="15" spans="1:6">
      <c r="A15" s="10">
        <v>14</v>
      </c>
      <c r="B15" s="57" t="s">
        <v>34</v>
      </c>
      <c r="C15" s="197">
        <v>0</v>
      </c>
      <c r="D15" s="197">
        <v>0</v>
      </c>
      <c r="E15" s="197" t="s">
        <v>221</v>
      </c>
      <c r="F15" s="197" t="s">
        <v>220</v>
      </c>
    </row>
    <row r="16" spans="1:6">
      <c r="A16" s="10">
        <v>15</v>
      </c>
      <c r="B16" s="57" t="s">
        <v>35</v>
      </c>
      <c r="C16" s="197">
        <v>0</v>
      </c>
      <c r="D16" s="197">
        <v>0</v>
      </c>
      <c r="E16" s="197" t="s">
        <v>221</v>
      </c>
      <c r="F16" s="197" t="s">
        <v>220</v>
      </c>
    </row>
    <row r="17" spans="1:6">
      <c r="A17" s="10">
        <v>16</v>
      </c>
      <c r="B17" s="57" t="s">
        <v>36</v>
      </c>
      <c r="C17" s="197">
        <v>0</v>
      </c>
      <c r="D17" s="197">
        <v>0</v>
      </c>
      <c r="E17" s="197" t="s">
        <v>221</v>
      </c>
      <c r="F17" s="197" t="s">
        <v>220</v>
      </c>
    </row>
    <row r="18" spans="1:6">
      <c r="A18" s="10">
        <v>17</v>
      </c>
      <c r="B18" s="57" t="s">
        <v>37</v>
      </c>
      <c r="C18" s="197">
        <v>0</v>
      </c>
      <c r="D18" s="197">
        <v>0</v>
      </c>
      <c r="E18" s="197" t="s">
        <v>221</v>
      </c>
      <c r="F18" s="197" t="s">
        <v>220</v>
      </c>
    </row>
    <row r="19" spans="1:6">
      <c r="A19" s="10">
        <v>18</v>
      </c>
      <c r="B19" s="57" t="s">
        <v>38</v>
      </c>
      <c r="C19" s="197">
        <v>0</v>
      </c>
      <c r="D19" s="197">
        <v>0</v>
      </c>
      <c r="E19" s="197" t="s">
        <v>221</v>
      </c>
      <c r="F19" s="197" t="s">
        <v>220</v>
      </c>
    </row>
    <row r="20" spans="1:6">
      <c r="A20" s="10">
        <v>19</v>
      </c>
      <c r="B20" s="57" t="s">
        <v>39</v>
      </c>
      <c r="C20" s="197">
        <v>0</v>
      </c>
      <c r="D20" s="197">
        <v>0</v>
      </c>
      <c r="E20" s="197" t="s">
        <v>221</v>
      </c>
      <c r="F20" s="197" t="s">
        <v>220</v>
      </c>
    </row>
    <row r="21" spans="1:6">
      <c r="A21" s="10">
        <v>20</v>
      </c>
      <c r="B21" s="57" t="s">
        <v>40</v>
      </c>
      <c r="C21" s="197">
        <v>0</v>
      </c>
      <c r="D21" s="197">
        <v>0</v>
      </c>
      <c r="E21" s="197" t="s">
        <v>221</v>
      </c>
      <c r="F21" s="197" t="s">
        <v>220</v>
      </c>
    </row>
    <row r="22" spans="1:6">
      <c r="A22" s="10">
        <v>21</v>
      </c>
      <c r="B22" s="57" t="s">
        <v>41</v>
      </c>
      <c r="C22" s="197">
        <v>0</v>
      </c>
      <c r="D22" s="56">
        <v>1</v>
      </c>
      <c r="E22" s="56"/>
      <c r="F22" s="56"/>
    </row>
    <row r="23" spans="1:6">
      <c r="A23" s="10">
        <v>22</v>
      </c>
      <c r="B23" s="57" t="s">
        <v>42</v>
      </c>
      <c r="C23" s="197">
        <v>0</v>
      </c>
      <c r="D23" s="56">
        <v>1</v>
      </c>
      <c r="E23" s="56"/>
      <c r="F23" s="56"/>
    </row>
    <row r="24" spans="1:6">
      <c r="A24" s="10">
        <v>23</v>
      </c>
      <c r="B24" s="57" t="s">
        <v>43</v>
      </c>
      <c r="C24" s="197">
        <v>0</v>
      </c>
      <c r="D24" s="197">
        <v>0</v>
      </c>
      <c r="E24" s="197" t="s">
        <v>221</v>
      </c>
      <c r="F24" s="197" t="s">
        <v>220</v>
      </c>
    </row>
    <row r="25" spans="1:6">
      <c r="A25" s="10">
        <v>24</v>
      </c>
      <c r="B25" s="57" t="s">
        <v>44</v>
      </c>
      <c r="C25" s="197">
        <v>0</v>
      </c>
      <c r="D25" s="56">
        <v>1</v>
      </c>
      <c r="E25" s="56"/>
      <c r="F25" s="56"/>
    </row>
    <row r="26" spans="1:6">
      <c r="A26" s="10">
        <v>25</v>
      </c>
      <c r="B26" s="57" t="s">
        <v>45</v>
      </c>
      <c r="C26" s="197">
        <v>0</v>
      </c>
      <c r="D26" s="56">
        <v>0</v>
      </c>
      <c r="E26" s="56"/>
      <c r="F26" s="56"/>
    </row>
    <row r="27" spans="1:6">
      <c r="A27" s="10">
        <v>26</v>
      </c>
      <c r="B27" s="57" t="s">
        <v>46</v>
      </c>
      <c r="C27" s="197">
        <v>0</v>
      </c>
      <c r="D27" s="197">
        <v>0</v>
      </c>
      <c r="E27" s="197" t="s">
        <v>221</v>
      </c>
      <c r="F27" s="197" t="s">
        <v>220</v>
      </c>
    </row>
    <row r="28" spans="1:6">
      <c r="A28" s="10">
        <v>27</v>
      </c>
      <c r="B28" s="57" t="s">
        <v>47</v>
      </c>
      <c r="C28" s="197">
        <v>0</v>
      </c>
      <c r="D28" s="197">
        <v>0</v>
      </c>
      <c r="E28" s="197" t="s">
        <v>221</v>
      </c>
      <c r="F28" s="197" t="s">
        <v>220</v>
      </c>
    </row>
    <row r="29" spans="1:6">
      <c r="A29" s="10">
        <v>28</v>
      </c>
      <c r="B29" s="57" t="s">
        <v>48</v>
      </c>
      <c r="C29" s="197">
        <v>0</v>
      </c>
      <c r="D29" s="197">
        <v>0</v>
      </c>
      <c r="E29" s="197" t="s">
        <v>221</v>
      </c>
      <c r="F29" s="197" t="s">
        <v>220</v>
      </c>
    </row>
    <row r="30" spans="1:6">
      <c r="A30" s="10">
        <v>29</v>
      </c>
      <c r="B30" s="57" t="s">
        <v>49</v>
      </c>
      <c r="C30" s="197">
        <v>0</v>
      </c>
      <c r="D30" s="56">
        <v>1</v>
      </c>
      <c r="E30" s="56">
        <v>2012</v>
      </c>
      <c r="F30" s="56"/>
    </row>
    <row r="31" spans="1:6">
      <c r="A31" s="10">
        <v>30</v>
      </c>
      <c r="B31" s="57" t="s">
        <v>50</v>
      </c>
      <c r="C31" s="197">
        <v>0</v>
      </c>
      <c r="D31" s="56">
        <v>1</v>
      </c>
      <c r="E31" s="56">
        <v>2015</v>
      </c>
      <c r="F31" s="56" t="s">
        <v>97</v>
      </c>
    </row>
    <row r="32" spans="1:6">
      <c r="A32" s="10">
        <v>31</v>
      </c>
      <c r="B32" s="57" t="s">
        <v>51</v>
      </c>
      <c r="C32" s="197">
        <v>0</v>
      </c>
      <c r="D32" s="56">
        <v>0</v>
      </c>
      <c r="E32" s="56">
        <v>2016</v>
      </c>
      <c r="F32" s="56"/>
    </row>
    <row r="33" spans="1:6">
      <c r="A33" s="10">
        <v>32</v>
      </c>
      <c r="B33" s="57" t="s">
        <v>52</v>
      </c>
      <c r="C33" s="197">
        <v>0</v>
      </c>
      <c r="D33" s="197">
        <v>0</v>
      </c>
      <c r="E33" s="197" t="s">
        <v>221</v>
      </c>
      <c r="F33" s="197" t="s">
        <v>220</v>
      </c>
    </row>
    <row r="34" spans="1:6">
      <c r="A34" s="10">
        <v>33</v>
      </c>
      <c r="B34" s="57" t="s">
        <v>53</v>
      </c>
      <c r="C34" s="197">
        <v>0</v>
      </c>
      <c r="D34" s="56">
        <v>1</v>
      </c>
      <c r="E34" s="56"/>
      <c r="F34" s="56"/>
    </row>
    <row r="35" spans="1:6">
      <c r="A35" s="10">
        <v>34</v>
      </c>
      <c r="B35" s="57" t="s">
        <v>54</v>
      </c>
      <c r="C35" s="197">
        <v>0</v>
      </c>
      <c r="D35" s="197">
        <v>0</v>
      </c>
      <c r="E35" s="197" t="s">
        <v>221</v>
      </c>
      <c r="F35" s="197" t="s">
        <v>220</v>
      </c>
    </row>
    <row r="36" spans="1:6">
      <c r="A36" s="10">
        <v>35</v>
      </c>
      <c r="B36" s="57" t="s">
        <v>55</v>
      </c>
      <c r="C36" s="197">
        <v>0</v>
      </c>
      <c r="D36" s="197">
        <v>0</v>
      </c>
      <c r="E36" s="197" t="s">
        <v>221</v>
      </c>
      <c r="F36" s="197" t="s">
        <v>220</v>
      </c>
    </row>
    <row r="37" spans="1:6">
      <c r="A37" s="10">
        <v>36</v>
      </c>
      <c r="B37" s="57" t="s">
        <v>56</v>
      </c>
      <c r="C37" s="197">
        <v>0</v>
      </c>
      <c r="D37" s="197">
        <v>0</v>
      </c>
      <c r="E37" s="197" t="s">
        <v>221</v>
      </c>
      <c r="F37" s="197" t="s">
        <v>220</v>
      </c>
    </row>
    <row r="38" spans="1:6">
      <c r="A38" s="10">
        <v>37</v>
      </c>
      <c r="B38" s="57" t="s">
        <v>57</v>
      </c>
      <c r="C38" s="197">
        <v>0</v>
      </c>
      <c r="D38" s="197">
        <v>0</v>
      </c>
      <c r="E38" s="197" t="s">
        <v>221</v>
      </c>
      <c r="F38" s="197" t="s">
        <v>220</v>
      </c>
    </row>
    <row r="39" spans="1:6">
      <c r="A39" s="10">
        <v>38</v>
      </c>
      <c r="B39" s="57" t="s">
        <v>58</v>
      </c>
      <c r="C39" s="197">
        <v>0</v>
      </c>
      <c r="D39" s="197">
        <v>0</v>
      </c>
      <c r="E39" s="197" t="s">
        <v>221</v>
      </c>
      <c r="F39" s="197" t="s">
        <v>220</v>
      </c>
    </row>
    <row r="40" spans="1:6">
      <c r="A40" s="10">
        <v>39</v>
      </c>
      <c r="B40" s="57" t="s">
        <v>59</v>
      </c>
      <c r="C40" s="197">
        <v>0</v>
      </c>
      <c r="D40" s="56">
        <v>1</v>
      </c>
      <c r="E40" s="56" t="s">
        <v>98</v>
      </c>
      <c r="F40" s="56"/>
    </row>
    <row r="41" spans="1:6">
      <c r="A41" s="10">
        <v>40</v>
      </c>
      <c r="B41" s="57" t="s">
        <v>60</v>
      </c>
      <c r="C41" s="197">
        <v>0</v>
      </c>
      <c r="D41" s="197">
        <v>0</v>
      </c>
      <c r="E41" s="197" t="s">
        <v>221</v>
      </c>
      <c r="F41" s="197" t="s">
        <v>220</v>
      </c>
    </row>
    <row r="42" spans="1:6">
      <c r="A42" s="10">
        <v>41</v>
      </c>
      <c r="B42" s="57" t="s">
        <v>61</v>
      </c>
      <c r="C42" s="197">
        <v>0</v>
      </c>
      <c r="D42" s="56">
        <v>1</v>
      </c>
      <c r="E42" s="56" t="s">
        <v>101</v>
      </c>
      <c r="F42" s="56"/>
    </row>
    <row r="43" spans="1:6">
      <c r="A43" s="10">
        <v>42</v>
      </c>
      <c r="B43" s="57" t="s">
        <v>62</v>
      </c>
      <c r="C43" s="197">
        <v>0</v>
      </c>
      <c r="D43" s="56">
        <v>1</v>
      </c>
      <c r="E43" s="56" t="s">
        <v>100</v>
      </c>
      <c r="F43" s="56"/>
    </row>
    <row r="44" spans="1:6">
      <c r="A44" s="10">
        <v>43</v>
      </c>
      <c r="B44" s="57" t="s">
        <v>63</v>
      </c>
      <c r="C44" s="197">
        <v>0</v>
      </c>
      <c r="D44" s="197">
        <v>0</v>
      </c>
      <c r="E44" s="197" t="s">
        <v>221</v>
      </c>
      <c r="F44" s="197" t="s">
        <v>220</v>
      </c>
    </row>
    <row r="45" spans="1:6">
      <c r="A45" s="10">
        <v>44</v>
      </c>
      <c r="B45" s="57" t="s">
        <v>108</v>
      </c>
      <c r="C45" s="197">
        <v>0</v>
      </c>
      <c r="D45" s="56">
        <v>1</v>
      </c>
      <c r="E45" s="56"/>
      <c r="F45" s="56"/>
    </row>
    <row r="46" spans="1:6">
      <c r="A46" s="10">
        <v>45</v>
      </c>
      <c r="B46" s="57" t="s">
        <v>64</v>
      </c>
      <c r="C46" s="197">
        <v>0</v>
      </c>
      <c r="D46" s="197">
        <v>0</v>
      </c>
      <c r="E46" s="197" t="s">
        <v>221</v>
      </c>
      <c r="F46" s="197" t="s">
        <v>220</v>
      </c>
    </row>
    <row r="47" spans="1:6">
      <c r="A47" s="10">
        <v>46</v>
      </c>
      <c r="B47" s="57" t="s">
        <v>65</v>
      </c>
      <c r="C47" s="197">
        <v>0</v>
      </c>
      <c r="D47" s="56">
        <v>0</v>
      </c>
      <c r="E47" s="56" t="s">
        <v>99</v>
      </c>
      <c r="F47" s="56"/>
    </row>
    <row r="48" spans="1:6">
      <c r="A48" s="14">
        <v>47</v>
      </c>
      <c r="B48" s="57" t="s">
        <v>107</v>
      </c>
      <c r="C48" s="197">
        <v>0</v>
      </c>
      <c r="D48" s="56">
        <v>0</v>
      </c>
      <c r="E48" s="56" t="s">
        <v>109</v>
      </c>
      <c r="F48" s="5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 Sheet - Solid Waste</vt:lpstr>
      <vt:lpstr>Variables</vt:lpstr>
      <vt:lpstr>Cost Calculation</vt:lpstr>
      <vt:lpstr>Sanitary Landfilling</vt:lpstr>
      <vt:lpstr>Population</vt:lpstr>
      <vt:lpstr>Land cost</vt:lpstr>
      <vt:lpstr>Waste per capita</vt:lpstr>
      <vt:lpstr>Landfills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2019-08-08T21:19:35Z</cp:lastPrinted>
  <dcterms:created xsi:type="dcterms:W3CDTF">2019-05-13T20:30:56Z</dcterms:created>
  <dcterms:modified xsi:type="dcterms:W3CDTF">2020-01-29T22:28:51Z</dcterms:modified>
</cp:coreProperties>
</file>